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8AD254F3-51D3-4156-987C-9B7BE0399BC7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dpc-covid19-ita-andamento-naz" sheetId="18" r:id="rId1"/>
    <sheet name="dpc-covid19-ita-regioni" sheetId="20" r:id="rId2"/>
    <sheet name="Cumul_deaths - LNorm" sheetId="22" r:id="rId3"/>
    <sheet name="New_deaths - LNorm" sheetId="23" r:id="rId4"/>
  </sheets>
  <definedNames>
    <definedName name="_xlcn.WorksheetConnection_COVID19ItalycasestrendBfit.xlsxdpc_covid19_ita_andamento_nazionale1" hidden="1">dpc_covid19_ita_andamento_nazionale</definedName>
    <definedName name="CI">'Cumul_deaths - LNorm'!$Z$16</definedName>
    <definedName name="CIa">'New_deaths - LNorm'!$AF$41</definedName>
    <definedName name="CIf">'New_deaths - LNorm'!$AF$54</definedName>
    <definedName name="CIl">'New_deaths - LNorm'!$AF$28</definedName>
    <definedName name="CIo">'Cumul_deaths - LNorm'!$Z$38</definedName>
    <definedName name="CIr">'Cumul_deaths - LNorm'!$Z$27</definedName>
    <definedName name="CIt">'Cumul_deaths - LNorm'!$Z$49</definedName>
    <definedName name="CIw">'New_deaths - LNorm'!$AF$16</definedName>
    <definedName name="Critical_t">'Cumul_deaths - LNorm'!$Z$15</definedName>
    <definedName name="Critical_ta">'New_deaths - LNorm'!$AF$40</definedName>
    <definedName name="Critical_tf">'New_deaths - LNorm'!$AF$53</definedName>
    <definedName name="Critical_tl">'New_deaths - LNorm'!$AF$27</definedName>
    <definedName name="Critical_to">'Cumul_deaths - LNorm'!$Z$37</definedName>
    <definedName name="Critical_tr">'Cumul_deaths - LNorm'!$Z$26</definedName>
    <definedName name="Critical_tt">'Cumul_deaths - LNorm'!$Z$48</definedName>
    <definedName name="Critical_tw">'New_deaths - LNorm'!$AF$15</definedName>
    <definedName name="DatiEsterni_1" localSheetId="0" hidden="1">'dpc-covid19-ita-andamento-naz'!$A$1:$P$60</definedName>
    <definedName name="DatiEsterni_1" localSheetId="1" hidden="1">'dpc-covid19-ita-regioni'!$A$1:$T$1240</definedName>
    <definedName name="DatiEsterni_2" localSheetId="0" hidden="1">'dpc-covid19-ita-andamento-naz'!#REF!</definedName>
    <definedName name="df">'Cumul_deaths - LNorm'!$Z$12</definedName>
    <definedName name="dfa">'New_deaths - LNorm'!$AF$37</definedName>
    <definedName name="dff">'New_deaths - LNorm'!$AF$50</definedName>
    <definedName name="dfl">'New_deaths - LNorm'!$AF$24</definedName>
    <definedName name="dfo">'Cumul_deaths - LNorm'!$Z$34</definedName>
    <definedName name="dfr">'Cumul_deaths - LNorm'!$Z$23</definedName>
    <definedName name="dft">'Cumul_deaths - LNorm'!$Z$45</definedName>
    <definedName name="dfw">'New_deaths - LNorm'!$AF$12</definedName>
    <definedName name="k_a">'New_deaths - LNorm'!$AC$4</definedName>
    <definedName name="k_f">'New_deaths - LNorm'!$AC$5</definedName>
    <definedName name="k_l">'New_deaths - LNorm'!$AC$3</definedName>
    <definedName name="Ka">'New_deaths - LNorm'!$AF$33</definedName>
    <definedName name="Kf">'New_deaths - LNorm'!$AF$46</definedName>
    <definedName name="Kl">'New_deaths - LNorm'!$AF$20</definedName>
    <definedName name="Ko">'Cumul_deaths - LNorm'!$Z$30</definedName>
    <definedName name="Kr">'Cumul_deaths - LNorm'!$Z$19</definedName>
    <definedName name="Kt">'Cumul_deaths - LNorm'!$Z$41</definedName>
    <definedName name="Mean_of_y">'Cumul_deaths - LNorm'!$Z$11</definedName>
    <definedName name="Mean_of_ya">'New_deaths - LNorm'!$AF$36</definedName>
    <definedName name="Mean_of_yf">'New_deaths - LNorm'!$AF$49</definedName>
    <definedName name="Mean_of_yl">'New_deaths - LNorm'!$AF$23</definedName>
    <definedName name="Mean_of_yo">'Cumul_deaths - LNorm'!$Z$33</definedName>
    <definedName name="Mean_of_yr">'Cumul_deaths - LNorm'!$Z$22</definedName>
    <definedName name="Mean_of_yt">'Cumul_deaths - LNorm'!$Z$44</definedName>
    <definedName name="Mean_of_yw">'New_deaths - LNorm'!$AF$11</definedName>
    <definedName name="mu_a">'New_deaths - LNorm'!$AF$34</definedName>
    <definedName name="mu_f">'New_deaths - LNorm'!$AF$47</definedName>
    <definedName name="mu_l">'New_deaths - LNorm'!$AF$21</definedName>
    <definedName name="mu_o">'Cumul_deaths - LNorm'!$Z$31</definedName>
    <definedName name="mu_r">'Cumul_deaths - LNorm'!$Z$20</definedName>
    <definedName name="mu_t">'Cumul_deaths - LNorm'!$Z$42</definedName>
    <definedName name="pa">'New_deaths - LNorm'!$AF$44</definedName>
    <definedName name="Peak_w">'New_deaths - LNorm'!$AF$17</definedName>
    <definedName name="pf">'New_deaths - LNorm'!$AF$57</definedName>
    <definedName name="pl">'New_deaths - LNorm'!$AF$31</definedName>
    <definedName name="po">'Cumul_deaths - LNorm'!$Z$39</definedName>
    <definedName name="pr">'Cumul_deaths - LNorm'!$Z$28</definedName>
    <definedName name="pt">'Cumul_deaths - LNorm'!$Z$50</definedName>
    <definedName name="RSQ">'Cumul_deaths - LNorm'!$Z$14</definedName>
    <definedName name="RSQa">'New_deaths - LNorm'!$AF$39</definedName>
    <definedName name="RSQf">'New_deaths - LNorm'!$AF$52</definedName>
    <definedName name="RSQl">'New_deaths - LNorm'!$AF$26</definedName>
    <definedName name="RSQo">'Cumul_deaths - LNorm'!$Z$36</definedName>
    <definedName name="RSQr">'Cumul_deaths - LNorm'!$Z$25</definedName>
    <definedName name="RSQt">'Cumul_deaths - LNorm'!$Z$47</definedName>
    <definedName name="RSQw">'New_deaths - LNorm'!$AF$14</definedName>
    <definedName name="SE_of_y">'Cumul_deaths - LNorm'!$Z$13</definedName>
    <definedName name="SE_of_ya">'New_deaths - LNorm'!$AF$38</definedName>
    <definedName name="SE_of_yf">'New_deaths - LNorm'!$AF$51</definedName>
    <definedName name="SE_of_yl">'New_deaths - LNorm'!$AF$25</definedName>
    <definedName name="SE_of_yo">'Cumul_deaths - LNorm'!$Z$35</definedName>
    <definedName name="SE_of_yr">'Cumul_deaths - LNorm'!$Z$24</definedName>
    <definedName name="SE_of_yt">'Cumul_deaths - LNorm'!$Z$46</definedName>
    <definedName name="SE_of_yw">'New_deaths - LNorm'!$AF$13</definedName>
    <definedName name="sigma_a">'New_deaths - LNorm'!$AF$35</definedName>
    <definedName name="sigma_f">'New_deaths - LNorm'!$AF$48</definedName>
    <definedName name="sigma_l">'New_deaths - LNorm'!$AF$22</definedName>
    <definedName name="sigma_o">'Cumul_deaths - LNorm'!$Z$32</definedName>
    <definedName name="sigma_r">'Cumul_deaths - LNorm'!$Z$21</definedName>
    <definedName name="sigma_t">'Cumul_deaths - LNorm'!$Z$43</definedName>
    <definedName name="solver_adj" localSheetId="2" hidden="1">'Cumul_deaths - LNorm'!$Z$30:$Z$32</definedName>
    <definedName name="solver_adj" localSheetId="3" hidden="1">'New_deaths - LNorm'!$AF$46:$AF$48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'Cumul_deaths - LNorm'!$Z$32</definedName>
    <definedName name="solver_lhs1" localSheetId="3" hidden="1">'New_deaths - LNorm'!$AF$22</definedName>
    <definedName name="solver_lhs2" localSheetId="2" hidden="1">'Cumul_deaths - LNorm'!$Z$28</definedName>
    <definedName name="solver_lhs3" localSheetId="2" hidden="1">'Cumul_deaths - LNorm'!#REF!</definedName>
    <definedName name="solver_lhs4" localSheetId="2" hidden="1">'Cumul_deaths - LNorm'!#REF!</definedName>
    <definedName name="solver_lin" localSheetId="2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1</definedName>
    <definedName name="solver_num" localSheetId="3" hidden="1">1</definedName>
    <definedName name="solver_nwt" localSheetId="2" hidden="1">1</definedName>
    <definedName name="solver_nwt" localSheetId="3" hidden="1">1</definedName>
    <definedName name="solver_opt" localSheetId="2" hidden="1">'Cumul_deaths - LNorm'!$Z$36</definedName>
    <definedName name="solver_opt" localSheetId="3" hidden="1">'New_deaths - LNorm'!$AF$26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1</definedName>
    <definedName name="solver_rel1" localSheetId="2" hidden="1">3</definedName>
    <definedName name="solver_rel1" localSheetId="3" hidden="1">3</definedName>
    <definedName name="solver_rel2" localSheetId="2" hidden="1">3</definedName>
    <definedName name="solver_rel3" localSheetId="2" hidden="1">2</definedName>
    <definedName name="solver_rel4" localSheetId="2" hidden="1">2</definedName>
    <definedName name="solver_rhs1" localSheetId="2" hidden="1">0.000001</definedName>
    <definedName name="solver_rhs1" localSheetId="3" hidden="1">0.000001</definedName>
    <definedName name="solver_rhs2" localSheetId="2" hidden="1">0.000001</definedName>
    <definedName name="solver_rhs3" localSheetId="2" hidden="1">0</definedName>
    <definedName name="solver_rhs4" localSheetId="2" hidden="1">0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200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y_a_peak">'New_deaths - LNorm'!$AF$42</definedName>
    <definedName name="y_f_peak">'New_deaths - LNorm'!$AF$55</definedName>
    <definedName name="y_l_peak">'New_deaths - LNorm'!$AF$29</definedName>
  </definedNames>
  <calcPr calcId="191029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48" i="23" l="1"/>
  <c r="AF47" i="23"/>
  <c r="I126" i="23" s="1"/>
  <c r="K126" i="23" s="1"/>
  <c r="AF46" i="23"/>
  <c r="AF35" i="23"/>
  <c r="AF34" i="23"/>
  <c r="AF33" i="23"/>
  <c r="Z124" i="23" s="1"/>
  <c r="AA124" i="23" s="1"/>
  <c r="AF22" i="23"/>
  <c r="AF21" i="23"/>
  <c r="R79" i="23" s="1"/>
  <c r="S79" i="23" s="1"/>
  <c r="AF20" i="23"/>
  <c r="R128" i="23" s="1"/>
  <c r="Y121" i="23"/>
  <c r="Y122" i="23"/>
  <c r="Y123" i="23"/>
  <c r="Y124" i="23"/>
  <c r="Y125" i="23"/>
  <c r="Y126" i="23"/>
  <c r="Y127" i="23"/>
  <c r="Y128" i="23"/>
  <c r="Y129" i="23"/>
  <c r="Y130" i="23"/>
  <c r="Q123" i="23"/>
  <c r="Q124" i="23"/>
  <c r="Q125" i="23"/>
  <c r="Q126" i="23"/>
  <c r="Q127" i="23"/>
  <c r="Q128" i="23"/>
  <c r="Q129" i="23"/>
  <c r="Q130" i="23"/>
  <c r="G123" i="23"/>
  <c r="G124" i="23"/>
  <c r="G125" i="23"/>
  <c r="G126" i="23"/>
  <c r="G127" i="23"/>
  <c r="G128" i="23"/>
  <c r="G129" i="23"/>
  <c r="G130" i="23"/>
  <c r="F129" i="23"/>
  <c r="F130" i="23"/>
  <c r="I129" i="23"/>
  <c r="K129" i="23" s="1"/>
  <c r="I130" i="23"/>
  <c r="K130" i="23" s="1"/>
  <c r="P129" i="23"/>
  <c r="P130" i="23"/>
  <c r="X129" i="23"/>
  <c r="X130" i="23"/>
  <c r="Z129" i="23"/>
  <c r="AA129" i="23" s="1"/>
  <c r="Z130" i="23"/>
  <c r="AA130" i="23" s="1"/>
  <c r="C129" i="23"/>
  <c r="C130" i="23"/>
  <c r="F124" i="23"/>
  <c r="F125" i="23"/>
  <c r="F126" i="23"/>
  <c r="F127" i="23"/>
  <c r="F128" i="23"/>
  <c r="I124" i="23"/>
  <c r="K124" i="23" s="1"/>
  <c r="I125" i="23"/>
  <c r="K125" i="23" s="1"/>
  <c r="I127" i="23"/>
  <c r="K127" i="23" s="1"/>
  <c r="P124" i="23"/>
  <c r="P125" i="23"/>
  <c r="P126" i="23"/>
  <c r="P127" i="23"/>
  <c r="P128" i="23"/>
  <c r="R126" i="23"/>
  <c r="X124" i="23"/>
  <c r="X125" i="23"/>
  <c r="X126" i="23"/>
  <c r="X127" i="23"/>
  <c r="X128" i="23"/>
  <c r="Z126" i="23"/>
  <c r="AA126" i="23" s="1"/>
  <c r="Z127" i="23"/>
  <c r="AA127" i="23" s="1"/>
  <c r="C124" i="23"/>
  <c r="C125" i="23"/>
  <c r="C126" i="23" s="1"/>
  <c r="C127" i="23" s="1"/>
  <c r="C128" i="23" s="1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Y110" i="23"/>
  <c r="Y111" i="23"/>
  <c r="Y112" i="23"/>
  <c r="Y113" i="23"/>
  <c r="Y114" i="23"/>
  <c r="Y115" i="23"/>
  <c r="Y116" i="23"/>
  <c r="Y117" i="23"/>
  <c r="Y118" i="23"/>
  <c r="Y119" i="23"/>
  <c r="Y120" i="23"/>
  <c r="Y109" i="23"/>
  <c r="Y57" i="23"/>
  <c r="Y58" i="23"/>
  <c r="Y59" i="23"/>
  <c r="Y60" i="23"/>
  <c r="Y61" i="23"/>
  <c r="Y62" i="23"/>
  <c r="Y63" i="23"/>
  <c r="Y64" i="23"/>
  <c r="Y65" i="23"/>
  <c r="Y66" i="23"/>
  <c r="Y67" i="23"/>
  <c r="Y68" i="23"/>
  <c r="Y69" i="23"/>
  <c r="Y70" i="23"/>
  <c r="Y71" i="23"/>
  <c r="Y72" i="23"/>
  <c r="Y73" i="23"/>
  <c r="Y74" i="23"/>
  <c r="Y75" i="23"/>
  <c r="Y76" i="23"/>
  <c r="Y77" i="23"/>
  <c r="Y78" i="23"/>
  <c r="Y79" i="23"/>
  <c r="Y80" i="23"/>
  <c r="Y81" i="23"/>
  <c r="Y82" i="23"/>
  <c r="Y83" i="23"/>
  <c r="Y84" i="23"/>
  <c r="Y85" i="23"/>
  <c r="Y86" i="23"/>
  <c r="Y87" i="23"/>
  <c r="Y88" i="23"/>
  <c r="Y89" i="23"/>
  <c r="Y90" i="23"/>
  <c r="Y91" i="23"/>
  <c r="Y92" i="23"/>
  <c r="Y93" i="23"/>
  <c r="Y94" i="23"/>
  <c r="Y95" i="23"/>
  <c r="Y96" i="23"/>
  <c r="Y97" i="23"/>
  <c r="Y98" i="23"/>
  <c r="Y99" i="23"/>
  <c r="Y100" i="23"/>
  <c r="Y101" i="23"/>
  <c r="Y102" i="23"/>
  <c r="Y103" i="23"/>
  <c r="Y104" i="23"/>
  <c r="Y105" i="23"/>
  <c r="Y106" i="23"/>
  <c r="Y107" i="23"/>
  <c r="Y108" i="23"/>
  <c r="G110" i="23"/>
  <c r="G111" i="23"/>
  <c r="G112" i="23"/>
  <c r="G113" i="23"/>
  <c r="G114" i="23"/>
  <c r="G115" i="23"/>
  <c r="G116" i="23"/>
  <c r="G117" i="23"/>
  <c r="G118" i="23"/>
  <c r="G119" i="23"/>
  <c r="G120" i="23"/>
  <c r="G121" i="23"/>
  <c r="G122" i="23"/>
  <c r="F110" i="23"/>
  <c r="F111" i="23"/>
  <c r="F112" i="23"/>
  <c r="F113" i="23"/>
  <c r="F114" i="23"/>
  <c r="F115" i="23"/>
  <c r="F116" i="23"/>
  <c r="F117" i="23"/>
  <c r="F118" i="23"/>
  <c r="F119" i="23"/>
  <c r="F120" i="23"/>
  <c r="F121" i="23"/>
  <c r="F122" i="23"/>
  <c r="F123" i="23"/>
  <c r="I110" i="23"/>
  <c r="K110" i="23" s="1"/>
  <c r="I111" i="23"/>
  <c r="K111" i="23" s="1"/>
  <c r="I113" i="23"/>
  <c r="K113" i="23" s="1"/>
  <c r="I114" i="23"/>
  <c r="K114" i="23" s="1"/>
  <c r="I115" i="23"/>
  <c r="K115" i="23" s="1"/>
  <c r="I116" i="23"/>
  <c r="K116" i="23" s="1"/>
  <c r="I117" i="23"/>
  <c r="K117" i="23" s="1"/>
  <c r="I118" i="23"/>
  <c r="I119" i="23"/>
  <c r="K119" i="23" s="1"/>
  <c r="I121" i="23"/>
  <c r="K121" i="23" s="1"/>
  <c r="I122" i="23"/>
  <c r="K122" i="23" s="1"/>
  <c r="I123" i="23"/>
  <c r="K123" i="23" s="1"/>
  <c r="K118" i="23"/>
  <c r="P110" i="23"/>
  <c r="P111" i="23"/>
  <c r="P112" i="23"/>
  <c r="P113" i="23"/>
  <c r="P114" i="23"/>
  <c r="P115" i="23"/>
  <c r="P116" i="23"/>
  <c r="P117" i="23"/>
  <c r="P118" i="23"/>
  <c r="P119" i="23"/>
  <c r="P120" i="23"/>
  <c r="P121" i="23"/>
  <c r="P122" i="23"/>
  <c r="P123" i="23"/>
  <c r="R120" i="23"/>
  <c r="R121" i="23"/>
  <c r="X110" i="23"/>
  <c r="X111" i="23"/>
  <c r="X112" i="23"/>
  <c r="X113" i="23"/>
  <c r="X114" i="23"/>
  <c r="X115" i="23"/>
  <c r="X116" i="23"/>
  <c r="X117" i="23"/>
  <c r="X118" i="23"/>
  <c r="X119" i="23"/>
  <c r="X120" i="23"/>
  <c r="X121" i="23"/>
  <c r="X122" i="23"/>
  <c r="X123" i="23"/>
  <c r="Z110" i="23"/>
  <c r="AA110" i="23" s="1"/>
  <c r="Z111" i="23"/>
  <c r="AA111" i="23" s="1"/>
  <c r="Z112" i="23"/>
  <c r="Z113" i="23"/>
  <c r="AA113" i="23" s="1"/>
  <c r="Z114" i="23"/>
  <c r="AA114" i="23" s="1"/>
  <c r="Z116" i="23"/>
  <c r="AA116" i="23" s="1"/>
  <c r="Z117" i="23"/>
  <c r="AA117" i="23" s="1"/>
  <c r="Z118" i="23"/>
  <c r="AA118" i="23" s="1"/>
  <c r="Z120" i="23"/>
  <c r="AA120" i="23" s="1"/>
  <c r="Z121" i="23"/>
  <c r="AA121" i="23" s="1"/>
  <c r="Z122" i="23"/>
  <c r="AA122" i="23" s="1"/>
  <c r="Z123" i="23"/>
  <c r="AA123" i="23" s="1"/>
  <c r="AA112" i="23"/>
  <c r="C110" i="23"/>
  <c r="C111" i="23" s="1"/>
  <c r="C112" i="23" s="1"/>
  <c r="C113" i="23" s="1"/>
  <c r="C114" i="23" s="1"/>
  <c r="C115" i="23" s="1"/>
  <c r="C116" i="23" s="1"/>
  <c r="C117" i="23" s="1"/>
  <c r="C118" i="23" s="1"/>
  <c r="C119" i="23" s="1"/>
  <c r="C120" i="23" s="1"/>
  <c r="C121" i="23" s="1"/>
  <c r="C122" i="23" s="1"/>
  <c r="C123" i="23" s="1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F84" i="22"/>
  <c r="G84" i="22" s="1"/>
  <c r="F86" i="22"/>
  <c r="G86" i="22" s="1"/>
  <c r="F96" i="22"/>
  <c r="G96" i="22" s="1"/>
  <c r="F98" i="22"/>
  <c r="G98" i="22" s="1"/>
  <c r="F108" i="22"/>
  <c r="G108" i="22" s="1"/>
  <c r="F110" i="22"/>
  <c r="G110" i="22" s="1"/>
  <c r="F120" i="22"/>
  <c r="G120" i="22" s="1"/>
  <c r="F122" i="22"/>
  <c r="G122" i="22" s="1"/>
  <c r="H79" i="22"/>
  <c r="H80" i="22"/>
  <c r="I80" i="22" s="1"/>
  <c r="H81" i="22"/>
  <c r="I81" i="22" s="1"/>
  <c r="H82" i="22"/>
  <c r="H83" i="22"/>
  <c r="H84" i="22"/>
  <c r="H85" i="22"/>
  <c r="H86" i="22"/>
  <c r="H87" i="22"/>
  <c r="I87" i="22" s="1"/>
  <c r="H88" i="22"/>
  <c r="I88" i="22" s="1"/>
  <c r="H89" i="22"/>
  <c r="H90" i="22"/>
  <c r="I90" i="22" s="1"/>
  <c r="H91" i="22"/>
  <c r="H92" i="22"/>
  <c r="I92" i="22" s="1"/>
  <c r="H93" i="22"/>
  <c r="I93" i="22" s="1"/>
  <c r="H94" i="22"/>
  <c r="H95" i="22"/>
  <c r="H96" i="22"/>
  <c r="H97" i="22"/>
  <c r="H98" i="22"/>
  <c r="H99" i="22"/>
  <c r="I99" i="22" s="1"/>
  <c r="H100" i="22"/>
  <c r="I100" i="22" s="1"/>
  <c r="H101" i="22"/>
  <c r="H102" i="22"/>
  <c r="I102" i="22" s="1"/>
  <c r="H103" i="22"/>
  <c r="H104" i="22"/>
  <c r="I104" i="22" s="1"/>
  <c r="H105" i="22"/>
  <c r="I105" i="22" s="1"/>
  <c r="H106" i="22"/>
  <c r="H107" i="22"/>
  <c r="H108" i="22"/>
  <c r="H109" i="22"/>
  <c r="H110" i="22"/>
  <c r="H111" i="22"/>
  <c r="I111" i="22" s="1"/>
  <c r="H112" i="22"/>
  <c r="I112" i="22" s="1"/>
  <c r="H113" i="22"/>
  <c r="H114" i="22"/>
  <c r="I114" i="22" s="1"/>
  <c r="H115" i="22"/>
  <c r="H116" i="22"/>
  <c r="I116" i="22" s="1"/>
  <c r="H117" i="22"/>
  <c r="I117" i="22" s="1"/>
  <c r="H118" i="22"/>
  <c r="H119" i="22"/>
  <c r="H120" i="22"/>
  <c r="H121" i="22"/>
  <c r="H122" i="22"/>
  <c r="H123" i="22"/>
  <c r="I123" i="22" s="1"/>
  <c r="H124" i="22"/>
  <c r="I124" i="22" s="1"/>
  <c r="H125" i="22"/>
  <c r="H126" i="22"/>
  <c r="I126" i="22" s="1"/>
  <c r="H127" i="22"/>
  <c r="H128" i="22"/>
  <c r="I128" i="22" s="1"/>
  <c r="H129" i="22"/>
  <c r="I129" i="22" s="1"/>
  <c r="H130" i="22"/>
  <c r="I79" i="22"/>
  <c r="I82" i="22"/>
  <c r="I83" i="22"/>
  <c r="I84" i="22"/>
  <c r="I85" i="22"/>
  <c r="I86" i="22"/>
  <c r="I89" i="22"/>
  <c r="I91" i="22"/>
  <c r="I94" i="22"/>
  <c r="I95" i="22"/>
  <c r="I96" i="22"/>
  <c r="I97" i="22"/>
  <c r="I98" i="22"/>
  <c r="I101" i="22"/>
  <c r="I103" i="22"/>
  <c r="I106" i="22"/>
  <c r="I107" i="22"/>
  <c r="I108" i="22"/>
  <c r="I109" i="22"/>
  <c r="I110" i="22"/>
  <c r="I113" i="22"/>
  <c r="I115" i="22"/>
  <c r="I118" i="22"/>
  <c r="I119" i="22"/>
  <c r="I120" i="22"/>
  <c r="I121" i="22"/>
  <c r="I122" i="22"/>
  <c r="I125" i="22"/>
  <c r="I127" i="22"/>
  <c r="I130" i="22"/>
  <c r="M79" i="22"/>
  <c r="M80" i="22"/>
  <c r="M81" i="22"/>
  <c r="M82" i="22"/>
  <c r="M83" i="22"/>
  <c r="M84" i="22"/>
  <c r="M85" i="22"/>
  <c r="M86" i="22"/>
  <c r="M87" i="22"/>
  <c r="M88" i="22"/>
  <c r="M89" i="22"/>
  <c r="M90" i="22"/>
  <c r="M91" i="22"/>
  <c r="M92" i="22"/>
  <c r="M93" i="22"/>
  <c r="M94" i="22"/>
  <c r="M95" i="22"/>
  <c r="M96" i="22"/>
  <c r="M97" i="22"/>
  <c r="M98" i="22"/>
  <c r="M99" i="22"/>
  <c r="M100" i="22"/>
  <c r="M101" i="22"/>
  <c r="M102" i="22"/>
  <c r="M103" i="22"/>
  <c r="M104" i="22"/>
  <c r="M105" i="22"/>
  <c r="M106" i="22"/>
  <c r="M107" i="22"/>
  <c r="M108" i="22"/>
  <c r="M109" i="22"/>
  <c r="M110" i="22"/>
  <c r="M111" i="22"/>
  <c r="M112" i="22"/>
  <c r="M113" i="22"/>
  <c r="M114" i="22"/>
  <c r="M115" i="22"/>
  <c r="M116" i="22"/>
  <c r="M117" i="22"/>
  <c r="M118" i="22"/>
  <c r="M119" i="22"/>
  <c r="M120" i="22"/>
  <c r="M121" i="22"/>
  <c r="M122" i="22"/>
  <c r="M123" i="22"/>
  <c r="M124" i="22"/>
  <c r="M125" i="22"/>
  <c r="M126" i="22"/>
  <c r="M127" i="22"/>
  <c r="M128" i="22"/>
  <c r="M129" i="22"/>
  <c r="M130" i="22"/>
  <c r="N79" i="22"/>
  <c r="F79" i="22" s="1"/>
  <c r="G79" i="22" s="1"/>
  <c r="N80" i="22"/>
  <c r="F80" i="22" s="1"/>
  <c r="G80" i="22" s="1"/>
  <c r="N81" i="22"/>
  <c r="F81" i="22" s="1"/>
  <c r="G81" i="22" s="1"/>
  <c r="N82" i="22"/>
  <c r="F82" i="22" s="1"/>
  <c r="G82" i="22" s="1"/>
  <c r="N83" i="22"/>
  <c r="F83" i="22" s="1"/>
  <c r="G83" i="22" s="1"/>
  <c r="N84" i="22"/>
  <c r="N85" i="22"/>
  <c r="F85" i="22" s="1"/>
  <c r="G85" i="22" s="1"/>
  <c r="N86" i="22"/>
  <c r="N87" i="22"/>
  <c r="F87" i="22" s="1"/>
  <c r="G87" i="22" s="1"/>
  <c r="N88" i="22"/>
  <c r="F88" i="22" s="1"/>
  <c r="G88" i="22" s="1"/>
  <c r="N89" i="22"/>
  <c r="F89" i="22" s="1"/>
  <c r="G89" i="22" s="1"/>
  <c r="N90" i="22"/>
  <c r="F90" i="22" s="1"/>
  <c r="G90" i="22" s="1"/>
  <c r="N91" i="22"/>
  <c r="F91" i="22" s="1"/>
  <c r="G91" i="22" s="1"/>
  <c r="N92" i="22"/>
  <c r="F92" i="22" s="1"/>
  <c r="G92" i="22" s="1"/>
  <c r="N93" i="22"/>
  <c r="F93" i="22" s="1"/>
  <c r="G93" i="22" s="1"/>
  <c r="N94" i="22"/>
  <c r="F94" i="22" s="1"/>
  <c r="G94" i="22" s="1"/>
  <c r="N95" i="22"/>
  <c r="F95" i="22" s="1"/>
  <c r="G95" i="22" s="1"/>
  <c r="N96" i="22"/>
  <c r="N97" i="22"/>
  <c r="F97" i="22" s="1"/>
  <c r="G97" i="22" s="1"/>
  <c r="N98" i="22"/>
  <c r="N99" i="22"/>
  <c r="F99" i="22" s="1"/>
  <c r="G99" i="22" s="1"/>
  <c r="N100" i="22"/>
  <c r="F100" i="22" s="1"/>
  <c r="G100" i="22" s="1"/>
  <c r="N101" i="22"/>
  <c r="F101" i="22" s="1"/>
  <c r="G101" i="22" s="1"/>
  <c r="N102" i="22"/>
  <c r="F102" i="22" s="1"/>
  <c r="G102" i="22" s="1"/>
  <c r="N103" i="22"/>
  <c r="F103" i="22" s="1"/>
  <c r="G103" i="22" s="1"/>
  <c r="N104" i="22"/>
  <c r="F104" i="22" s="1"/>
  <c r="G104" i="22" s="1"/>
  <c r="N105" i="22"/>
  <c r="F105" i="22" s="1"/>
  <c r="G105" i="22" s="1"/>
  <c r="N106" i="22"/>
  <c r="F106" i="22" s="1"/>
  <c r="G106" i="22" s="1"/>
  <c r="N107" i="22"/>
  <c r="F107" i="22" s="1"/>
  <c r="G107" i="22" s="1"/>
  <c r="N108" i="22"/>
  <c r="N109" i="22"/>
  <c r="F109" i="22" s="1"/>
  <c r="G109" i="22" s="1"/>
  <c r="N110" i="22"/>
  <c r="N111" i="22"/>
  <c r="F111" i="22" s="1"/>
  <c r="G111" i="22" s="1"/>
  <c r="N112" i="22"/>
  <c r="F112" i="22" s="1"/>
  <c r="G112" i="22" s="1"/>
  <c r="N113" i="22"/>
  <c r="F113" i="22" s="1"/>
  <c r="G113" i="22" s="1"/>
  <c r="N114" i="22"/>
  <c r="F114" i="22" s="1"/>
  <c r="G114" i="22" s="1"/>
  <c r="N115" i="22"/>
  <c r="F115" i="22" s="1"/>
  <c r="G115" i="22" s="1"/>
  <c r="N116" i="22"/>
  <c r="F116" i="22" s="1"/>
  <c r="G116" i="22" s="1"/>
  <c r="N117" i="22"/>
  <c r="F117" i="22" s="1"/>
  <c r="G117" i="22" s="1"/>
  <c r="N118" i="22"/>
  <c r="F118" i="22" s="1"/>
  <c r="G118" i="22" s="1"/>
  <c r="N119" i="22"/>
  <c r="F119" i="22" s="1"/>
  <c r="G119" i="22" s="1"/>
  <c r="N120" i="22"/>
  <c r="N121" i="22"/>
  <c r="F121" i="22" s="1"/>
  <c r="G121" i="22" s="1"/>
  <c r="N122" i="22"/>
  <c r="N123" i="22"/>
  <c r="F123" i="22" s="1"/>
  <c r="G123" i="22" s="1"/>
  <c r="N124" i="22"/>
  <c r="F124" i="22" s="1"/>
  <c r="G124" i="22" s="1"/>
  <c r="N125" i="22"/>
  <c r="F125" i="22" s="1"/>
  <c r="G125" i="22" s="1"/>
  <c r="N126" i="22"/>
  <c r="F126" i="22" s="1"/>
  <c r="G126" i="22" s="1"/>
  <c r="N127" i="22"/>
  <c r="F127" i="22" s="1"/>
  <c r="G127" i="22" s="1"/>
  <c r="N128" i="22"/>
  <c r="F128" i="22" s="1"/>
  <c r="G128" i="22" s="1"/>
  <c r="N129" i="22"/>
  <c r="F129" i="22" s="1"/>
  <c r="G129" i="22" s="1"/>
  <c r="N130" i="22"/>
  <c r="F130" i="22" s="1"/>
  <c r="G130" i="22" s="1"/>
  <c r="O79" i="22"/>
  <c r="O82" i="22"/>
  <c r="O83" i="22"/>
  <c r="O84" i="22"/>
  <c r="O85" i="22"/>
  <c r="O86" i="22"/>
  <c r="O89" i="22"/>
  <c r="O91" i="22"/>
  <c r="O94" i="22"/>
  <c r="O95" i="22"/>
  <c r="O96" i="22"/>
  <c r="O97" i="22"/>
  <c r="O98" i="22"/>
  <c r="O101" i="22"/>
  <c r="O103" i="22"/>
  <c r="O106" i="22"/>
  <c r="O107" i="22"/>
  <c r="O108" i="22"/>
  <c r="O109" i="22"/>
  <c r="O110" i="22"/>
  <c r="O113" i="22"/>
  <c r="O115" i="22"/>
  <c r="O118" i="22"/>
  <c r="O119" i="22"/>
  <c r="O120" i="22"/>
  <c r="O121" i="22"/>
  <c r="O122" i="22"/>
  <c r="O125" i="22"/>
  <c r="O127" i="22"/>
  <c r="O130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S104" i="22"/>
  <c r="S105" i="22"/>
  <c r="S106" i="22"/>
  <c r="S107" i="22"/>
  <c r="S108" i="22"/>
  <c r="S109" i="22"/>
  <c r="S110" i="22"/>
  <c r="S111" i="22"/>
  <c r="S112" i="22"/>
  <c r="S113" i="22"/>
  <c r="S114" i="22"/>
  <c r="S115" i="22"/>
  <c r="S116" i="22"/>
  <c r="S117" i="22"/>
  <c r="S118" i="22"/>
  <c r="S119" i="22"/>
  <c r="S120" i="22"/>
  <c r="S121" i="22"/>
  <c r="S122" i="22"/>
  <c r="S123" i="22"/>
  <c r="S124" i="22"/>
  <c r="S125" i="22"/>
  <c r="S126" i="22"/>
  <c r="S127" i="22"/>
  <c r="S128" i="22"/>
  <c r="S129" i="22"/>
  <c r="S130" i="22"/>
  <c r="T79" i="22"/>
  <c r="T80" i="22"/>
  <c r="U80" i="22" s="1"/>
  <c r="T81" i="22"/>
  <c r="U81" i="22" s="1"/>
  <c r="T82" i="22"/>
  <c r="T83" i="22"/>
  <c r="T84" i="22"/>
  <c r="T85" i="22"/>
  <c r="T86" i="22"/>
  <c r="T87" i="22"/>
  <c r="U87" i="22" s="1"/>
  <c r="T88" i="22"/>
  <c r="U88" i="22" s="1"/>
  <c r="T89" i="22"/>
  <c r="T90" i="22"/>
  <c r="U90" i="22" s="1"/>
  <c r="T91" i="22"/>
  <c r="T92" i="22"/>
  <c r="U92" i="22" s="1"/>
  <c r="T93" i="22"/>
  <c r="U93" i="22" s="1"/>
  <c r="T94" i="22"/>
  <c r="T95" i="22"/>
  <c r="T96" i="22"/>
  <c r="T97" i="22"/>
  <c r="T98" i="22"/>
  <c r="T99" i="22"/>
  <c r="U99" i="22" s="1"/>
  <c r="T100" i="22"/>
  <c r="U100" i="22" s="1"/>
  <c r="T101" i="22"/>
  <c r="T102" i="22"/>
  <c r="U102" i="22" s="1"/>
  <c r="T103" i="22"/>
  <c r="T104" i="22"/>
  <c r="U104" i="22" s="1"/>
  <c r="T105" i="22"/>
  <c r="U105" i="22" s="1"/>
  <c r="T106" i="22"/>
  <c r="T107" i="22"/>
  <c r="T108" i="22"/>
  <c r="T109" i="22"/>
  <c r="T110" i="22"/>
  <c r="T111" i="22"/>
  <c r="U111" i="22" s="1"/>
  <c r="T112" i="22"/>
  <c r="U112" i="22" s="1"/>
  <c r="T113" i="22"/>
  <c r="T114" i="22"/>
  <c r="U114" i="22" s="1"/>
  <c r="T115" i="22"/>
  <c r="T116" i="22"/>
  <c r="U116" i="22" s="1"/>
  <c r="T117" i="22"/>
  <c r="U117" i="22" s="1"/>
  <c r="T118" i="22"/>
  <c r="T119" i="22"/>
  <c r="T120" i="22"/>
  <c r="T121" i="22"/>
  <c r="T122" i="22"/>
  <c r="T123" i="22"/>
  <c r="U123" i="22" s="1"/>
  <c r="T124" i="22"/>
  <c r="U124" i="22" s="1"/>
  <c r="T125" i="22"/>
  <c r="T126" i="22"/>
  <c r="U126" i="22" s="1"/>
  <c r="T127" i="22"/>
  <c r="T128" i="22"/>
  <c r="U128" i="22" s="1"/>
  <c r="T129" i="22"/>
  <c r="U129" i="22" s="1"/>
  <c r="T130" i="22"/>
  <c r="U79" i="22"/>
  <c r="U82" i="22"/>
  <c r="U83" i="22"/>
  <c r="U84" i="22"/>
  <c r="U85" i="22"/>
  <c r="U86" i="22"/>
  <c r="U89" i="22"/>
  <c r="U91" i="22"/>
  <c r="U94" i="22"/>
  <c r="U95" i="22"/>
  <c r="U96" i="22"/>
  <c r="U97" i="22"/>
  <c r="U98" i="22"/>
  <c r="U101" i="22"/>
  <c r="U103" i="22"/>
  <c r="U106" i="22"/>
  <c r="U107" i="22"/>
  <c r="U108" i="22"/>
  <c r="U109" i="22"/>
  <c r="U110" i="22"/>
  <c r="U113" i="22"/>
  <c r="U115" i="22"/>
  <c r="U118" i="22"/>
  <c r="U119" i="22"/>
  <c r="U120" i="22"/>
  <c r="U121" i="22"/>
  <c r="U122" i="22"/>
  <c r="U125" i="22"/>
  <c r="U127" i="22"/>
  <c r="U130" i="22"/>
  <c r="C79" i="22"/>
  <c r="C80" i="22" s="1"/>
  <c r="C81" i="22" s="1"/>
  <c r="C82" i="22" s="1"/>
  <c r="C83" i="22" s="1"/>
  <c r="C84" i="22" s="1"/>
  <c r="C85" i="22" s="1"/>
  <c r="C86" i="22" s="1"/>
  <c r="C87" i="22" s="1"/>
  <c r="C88" i="22" s="1"/>
  <c r="C89" i="22" s="1"/>
  <c r="C90" i="22" s="1"/>
  <c r="C91" i="22" s="1"/>
  <c r="C92" i="22" s="1"/>
  <c r="C93" i="22" s="1"/>
  <c r="C94" i="22" s="1"/>
  <c r="C95" i="22" s="1"/>
  <c r="C96" i="22" s="1"/>
  <c r="C97" i="22" s="1"/>
  <c r="C98" i="22" s="1"/>
  <c r="C99" i="22" s="1"/>
  <c r="C100" i="22" s="1"/>
  <c r="C101" i="22" s="1"/>
  <c r="C102" i="22" s="1"/>
  <c r="C103" i="22" s="1"/>
  <c r="C104" i="22" s="1"/>
  <c r="C105" i="22" s="1"/>
  <c r="C106" i="22" s="1"/>
  <c r="C107" i="22" s="1"/>
  <c r="C108" i="22" s="1"/>
  <c r="C109" i="22" s="1"/>
  <c r="C110" i="22" s="1"/>
  <c r="C111" i="22" s="1"/>
  <c r="C112" i="22" s="1"/>
  <c r="C113" i="22" s="1"/>
  <c r="C114" i="22" s="1"/>
  <c r="C115" i="22" s="1"/>
  <c r="C116" i="22" s="1"/>
  <c r="C117" i="22" s="1"/>
  <c r="C118" i="22" s="1"/>
  <c r="C119" i="22" s="1"/>
  <c r="C120" i="22" s="1"/>
  <c r="C121" i="22" s="1"/>
  <c r="C122" i="22" s="1"/>
  <c r="C123" i="22" s="1"/>
  <c r="C124" i="22" s="1"/>
  <c r="C125" i="22" s="1"/>
  <c r="C126" i="22" s="1"/>
  <c r="C127" i="22" s="1"/>
  <c r="C128" i="22" s="1"/>
  <c r="C129" i="22" s="1"/>
  <c r="C130" i="22" s="1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F79" i="23"/>
  <c r="F80" i="23"/>
  <c r="F81" i="23"/>
  <c r="F82" i="23"/>
  <c r="F83" i="23"/>
  <c r="F84" i="23"/>
  <c r="F85" i="23"/>
  <c r="F86" i="23"/>
  <c r="F87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F100" i="23"/>
  <c r="F101" i="23"/>
  <c r="F102" i="23"/>
  <c r="F103" i="23"/>
  <c r="F104" i="23"/>
  <c r="F105" i="23"/>
  <c r="F106" i="23"/>
  <c r="F107" i="23"/>
  <c r="F108" i="23"/>
  <c r="F109" i="23"/>
  <c r="I79" i="23"/>
  <c r="K79" i="23" s="1"/>
  <c r="I80" i="23"/>
  <c r="K80" i="23" s="1"/>
  <c r="I81" i="23"/>
  <c r="K81" i="23" s="1"/>
  <c r="I82" i="23"/>
  <c r="K82" i="23" s="1"/>
  <c r="I83" i="23"/>
  <c r="K83" i="23" s="1"/>
  <c r="I84" i="23"/>
  <c r="K84" i="23" s="1"/>
  <c r="I85" i="23"/>
  <c r="K85" i="23" s="1"/>
  <c r="I86" i="23"/>
  <c r="K86" i="23" s="1"/>
  <c r="I87" i="23"/>
  <c r="K87" i="23" s="1"/>
  <c r="I88" i="23"/>
  <c r="K88" i="23" s="1"/>
  <c r="I89" i="23"/>
  <c r="I90" i="23"/>
  <c r="K90" i="23" s="1"/>
  <c r="I91" i="23"/>
  <c r="K91" i="23" s="1"/>
  <c r="I92" i="23"/>
  <c r="K92" i="23" s="1"/>
  <c r="I93" i="23"/>
  <c r="K93" i="23" s="1"/>
  <c r="I94" i="23"/>
  <c r="K94" i="23" s="1"/>
  <c r="I95" i="23"/>
  <c r="K95" i="23" s="1"/>
  <c r="I96" i="23"/>
  <c r="K96" i="23" s="1"/>
  <c r="I97" i="23"/>
  <c r="K97" i="23" s="1"/>
  <c r="I98" i="23"/>
  <c r="K98" i="23" s="1"/>
  <c r="I99" i="23"/>
  <c r="K99" i="23" s="1"/>
  <c r="I100" i="23"/>
  <c r="K100" i="23" s="1"/>
  <c r="I101" i="23"/>
  <c r="K101" i="23" s="1"/>
  <c r="I102" i="23"/>
  <c r="K102" i="23" s="1"/>
  <c r="I103" i="23"/>
  <c r="K103" i="23" s="1"/>
  <c r="I104" i="23"/>
  <c r="K104" i="23" s="1"/>
  <c r="I105" i="23"/>
  <c r="K105" i="23" s="1"/>
  <c r="I106" i="23"/>
  <c r="K106" i="23" s="1"/>
  <c r="I107" i="23"/>
  <c r="K107" i="23" s="1"/>
  <c r="I108" i="23"/>
  <c r="K108" i="23" s="1"/>
  <c r="I109" i="23"/>
  <c r="K109" i="23" s="1"/>
  <c r="K89" i="23"/>
  <c r="P79" i="23"/>
  <c r="P80" i="23"/>
  <c r="P81" i="23"/>
  <c r="P82" i="23"/>
  <c r="P83" i="23"/>
  <c r="P84" i="23"/>
  <c r="P85" i="23"/>
  <c r="P86" i="23"/>
  <c r="P87" i="23"/>
  <c r="P88" i="23"/>
  <c r="P89" i="23"/>
  <c r="P90" i="23"/>
  <c r="P91" i="23"/>
  <c r="P92" i="23"/>
  <c r="P93" i="23"/>
  <c r="P94" i="23"/>
  <c r="P95" i="23"/>
  <c r="P96" i="23"/>
  <c r="P97" i="23"/>
  <c r="P98" i="23"/>
  <c r="P99" i="23"/>
  <c r="P100" i="23"/>
  <c r="P101" i="23"/>
  <c r="P102" i="23"/>
  <c r="P103" i="23"/>
  <c r="P104" i="23"/>
  <c r="P105" i="23"/>
  <c r="P106" i="23"/>
  <c r="P107" i="23"/>
  <c r="P108" i="23"/>
  <c r="P109" i="23"/>
  <c r="R85" i="23"/>
  <c r="R88" i="23"/>
  <c r="S88" i="23" s="1"/>
  <c r="R89" i="23"/>
  <c r="S89" i="23" s="1"/>
  <c r="R90" i="23"/>
  <c r="S90" i="23" s="1"/>
  <c r="R97" i="23"/>
  <c r="S97" i="23" s="1"/>
  <c r="R100" i="23"/>
  <c r="S100" i="23" s="1"/>
  <c r="R101" i="23"/>
  <c r="S101" i="23" s="1"/>
  <c r="R102" i="23"/>
  <c r="S102" i="23" s="1"/>
  <c r="R103" i="23"/>
  <c r="S103" i="23" s="1"/>
  <c r="R108" i="23"/>
  <c r="S108" i="23" s="1"/>
  <c r="X79" i="23"/>
  <c r="X80" i="23"/>
  <c r="X81" i="23"/>
  <c r="X82" i="23"/>
  <c r="X83" i="23"/>
  <c r="X84" i="23"/>
  <c r="X85" i="23"/>
  <c r="X86" i="23"/>
  <c r="X87" i="23"/>
  <c r="X88" i="23"/>
  <c r="X89" i="23"/>
  <c r="X90" i="23"/>
  <c r="X91" i="23"/>
  <c r="X92" i="23"/>
  <c r="X93" i="23"/>
  <c r="X94" i="23"/>
  <c r="X95" i="23"/>
  <c r="X96" i="23"/>
  <c r="X97" i="23"/>
  <c r="X98" i="23"/>
  <c r="X99" i="23"/>
  <c r="X100" i="23"/>
  <c r="X101" i="23"/>
  <c r="X102" i="23"/>
  <c r="X103" i="23"/>
  <c r="X104" i="23"/>
  <c r="X105" i="23"/>
  <c r="X106" i="23"/>
  <c r="X107" i="23"/>
  <c r="X108" i="23"/>
  <c r="X109" i="23"/>
  <c r="Z79" i="23"/>
  <c r="AA79" i="23" s="1"/>
  <c r="Z80" i="23"/>
  <c r="AA80" i="23" s="1"/>
  <c r="Z81" i="23"/>
  <c r="AA81" i="23" s="1"/>
  <c r="Z82" i="23"/>
  <c r="AA82" i="23" s="1"/>
  <c r="Z83" i="23"/>
  <c r="AA83" i="23" s="1"/>
  <c r="Z84" i="23"/>
  <c r="AA84" i="23" s="1"/>
  <c r="Z85" i="23"/>
  <c r="AA85" i="23" s="1"/>
  <c r="Z86" i="23"/>
  <c r="AA86" i="23" s="1"/>
  <c r="Z87" i="23"/>
  <c r="AA87" i="23" s="1"/>
  <c r="Z88" i="23"/>
  <c r="AA88" i="23" s="1"/>
  <c r="Z89" i="23"/>
  <c r="AA89" i="23" s="1"/>
  <c r="Z90" i="23"/>
  <c r="AA90" i="23" s="1"/>
  <c r="Z91" i="23"/>
  <c r="AA91" i="23" s="1"/>
  <c r="Z92" i="23"/>
  <c r="AA92" i="23" s="1"/>
  <c r="Z93" i="23"/>
  <c r="Z94" i="23"/>
  <c r="AA94" i="23" s="1"/>
  <c r="Z95" i="23"/>
  <c r="AA95" i="23" s="1"/>
  <c r="Z96" i="23"/>
  <c r="AA96" i="23" s="1"/>
  <c r="Z97" i="23"/>
  <c r="Z98" i="23"/>
  <c r="AA98" i="23" s="1"/>
  <c r="Z99" i="23"/>
  <c r="AA99" i="23" s="1"/>
  <c r="Z100" i="23"/>
  <c r="AA100" i="23" s="1"/>
  <c r="Z101" i="23"/>
  <c r="Z102" i="23"/>
  <c r="AA102" i="23" s="1"/>
  <c r="Z103" i="23"/>
  <c r="AA103" i="23" s="1"/>
  <c r="Z104" i="23"/>
  <c r="AA104" i="23" s="1"/>
  <c r="Z105" i="23"/>
  <c r="Z106" i="23"/>
  <c r="AA106" i="23" s="1"/>
  <c r="Z107" i="23"/>
  <c r="AA107" i="23" s="1"/>
  <c r="Z108" i="23"/>
  <c r="AA108" i="23" s="1"/>
  <c r="Z109" i="23"/>
  <c r="AA109" i="23" s="1"/>
  <c r="AA93" i="23"/>
  <c r="AA97" i="23"/>
  <c r="AA105" i="23"/>
  <c r="C79" i="23"/>
  <c r="C80" i="23"/>
  <c r="C81" i="23"/>
  <c r="C82" i="23"/>
  <c r="C83" i="23" s="1"/>
  <c r="C84" i="23" s="1"/>
  <c r="C85" i="23" s="1"/>
  <c r="C86" i="23" s="1"/>
  <c r="C87" i="23" s="1"/>
  <c r="C88" i="23" s="1"/>
  <c r="C89" i="23" s="1"/>
  <c r="C90" i="23" s="1"/>
  <c r="C91" i="23" s="1"/>
  <c r="C92" i="23" s="1"/>
  <c r="C93" i="23" s="1"/>
  <c r="C94" i="23" s="1"/>
  <c r="C95" i="23" s="1"/>
  <c r="C96" i="23" s="1"/>
  <c r="C97" i="23" s="1"/>
  <c r="C98" i="23" s="1"/>
  <c r="C99" i="23" s="1"/>
  <c r="C100" i="23" s="1"/>
  <c r="C101" i="23" s="1"/>
  <c r="C102" i="23" s="1"/>
  <c r="C103" i="23" s="1"/>
  <c r="C104" i="23" s="1"/>
  <c r="C105" i="23" s="1"/>
  <c r="C106" i="23" s="1"/>
  <c r="C107" i="23" s="1"/>
  <c r="C108" i="23" s="1"/>
  <c r="C109" i="23" s="1"/>
  <c r="V66" i="23"/>
  <c r="R64" i="22"/>
  <c r="S64" i="22" s="1"/>
  <c r="R65" i="22"/>
  <c r="S65" i="22" s="1"/>
  <c r="R66" i="22"/>
  <c r="S66" i="22"/>
  <c r="D64" i="22"/>
  <c r="D65" i="22"/>
  <c r="D66" i="22"/>
  <c r="AF43" i="23"/>
  <c r="AF42" i="23"/>
  <c r="Z9" i="23"/>
  <c r="Z10" i="23"/>
  <c r="Z11" i="23"/>
  <c r="Z12" i="23"/>
  <c r="Z13" i="23"/>
  <c r="Z14" i="23"/>
  <c r="Z15" i="23"/>
  <c r="Z16" i="23"/>
  <c r="Z17" i="23"/>
  <c r="Z18" i="23"/>
  <c r="Z19" i="23"/>
  <c r="Z20" i="23"/>
  <c r="Z21" i="23"/>
  <c r="Z22" i="23"/>
  <c r="Z23" i="23"/>
  <c r="Z24" i="23"/>
  <c r="Z25" i="23"/>
  <c r="Z26" i="23"/>
  <c r="Z27" i="23"/>
  <c r="Z28" i="23"/>
  <c r="Z29" i="23"/>
  <c r="Z30" i="23"/>
  <c r="Z31" i="23"/>
  <c r="Z32" i="23"/>
  <c r="Z33" i="23"/>
  <c r="Z34" i="23"/>
  <c r="Z35" i="23"/>
  <c r="Z36" i="23"/>
  <c r="Z37" i="23"/>
  <c r="Z38" i="23"/>
  <c r="Z39" i="23"/>
  <c r="Z40" i="23"/>
  <c r="Z41" i="23"/>
  <c r="Z42" i="23"/>
  <c r="Z43" i="23"/>
  <c r="Z44" i="23"/>
  <c r="Z45" i="23"/>
  <c r="Z46" i="23"/>
  <c r="Z47" i="23"/>
  <c r="Z48" i="23"/>
  <c r="Z49" i="23"/>
  <c r="Z50" i="23"/>
  <c r="Z51" i="23"/>
  <c r="Z52" i="23"/>
  <c r="Z53" i="23"/>
  <c r="Z54" i="23"/>
  <c r="Z55" i="23"/>
  <c r="Z56" i="23"/>
  <c r="Z57" i="23"/>
  <c r="Z58" i="23"/>
  <c r="Z59" i="23"/>
  <c r="Z60" i="23"/>
  <c r="Z61" i="23"/>
  <c r="Z62" i="23"/>
  <c r="Z63" i="23"/>
  <c r="Z64" i="23"/>
  <c r="Z65" i="23"/>
  <c r="Z66" i="23"/>
  <c r="Z67" i="23"/>
  <c r="Z68" i="23"/>
  <c r="Z69" i="23"/>
  <c r="Z70" i="23"/>
  <c r="Z71" i="23"/>
  <c r="Z72" i="23"/>
  <c r="Z73" i="23"/>
  <c r="Z74" i="23"/>
  <c r="Z75" i="23"/>
  <c r="Z76" i="23"/>
  <c r="Z77" i="23"/>
  <c r="Z78" i="23"/>
  <c r="Z8" i="23"/>
  <c r="R10" i="23"/>
  <c r="R11" i="23"/>
  <c r="R14" i="23"/>
  <c r="R16" i="23"/>
  <c r="R17" i="23"/>
  <c r="R22" i="23"/>
  <c r="R23" i="23"/>
  <c r="R26" i="23"/>
  <c r="R27" i="23"/>
  <c r="R29" i="23"/>
  <c r="R34" i="23"/>
  <c r="R35" i="23"/>
  <c r="R38" i="23"/>
  <c r="R40" i="23"/>
  <c r="R41" i="23"/>
  <c r="R46" i="23"/>
  <c r="R47" i="23"/>
  <c r="R50" i="23"/>
  <c r="R51" i="23"/>
  <c r="R53" i="23"/>
  <c r="R58" i="23"/>
  <c r="R59" i="23"/>
  <c r="R62" i="23"/>
  <c r="R64" i="23"/>
  <c r="R65" i="23"/>
  <c r="R70" i="23"/>
  <c r="R71" i="23"/>
  <c r="R74" i="23"/>
  <c r="R75" i="23"/>
  <c r="R77" i="23"/>
  <c r="P19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O19" i="23"/>
  <c r="O21" i="23"/>
  <c r="P21" i="23" s="1"/>
  <c r="O31" i="23"/>
  <c r="P31" i="23" s="1"/>
  <c r="O33" i="23"/>
  <c r="P33" i="23" s="1"/>
  <c r="O43" i="23"/>
  <c r="P43" i="23" s="1"/>
  <c r="O45" i="23"/>
  <c r="P45" i="23" s="1"/>
  <c r="O55" i="23"/>
  <c r="P55" i="23" s="1"/>
  <c r="O57" i="23"/>
  <c r="P57" i="23" s="1"/>
  <c r="N9" i="23"/>
  <c r="N10" i="23"/>
  <c r="O10" i="23" s="1"/>
  <c r="P10" i="23" s="1"/>
  <c r="N11" i="23"/>
  <c r="O11" i="23" s="1"/>
  <c r="P11" i="23" s="1"/>
  <c r="N12" i="23"/>
  <c r="O12" i="23" s="1"/>
  <c r="P12" i="23" s="1"/>
  <c r="N13" i="23"/>
  <c r="O13" i="23" s="1"/>
  <c r="P13" i="23" s="1"/>
  <c r="N14" i="23"/>
  <c r="O14" i="23" s="1"/>
  <c r="P14" i="23" s="1"/>
  <c r="N15" i="23"/>
  <c r="O15" i="23" s="1"/>
  <c r="P15" i="23" s="1"/>
  <c r="N16" i="23"/>
  <c r="O16" i="23" s="1"/>
  <c r="P16" i="23" s="1"/>
  <c r="N17" i="23"/>
  <c r="O17" i="23" s="1"/>
  <c r="P17" i="23" s="1"/>
  <c r="N18" i="23"/>
  <c r="O18" i="23" s="1"/>
  <c r="P18" i="23" s="1"/>
  <c r="N19" i="23"/>
  <c r="N20" i="23"/>
  <c r="O20" i="23" s="1"/>
  <c r="P20" i="23" s="1"/>
  <c r="N21" i="23"/>
  <c r="N22" i="23"/>
  <c r="O22" i="23" s="1"/>
  <c r="P22" i="23" s="1"/>
  <c r="N23" i="23"/>
  <c r="O23" i="23" s="1"/>
  <c r="P23" i="23" s="1"/>
  <c r="N24" i="23"/>
  <c r="O24" i="23" s="1"/>
  <c r="P24" i="23" s="1"/>
  <c r="N25" i="23"/>
  <c r="O25" i="23" s="1"/>
  <c r="P25" i="23" s="1"/>
  <c r="N26" i="23"/>
  <c r="O26" i="23" s="1"/>
  <c r="P26" i="23" s="1"/>
  <c r="N27" i="23"/>
  <c r="O27" i="23" s="1"/>
  <c r="P27" i="23" s="1"/>
  <c r="N28" i="23"/>
  <c r="O28" i="23" s="1"/>
  <c r="P28" i="23" s="1"/>
  <c r="N29" i="23"/>
  <c r="O29" i="23" s="1"/>
  <c r="P29" i="23" s="1"/>
  <c r="N30" i="23"/>
  <c r="O30" i="23" s="1"/>
  <c r="P30" i="23" s="1"/>
  <c r="N31" i="23"/>
  <c r="N32" i="23"/>
  <c r="O32" i="23" s="1"/>
  <c r="P32" i="23" s="1"/>
  <c r="N33" i="23"/>
  <c r="N34" i="23"/>
  <c r="O34" i="23" s="1"/>
  <c r="P34" i="23" s="1"/>
  <c r="N35" i="23"/>
  <c r="O35" i="23" s="1"/>
  <c r="P35" i="23" s="1"/>
  <c r="N36" i="23"/>
  <c r="O36" i="23" s="1"/>
  <c r="P36" i="23" s="1"/>
  <c r="N37" i="23"/>
  <c r="O37" i="23" s="1"/>
  <c r="P37" i="23" s="1"/>
  <c r="N38" i="23"/>
  <c r="O38" i="23" s="1"/>
  <c r="P38" i="23" s="1"/>
  <c r="N39" i="23"/>
  <c r="O39" i="23" s="1"/>
  <c r="P39" i="23" s="1"/>
  <c r="N40" i="23"/>
  <c r="O40" i="23" s="1"/>
  <c r="P40" i="23" s="1"/>
  <c r="N41" i="23"/>
  <c r="O41" i="23" s="1"/>
  <c r="P41" i="23" s="1"/>
  <c r="N42" i="23"/>
  <c r="O42" i="23" s="1"/>
  <c r="P42" i="23" s="1"/>
  <c r="N43" i="23"/>
  <c r="N44" i="23"/>
  <c r="O44" i="23" s="1"/>
  <c r="P44" i="23" s="1"/>
  <c r="N45" i="23"/>
  <c r="N46" i="23"/>
  <c r="O46" i="23" s="1"/>
  <c r="P46" i="23" s="1"/>
  <c r="N47" i="23"/>
  <c r="O47" i="23" s="1"/>
  <c r="P47" i="23" s="1"/>
  <c r="N48" i="23"/>
  <c r="O48" i="23" s="1"/>
  <c r="P48" i="23" s="1"/>
  <c r="N49" i="23"/>
  <c r="O49" i="23" s="1"/>
  <c r="P49" i="23" s="1"/>
  <c r="N50" i="23"/>
  <c r="O50" i="23" s="1"/>
  <c r="P50" i="23" s="1"/>
  <c r="N51" i="23"/>
  <c r="O51" i="23" s="1"/>
  <c r="P51" i="23" s="1"/>
  <c r="N52" i="23"/>
  <c r="O52" i="23" s="1"/>
  <c r="P52" i="23" s="1"/>
  <c r="N53" i="23"/>
  <c r="O53" i="23" s="1"/>
  <c r="P53" i="23" s="1"/>
  <c r="N54" i="23"/>
  <c r="O54" i="23" s="1"/>
  <c r="P54" i="23" s="1"/>
  <c r="N55" i="23"/>
  <c r="N56" i="23"/>
  <c r="O56" i="23" s="1"/>
  <c r="P56" i="23" s="1"/>
  <c r="N57" i="23"/>
  <c r="N58" i="23"/>
  <c r="O58" i="23" s="1"/>
  <c r="P58" i="23" s="1"/>
  <c r="N59" i="23"/>
  <c r="O59" i="23" s="1"/>
  <c r="P59" i="23" s="1"/>
  <c r="N60" i="23"/>
  <c r="O60" i="23" s="1"/>
  <c r="P60" i="23" s="1"/>
  <c r="N61" i="23"/>
  <c r="O61" i="23" s="1"/>
  <c r="P61" i="23" s="1"/>
  <c r="N62" i="23"/>
  <c r="O62" i="23" s="1"/>
  <c r="P62" i="23" s="1"/>
  <c r="N63" i="23"/>
  <c r="O63" i="23" s="1"/>
  <c r="P63" i="23" s="1"/>
  <c r="N8" i="23"/>
  <c r="O9" i="23" s="1"/>
  <c r="P9" i="23" s="1"/>
  <c r="F67" i="23"/>
  <c r="F68" i="23"/>
  <c r="F69" i="23"/>
  <c r="F70" i="23"/>
  <c r="F71" i="23"/>
  <c r="F72" i="23"/>
  <c r="F73" i="23"/>
  <c r="F74" i="23"/>
  <c r="F75" i="23"/>
  <c r="F76" i="23"/>
  <c r="F77" i="23"/>
  <c r="F78" i="23"/>
  <c r="AF55" i="23"/>
  <c r="AF56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E10" i="23"/>
  <c r="F10" i="23" s="1"/>
  <c r="E11" i="23"/>
  <c r="F11" i="23" s="1"/>
  <c r="E12" i="23"/>
  <c r="F12" i="23" s="1"/>
  <c r="E13" i="23"/>
  <c r="F13" i="23" s="1"/>
  <c r="E14" i="23"/>
  <c r="F14" i="23" s="1"/>
  <c r="E15" i="23"/>
  <c r="F15" i="23" s="1"/>
  <c r="E16" i="23"/>
  <c r="F16" i="23" s="1"/>
  <c r="E17" i="23"/>
  <c r="F17" i="23" s="1"/>
  <c r="E18" i="23"/>
  <c r="F18" i="23" s="1"/>
  <c r="E19" i="23"/>
  <c r="F19" i="23" s="1"/>
  <c r="E20" i="23"/>
  <c r="F20" i="23" s="1"/>
  <c r="E21" i="23"/>
  <c r="F21" i="23" s="1"/>
  <c r="E22" i="23"/>
  <c r="F22" i="23" s="1"/>
  <c r="E23" i="23"/>
  <c r="F23" i="23" s="1"/>
  <c r="E24" i="23"/>
  <c r="F24" i="23" s="1"/>
  <c r="E25" i="23"/>
  <c r="F25" i="23" s="1"/>
  <c r="E26" i="23"/>
  <c r="F26" i="23" s="1"/>
  <c r="E27" i="23"/>
  <c r="F27" i="23" s="1"/>
  <c r="E28" i="23"/>
  <c r="F28" i="23" s="1"/>
  <c r="E29" i="23"/>
  <c r="F29" i="23" s="1"/>
  <c r="E30" i="23"/>
  <c r="F30" i="23" s="1"/>
  <c r="E31" i="23"/>
  <c r="F31" i="23" s="1"/>
  <c r="E32" i="23"/>
  <c r="F32" i="23" s="1"/>
  <c r="E33" i="23"/>
  <c r="F33" i="23" s="1"/>
  <c r="E34" i="23"/>
  <c r="F34" i="23" s="1"/>
  <c r="E35" i="23"/>
  <c r="F35" i="23" s="1"/>
  <c r="E36" i="23"/>
  <c r="F36" i="23" s="1"/>
  <c r="E37" i="23"/>
  <c r="F37" i="23" s="1"/>
  <c r="E38" i="23"/>
  <c r="F38" i="23" s="1"/>
  <c r="E39" i="23"/>
  <c r="F39" i="23" s="1"/>
  <c r="E40" i="23"/>
  <c r="F40" i="23" s="1"/>
  <c r="E41" i="23"/>
  <c r="F41" i="23" s="1"/>
  <c r="E42" i="23"/>
  <c r="F42" i="23" s="1"/>
  <c r="E43" i="23"/>
  <c r="F43" i="23" s="1"/>
  <c r="E44" i="23"/>
  <c r="F44" i="23" s="1"/>
  <c r="E45" i="23"/>
  <c r="F45" i="23" s="1"/>
  <c r="E46" i="23"/>
  <c r="F46" i="23" s="1"/>
  <c r="E47" i="23"/>
  <c r="F47" i="23" s="1"/>
  <c r="E48" i="23"/>
  <c r="F48" i="23" s="1"/>
  <c r="E49" i="23"/>
  <c r="F49" i="23" s="1"/>
  <c r="E50" i="23"/>
  <c r="F50" i="23" s="1"/>
  <c r="E51" i="23"/>
  <c r="F51" i="23" s="1"/>
  <c r="E52" i="23"/>
  <c r="F52" i="23" s="1"/>
  <c r="E53" i="23"/>
  <c r="F53" i="23" s="1"/>
  <c r="E54" i="23"/>
  <c r="F54" i="23" s="1"/>
  <c r="E55" i="23"/>
  <c r="F55" i="23" s="1"/>
  <c r="E56" i="23"/>
  <c r="F56" i="23" s="1"/>
  <c r="E57" i="23"/>
  <c r="F57" i="23" s="1"/>
  <c r="E58" i="23"/>
  <c r="F58" i="23" s="1"/>
  <c r="E59" i="23"/>
  <c r="F59" i="23" s="1"/>
  <c r="E60" i="23"/>
  <c r="F60" i="23" s="1"/>
  <c r="E61" i="23"/>
  <c r="F61" i="23" s="1"/>
  <c r="E62" i="23"/>
  <c r="F62" i="23" s="1"/>
  <c r="E63" i="23"/>
  <c r="F63" i="23" s="1"/>
  <c r="E64" i="23"/>
  <c r="F64" i="23" s="1"/>
  <c r="E65" i="23"/>
  <c r="F65" i="23" s="1"/>
  <c r="E66" i="23"/>
  <c r="F66" i="23" s="1"/>
  <c r="E9" i="23"/>
  <c r="F9" i="23" s="1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8" i="23"/>
  <c r="L64" i="22"/>
  <c r="L65" i="22"/>
  <c r="L66" i="22"/>
  <c r="I112" i="23" l="1"/>
  <c r="K112" i="23" s="1"/>
  <c r="I120" i="23"/>
  <c r="K120" i="23" s="1"/>
  <c r="I128" i="23"/>
  <c r="K128" i="23" s="1"/>
  <c r="Z119" i="23"/>
  <c r="AA119" i="23" s="1"/>
  <c r="Z128" i="23"/>
  <c r="AA128" i="23" s="1"/>
  <c r="H120" i="23"/>
  <c r="J120" i="23" s="1"/>
  <c r="Z125" i="23"/>
  <c r="AA125" i="23" s="1"/>
  <c r="Z115" i="23"/>
  <c r="AA115" i="23" s="1"/>
  <c r="R63" i="23"/>
  <c r="R39" i="23"/>
  <c r="R15" i="23"/>
  <c r="R91" i="23"/>
  <c r="S91" i="23" s="1"/>
  <c r="R127" i="23"/>
  <c r="S127" i="23" s="1"/>
  <c r="R76" i="23"/>
  <c r="R52" i="23"/>
  <c r="R28" i="23"/>
  <c r="AF30" i="23"/>
  <c r="R109" i="23"/>
  <c r="S109" i="23" s="1"/>
  <c r="S128" i="23"/>
  <c r="H101" i="23"/>
  <c r="J101" i="23" s="1"/>
  <c r="H127" i="23"/>
  <c r="R73" i="23"/>
  <c r="R61" i="23"/>
  <c r="R49" i="23"/>
  <c r="R37" i="23"/>
  <c r="R25" i="23"/>
  <c r="R13" i="23"/>
  <c r="R99" i="23"/>
  <c r="S99" i="23" s="1"/>
  <c r="R87" i="23"/>
  <c r="S87" i="23" s="1"/>
  <c r="R119" i="23"/>
  <c r="S119" i="23" s="1"/>
  <c r="R125" i="23"/>
  <c r="H126" i="23"/>
  <c r="J126" i="23" s="1"/>
  <c r="R72" i="23"/>
  <c r="R60" i="23"/>
  <c r="R48" i="23"/>
  <c r="R36" i="23"/>
  <c r="R24" i="23"/>
  <c r="R12" i="23"/>
  <c r="R98" i="23"/>
  <c r="S98" i="23" s="1"/>
  <c r="R86" i="23"/>
  <c r="S86" i="23" s="1"/>
  <c r="R118" i="23"/>
  <c r="H118" i="23" s="1"/>
  <c r="J118" i="23" s="1"/>
  <c r="R124" i="23"/>
  <c r="R117" i="23"/>
  <c r="S117" i="23" s="1"/>
  <c r="R96" i="23"/>
  <c r="S96" i="23" s="1"/>
  <c r="R116" i="23"/>
  <c r="R57" i="23"/>
  <c r="R45" i="23"/>
  <c r="R33" i="23"/>
  <c r="R9" i="23"/>
  <c r="R107" i="23"/>
  <c r="S107" i="23" s="1"/>
  <c r="R95" i="23"/>
  <c r="S95" i="23" s="1"/>
  <c r="R83" i="23"/>
  <c r="S83" i="23" s="1"/>
  <c r="R115" i="23"/>
  <c r="S115" i="23" s="1"/>
  <c r="R130" i="23"/>
  <c r="R84" i="23"/>
  <c r="S84" i="23" s="1"/>
  <c r="R69" i="23"/>
  <c r="R21" i="23"/>
  <c r="R68" i="23"/>
  <c r="R56" i="23"/>
  <c r="R44" i="23"/>
  <c r="R32" i="23"/>
  <c r="R20" i="23"/>
  <c r="R106" i="23"/>
  <c r="S106" i="23" s="1"/>
  <c r="R94" i="23"/>
  <c r="S94" i="23" s="1"/>
  <c r="R82" i="23"/>
  <c r="S82" i="23" s="1"/>
  <c r="R114" i="23"/>
  <c r="S114" i="23" s="1"/>
  <c r="R129" i="23"/>
  <c r="R67" i="23"/>
  <c r="R55" i="23"/>
  <c r="R43" i="23"/>
  <c r="R31" i="23"/>
  <c r="R19" i="23"/>
  <c r="AF29" i="23"/>
  <c r="R105" i="23"/>
  <c r="S105" i="23" s="1"/>
  <c r="R93" i="23"/>
  <c r="S93" i="23" s="1"/>
  <c r="R81" i="23"/>
  <c r="S81" i="23" s="1"/>
  <c r="R113" i="23"/>
  <c r="S113" i="23" s="1"/>
  <c r="R8" i="23"/>
  <c r="R78" i="23"/>
  <c r="H78" i="23" s="1"/>
  <c r="R66" i="23"/>
  <c r="R54" i="23"/>
  <c r="R42" i="23"/>
  <c r="R30" i="23"/>
  <c r="R18" i="23"/>
  <c r="R104" i="23"/>
  <c r="H104" i="23" s="1"/>
  <c r="J104" i="23" s="1"/>
  <c r="R92" i="23"/>
  <c r="H92" i="23" s="1"/>
  <c r="J92" i="23" s="1"/>
  <c r="R80" i="23"/>
  <c r="H80" i="23" s="1"/>
  <c r="J80" i="23" s="1"/>
  <c r="R112" i="23"/>
  <c r="S112" i="23" s="1"/>
  <c r="R123" i="23"/>
  <c r="H123" i="23" s="1"/>
  <c r="J123" i="23" s="1"/>
  <c r="R111" i="23"/>
  <c r="H111" i="23" s="1"/>
  <c r="J111" i="23" s="1"/>
  <c r="R122" i="23"/>
  <c r="R110" i="23"/>
  <c r="S110" i="23" s="1"/>
  <c r="J127" i="23"/>
  <c r="H121" i="23"/>
  <c r="J121" i="23" s="1"/>
  <c r="S121" i="23"/>
  <c r="S120" i="23"/>
  <c r="S118" i="23"/>
  <c r="H116" i="23"/>
  <c r="J116" i="23" s="1"/>
  <c r="S126" i="23"/>
  <c r="S116" i="23"/>
  <c r="H109" i="23"/>
  <c r="J109" i="23" s="1"/>
  <c r="H85" i="23"/>
  <c r="J85" i="23" s="1"/>
  <c r="H89" i="23"/>
  <c r="J89" i="23" s="1"/>
  <c r="AA101" i="23"/>
  <c r="H102" i="23"/>
  <c r="J102" i="23" s="1"/>
  <c r="H90" i="23"/>
  <c r="J90" i="23" s="1"/>
  <c r="H114" i="23"/>
  <c r="J114" i="23" s="1"/>
  <c r="H100" i="23"/>
  <c r="J100" i="23" s="1"/>
  <c r="H88" i="23"/>
  <c r="J88" i="23" s="1"/>
  <c r="S111" i="23"/>
  <c r="H98" i="23"/>
  <c r="J98" i="23" s="1"/>
  <c r="H97" i="23"/>
  <c r="J97" i="23" s="1"/>
  <c r="H108" i="23"/>
  <c r="J108" i="23" s="1"/>
  <c r="H95" i="23"/>
  <c r="J95" i="23" s="1"/>
  <c r="H106" i="23"/>
  <c r="J106" i="23" s="1"/>
  <c r="H82" i="23"/>
  <c r="J82" i="23" s="1"/>
  <c r="H93" i="23"/>
  <c r="J93" i="23" s="1"/>
  <c r="S85" i="23"/>
  <c r="H103" i="23"/>
  <c r="J103" i="23" s="1"/>
  <c r="H79" i="23"/>
  <c r="J79" i="23" s="1"/>
  <c r="O129" i="22"/>
  <c r="O117" i="22"/>
  <c r="O105" i="22"/>
  <c r="O93" i="22"/>
  <c r="O81" i="22"/>
  <c r="O128" i="22"/>
  <c r="O116" i="22"/>
  <c r="O104" i="22"/>
  <c r="O92" i="22"/>
  <c r="O80" i="22"/>
  <c r="O126" i="22"/>
  <c r="O114" i="22"/>
  <c r="O102" i="22"/>
  <c r="O90" i="22"/>
  <c r="O124" i="22"/>
  <c r="O112" i="22"/>
  <c r="O100" i="22"/>
  <c r="O88" i="22"/>
  <c r="O123" i="22"/>
  <c r="O111" i="22"/>
  <c r="O99" i="22"/>
  <c r="O87" i="22"/>
  <c r="S104" i="23"/>
  <c r="S92" i="23"/>
  <c r="N66" i="23"/>
  <c r="N65" i="23"/>
  <c r="N64" i="23"/>
  <c r="O64" i="23" s="1"/>
  <c r="P64" i="23" s="1"/>
  <c r="H115" i="23" l="1"/>
  <c r="J115" i="23" s="1"/>
  <c r="H128" i="23"/>
  <c r="J128" i="23" s="1"/>
  <c r="H83" i="23"/>
  <c r="J83" i="23" s="1"/>
  <c r="H117" i="23"/>
  <c r="J117" i="23" s="1"/>
  <c r="S123" i="23"/>
  <c r="H99" i="23"/>
  <c r="J99" i="23" s="1"/>
  <c r="H91" i="23"/>
  <c r="J91" i="23" s="1"/>
  <c r="H84" i="23"/>
  <c r="J84" i="23" s="1"/>
  <c r="H105" i="23"/>
  <c r="J105" i="23" s="1"/>
  <c r="S80" i="23"/>
  <c r="H87" i="23"/>
  <c r="J87" i="23" s="1"/>
  <c r="H94" i="23"/>
  <c r="J94" i="23" s="1"/>
  <c r="H113" i="23"/>
  <c r="J113" i="23" s="1"/>
  <c r="H107" i="23"/>
  <c r="J107" i="23" s="1"/>
  <c r="H110" i="23"/>
  <c r="J110" i="23" s="1"/>
  <c r="H81" i="23"/>
  <c r="J81" i="23" s="1"/>
  <c r="H96" i="23"/>
  <c r="J96" i="23" s="1"/>
  <c r="H112" i="23"/>
  <c r="J112" i="23" s="1"/>
  <c r="H129" i="23"/>
  <c r="J129" i="23" s="1"/>
  <c r="S129" i="23"/>
  <c r="S125" i="23"/>
  <c r="H125" i="23"/>
  <c r="J125" i="23" s="1"/>
  <c r="S122" i="23"/>
  <c r="H122" i="23"/>
  <c r="J122" i="23" s="1"/>
  <c r="S124" i="23"/>
  <c r="H124" i="23"/>
  <c r="J124" i="23" s="1"/>
  <c r="H130" i="23"/>
  <c r="J130" i="23" s="1"/>
  <c r="S130" i="23"/>
  <c r="H86" i="23"/>
  <c r="J86" i="23" s="1"/>
  <c r="H119" i="23"/>
  <c r="J119" i="23" s="1"/>
  <c r="O66" i="23"/>
  <c r="P66" i="23" s="1"/>
  <c r="O65" i="23"/>
  <c r="P65" i="23" s="1"/>
  <c r="X67" i="23" l="1"/>
  <c r="X68" i="23"/>
  <c r="X69" i="23"/>
  <c r="X70" i="23"/>
  <c r="X71" i="23"/>
  <c r="X72" i="23"/>
  <c r="X73" i="23"/>
  <c r="X74" i="23"/>
  <c r="X75" i="23"/>
  <c r="X76" i="23"/>
  <c r="X77" i="23"/>
  <c r="X78" i="23"/>
  <c r="C10" i="23"/>
  <c r="C11" i="23"/>
  <c r="C12" i="23"/>
  <c r="C13" i="23"/>
  <c r="C14" i="23"/>
  <c r="C15" i="23" s="1"/>
  <c r="C16" i="23" s="1"/>
  <c r="C17" i="23" s="1"/>
  <c r="C18" i="23" s="1"/>
  <c r="C19" i="23" s="1"/>
  <c r="C20" i="23" s="1"/>
  <c r="C21" i="23" s="1"/>
  <c r="C22" i="23" s="1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C51" i="23" s="1"/>
  <c r="C52" i="23" s="1"/>
  <c r="C53" i="23" s="1"/>
  <c r="C54" i="23" s="1"/>
  <c r="C55" i="23" s="1"/>
  <c r="C56" i="23" s="1"/>
  <c r="C57" i="23" s="1"/>
  <c r="C58" i="23" s="1"/>
  <c r="C59" i="23" s="1"/>
  <c r="C60" i="23" s="1"/>
  <c r="C61" i="23" s="1"/>
  <c r="C62" i="23" s="1"/>
  <c r="C63" i="23" s="1"/>
  <c r="C64" i="23" s="1"/>
  <c r="C65" i="23" s="1"/>
  <c r="C66" i="23" s="1"/>
  <c r="C67" i="23" s="1"/>
  <c r="C68" i="23" s="1"/>
  <c r="C69" i="23" s="1"/>
  <c r="C70" i="23" s="1"/>
  <c r="C71" i="23" s="1"/>
  <c r="C72" i="23" s="1"/>
  <c r="C73" i="23" s="1"/>
  <c r="C74" i="23" s="1"/>
  <c r="C75" i="23" s="1"/>
  <c r="C76" i="23" s="1"/>
  <c r="C77" i="23" s="1"/>
  <c r="C78" i="23" s="1"/>
  <c r="C9" i="23"/>
  <c r="T8" i="22"/>
  <c r="Y8" i="23" s="1"/>
  <c r="T9" i="22"/>
  <c r="Y9" i="23" s="1"/>
  <c r="T10" i="22"/>
  <c r="Y10" i="23" s="1"/>
  <c r="T11" i="22"/>
  <c r="Y11" i="23" s="1"/>
  <c r="T12" i="22"/>
  <c r="Y12" i="23" s="1"/>
  <c r="T13" i="22"/>
  <c r="Y13" i="23" s="1"/>
  <c r="T14" i="22"/>
  <c r="Y14" i="23" s="1"/>
  <c r="T15" i="22"/>
  <c r="Y15" i="23" s="1"/>
  <c r="T16" i="22"/>
  <c r="Y16" i="23" s="1"/>
  <c r="T17" i="22"/>
  <c r="Y17" i="23" s="1"/>
  <c r="T18" i="22"/>
  <c r="Y18" i="23" s="1"/>
  <c r="T19" i="22"/>
  <c r="Y19" i="23" s="1"/>
  <c r="T20" i="22"/>
  <c r="Y20" i="23" s="1"/>
  <c r="T21" i="22"/>
  <c r="Y21" i="23" s="1"/>
  <c r="T22" i="22"/>
  <c r="Y22" i="23" s="1"/>
  <c r="T23" i="22"/>
  <c r="Y23" i="23" s="1"/>
  <c r="T24" i="22"/>
  <c r="Y24" i="23" s="1"/>
  <c r="T25" i="22"/>
  <c r="Y25" i="23" s="1"/>
  <c r="T26" i="22"/>
  <c r="Y26" i="23" s="1"/>
  <c r="T27" i="22"/>
  <c r="Y27" i="23" s="1"/>
  <c r="T28" i="22"/>
  <c r="Y28" i="23" s="1"/>
  <c r="T29" i="22"/>
  <c r="Y29" i="23" s="1"/>
  <c r="T30" i="22"/>
  <c r="Y30" i="23" s="1"/>
  <c r="T31" i="22"/>
  <c r="Y31" i="23" s="1"/>
  <c r="T32" i="22"/>
  <c r="Y32" i="23" s="1"/>
  <c r="T33" i="22"/>
  <c r="Y33" i="23" s="1"/>
  <c r="T34" i="22"/>
  <c r="Y34" i="23" s="1"/>
  <c r="T35" i="22"/>
  <c r="Y35" i="23" s="1"/>
  <c r="T36" i="22"/>
  <c r="Y36" i="23" s="1"/>
  <c r="T37" i="22"/>
  <c r="Y37" i="23" s="1"/>
  <c r="T38" i="22"/>
  <c r="Y38" i="23" s="1"/>
  <c r="T39" i="22"/>
  <c r="Y39" i="23" s="1"/>
  <c r="T40" i="22"/>
  <c r="Y40" i="23" s="1"/>
  <c r="T41" i="22"/>
  <c r="Y41" i="23" s="1"/>
  <c r="T42" i="22"/>
  <c r="Y42" i="23" s="1"/>
  <c r="T43" i="22"/>
  <c r="Y43" i="23" s="1"/>
  <c r="T44" i="22"/>
  <c r="Y44" i="23" s="1"/>
  <c r="T45" i="22"/>
  <c r="Y45" i="23" s="1"/>
  <c r="T46" i="22"/>
  <c r="Y46" i="23" s="1"/>
  <c r="T47" i="22"/>
  <c r="Y47" i="23" s="1"/>
  <c r="T48" i="22"/>
  <c r="Y48" i="23" s="1"/>
  <c r="T49" i="22"/>
  <c r="Y49" i="23" s="1"/>
  <c r="T50" i="22"/>
  <c r="Y50" i="23" s="1"/>
  <c r="T51" i="22"/>
  <c r="Y51" i="23" s="1"/>
  <c r="T52" i="22"/>
  <c r="Y52" i="23" s="1"/>
  <c r="T53" i="22"/>
  <c r="Y53" i="23" s="1"/>
  <c r="T54" i="22"/>
  <c r="Y54" i="23" s="1"/>
  <c r="T55" i="22"/>
  <c r="Y55" i="23" s="1"/>
  <c r="T56" i="22"/>
  <c r="Y56" i="23" s="1"/>
  <c r="T57" i="22"/>
  <c r="T58" i="22"/>
  <c r="T59" i="22"/>
  <c r="T60" i="22"/>
  <c r="T61" i="22"/>
  <c r="T62" i="22"/>
  <c r="T63" i="22"/>
  <c r="T64" i="22"/>
  <c r="T65" i="22"/>
  <c r="T66" i="22"/>
  <c r="T67" i="22"/>
  <c r="T68" i="22"/>
  <c r="T69" i="22"/>
  <c r="T70" i="22"/>
  <c r="T71" i="22"/>
  <c r="T72" i="22"/>
  <c r="T73" i="22"/>
  <c r="T74" i="22"/>
  <c r="T75" i="22"/>
  <c r="T76" i="22"/>
  <c r="T77" i="22"/>
  <c r="T78" i="22"/>
  <c r="N9" i="22"/>
  <c r="Q9" i="23" s="1"/>
  <c r="N10" i="22"/>
  <c r="Q10" i="23" s="1"/>
  <c r="N11" i="22"/>
  <c r="Q11" i="23" s="1"/>
  <c r="N12" i="22"/>
  <c r="Q12" i="23" s="1"/>
  <c r="N13" i="22"/>
  <c r="Q13" i="23" s="1"/>
  <c r="N14" i="22"/>
  <c r="Q14" i="23" s="1"/>
  <c r="N15" i="22"/>
  <c r="Q15" i="23" s="1"/>
  <c r="N16" i="22"/>
  <c r="Q16" i="23" s="1"/>
  <c r="N17" i="22"/>
  <c r="Q17" i="23" s="1"/>
  <c r="N18" i="22"/>
  <c r="Q18" i="23" s="1"/>
  <c r="N19" i="22"/>
  <c r="Q19" i="23" s="1"/>
  <c r="N20" i="22"/>
  <c r="Q20" i="23" s="1"/>
  <c r="N21" i="22"/>
  <c r="Q21" i="23" s="1"/>
  <c r="N22" i="22"/>
  <c r="Q22" i="23" s="1"/>
  <c r="N23" i="22"/>
  <c r="Q23" i="23" s="1"/>
  <c r="N24" i="22"/>
  <c r="Q24" i="23" s="1"/>
  <c r="N25" i="22"/>
  <c r="Q25" i="23" s="1"/>
  <c r="N26" i="22"/>
  <c r="Q26" i="23" s="1"/>
  <c r="N27" i="22"/>
  <c r="Q27" i="23" s="1"/>
  <c r="N28" i="22"/>
  <c r="Q28" i="23" s="1"/>
  <c r="N29" i="22"/>
  <c r="Q29" i="23" s="1"/>
  <c r="N30" i="22"/>
  <c r="Q30" i="23" s="1"/>
  <c r="N31" i="22"/>
  <c r="Q31" i="23" s="1"/>
  <c r="N32" i="22"/>
  <c r="Q32" i="23" s="1"/>
  <c r="N33" i="22"/>
  <c r="Q33" i="23" s="1"/>
  <c r="N34" i="22"/>
  <c r="Q34" i="23" s="1"/>
  <c r="N35" i="22"/>
  <c r="Q35" i="23" s="1"/>
  <c r="N36" i="22"/>
  <c r="Q36" i="23" s="1"/>
  <c r="N37" i="22"/>
  <c r="Q37" i="23" s="1"/>
  <c r="N38" i="22"/>
  <c r="Q38" i="23" s="1"/>
  <c r="N39" i="22"/>
  <c r="Q39" i="23" s="1"/>
  <c r="N40" i="22"/>
  <c r="Q40" i="23" s="1"/>
  <c r="N41" i="22"/>
  <c r="Q41" i="23" s="1"/>
  <c r="N42" i="22"/>
  <c r="Q42" i="23" s="1"/>
  <c r="N43" i="22"/>
  <c r="Q43" i="23" s="1"/>
  <c r="N44" i="22"/>
  <c r="Q44" i="23" s="1"/>
  <c r="N45" i="22"/>
  <c r="Q45" i="23" s="1"/>
  <c r="N46" i="22"/>
  <c r="Q46" i="23" s="1"/>
  <c r="N47" i="22"/>
  <c r="Q47" i="23" s="1"/>
  <c r="N48" i="22"/>
  <c r="Q48" i="23" s="1"/>
  <c r="N49" i="22"/>
  <c r="Q49" i="23" s="1"/>
  <c r="N50" i="22"/>
  <c r="Q50" i="23" s="1"/>
  <c r="N51" i="22"/>
  <c r="Q51" i="23" s="1"/>
  <c r="N52" i="22"/>
  <c r="Q52" i="23" s="1"/>
  <c r="N53" i="22"/>
  <c r="Q53" i="23" s="1"/>
  <c r="N54" i="22"/>
  <c r="Q54" i="23" s="1"/>
  <c r="N55" i="22"/>
  <c r="Q55" i="23" s="1"/>
  <c r="N56" i="22"/>
  <c r="Q56" i="23" s="1"/>
  <c r="N57" i="22"/>
  <c r="Q57" i="23" s="1"/>
  <c r="N58" i="22"/>
  <c r="Q58" i="23" s="1"/>
  <c r="N59" i="22"/>
  <c r="Q59" i="23" s="1"/>
  <c r="N60" i="22"/>
  <c r="Q60" i="23" s="1"/>
  <c r="N61" i="22"/>
  <c r="Q61" i="23" s="1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8" i="22"/>
  <c r="Q8" i="23" s="1"/>
  <c r="H8" i="22"/>
  <c r="G8" i="23" s="1"/>
  <c r="H9" i="22"/>
  <c r="G9" i="23" s="1"/>
  <c r="H10" i="22"/>
  <c r="G10" i="23" s="1"/>
  <c r="H11" i="22"/>
  <c r="G11" i="23" s="1"/>
  <c r="H12" i="22"/>
  <c r="G12" i="23" s="1"/>
  <c r="H13" i="22"/>
  <c r="G13" i="23" s="1"/>
  <c r="H14" i="22"/>
  <c r="G14" i="23" s="1"/>
  <c r="H15" i="22"/>
  <c r="G15" i="23" s="1"/>
  <c r="H16" i="22"/>
  <c r="G16" i="23" s="1"/>
  <c r="H17" i="22"/>
  <c r="G17" i="23" s="1"/>
  <c r="H18" i="22"/>
  <c r="G18" i="23" s="1"/>
  <c r="H19" i="22"/>
  <c r="G19" i="23" s="1"/>
  <c r="H20" i="22"/>
  <c r="G20" i="23" s="1"/>
  <c r="H21" i="22"/>
  <c r="G21" i="23" s="1"/>
  <c r="H22" i="22"/>
  <c r="G22" i="23" s="1"/>
  <c r="H23" i="22"/>
  <c r="G23" i="23" s="1"/>
  <c r="H24" i="22"/>
  <c r="G24" i="23" s="1"/>
  <c r="H25" i="22"/>
  <c r="G25" i="23" s="1"/>
  <c r="H26" i="22"/>
  <c r="G26" i="23" s="1"/>
  <c r="H27" i="22"/>
  <c r="G27" i="23" s="1"/>
  <c r="H28" i="22"/>
  <c r="G28" i="23" s="1"/>
  <c r="H29" i="22"/>
  <c r="G29" i="23" s="1"/>
  <c r="H30" i="22"/>
  <c r="G30" i="23" s="1"/>
  <c r="H31" i="22"/>
  <c r="G31" i="23" s="1"/>
  <c r="H32" i="22"/>
  <c r="G32" i="23" s="1"/>
  <c r="H33" i="22"/>
  <c r="G33" i="23" s="1"/>
  <c r="H34" i="22"/>
  <c r="G34" i="23" s="1"/>
  <c r="H35" i="22"/>
  <c r="G35" i="23" s="1"/>
  <c r="H36" i="22"/>
  <c r="G36" i="23" s="1"/>
  <c r="H37" i="22"/>
  <c r="G37" i="23" s="1"/>
  <c r="H38" i="22"/>
  <c r="G38" i="23" s="1"/>
  <c r="H39" i="22"/>
  <c r="G39" i="23" s="1"/>
  <c r="H40" i="22"/>
  <c r="G40" i="23" s="1"/>
  <c r="H41" i="22"/>
  <c r="G41" i="23" s="1"/>
  <c r="H42" i="22"/>
  <c r="G42" i="23" s="1"/>
  <c r="H43" i="22"/>
  <c r="G43" i="23" s="1"/>
  <c r="H44" i="22"/>
  <c r="G44" i="23" s="1"/>
  <c r="H45" i="22"/>
  <c r="G45" i="23" s="1"/>
  <c r="H46" i="22"/>
  <c r="G46" i="23" s="1"/>
  <c r="H47" i="22"/>
  <c r="G47" i="23" s="1"/>
  <c r="H48" i="22"/>
  <c r="G48" i="23" s="1"/>
  <c r="H49" i="22"/>
  <c r="G49" i="23" s="1"/>
  <c r="H50" i="22"/>
  <c r="G50" i="23" s="1"/>
  <c r="H51" i="22"/>
  <c r="G51" i="23" s="1"/>
  <c r="H52" i="22"/>
  <c r="G52" i="23" s="1"/>
  <c r="H53" i="22"/>
  <c r="G53" i="23" s="1"/>
  <c r="H54" i="22"/>
  <c r="G54" i="23" s="1"/>
  <c r="H55" i="22"/>
  <c r="G55" i="23" s="1"/>
  <c r="H56" i="22"/>
  <c r="G56" i="23" s="1"/>
  <c r="H57" i="22"/>
  <c r="G57" i="23" s="1"/>
  <c r="H58" i="22"/>
  <c r="G58" i="23" s="1"/>
  <c r="H59" i="22"/>
  <c r="G59" i="23" s="1"/>
  <c r="H60" i="22"/>
  <c r="G60" i="23" s="1"/>
  <c r="H61" i="22"/>
  <c r="G61" i="23" s="1"/>
  <c r="H62" i="22"/>
  <c r="G62" i="23" s="1"/>
  <c r="H63" i="22"/>
  <c r="G63" i="23" s="1"/>
  <c r="H64" i="22"/>
  <c r="G64" i="23" s="1"/>
  <c r="H65" i="22"/>
  <c r="G65" i="23" s="1"/>
  <c r="H66" i="22"/>
  <c r="G66" i="23" s="1"/>
  <c r="H67" i="22"/>
  <c r="G67" i="23" s="1"/>
  <c r="H68" i="22"/>
  <c r="G68" i="23" s="1"/>
  <c r="H69" i="22"/>
  <c r="G69" i="23" s="1"/>
  <c r="H70" i="22"/>
  <c r="G70" i="23" s="1"/>
  <c r="H71" i="22"/>
  <c r="G71" i="23" s="1"/>
  <c r="H72" i="22"/>
  <c r="G72" i="23" s="1"/>
  <c r="H73" i="22"/>
  <c r="G73" i="23" s="1"/>
  <c r="H74" i="22"/>
  <c r="G74" i="23" s="1"/>
  <c r="H75" i="22"/>
  <c r="G75" i="23" s="1"/>
  <c r="H76" i="22"/>
  <c r="G76" i="23" s="1"/>
  <c r="H77" i="22"/>
  <c r="G77" i="23" s="1"/>
  <c r="H78" i="22"/>
  <c r="G78" i="23" s="1"/>
  <c r="C10" i="22"/>
  <c r="C11" i="22"/>
  <c r="C12" i="22"/>
  <c r="C13" i="22"/>
  <c r="C14" i="22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9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8" i="22"/>
  <c r="L60" i="22"/>
  <c r="L61" i="22"/>
  <c r="L62" i="22"/>
  <c r="L56" i="22"/>
  <c r="L55" i="22"/>
  <c r="L58" i="22"/>
  <c r="L54" i="22"/>
  <c r="L57" i="22"/>
  <c r="L59" i="22"/>
  <c r="L63" i="22"/>
  <c r="R63" i="22" l="1"/>
  <c r="V63" i="23" s="1"/>
  <c r="V65" i="23"/>
  <c r="V64" i="23"/>
  <c r="R62" i="22"/>
  <c r="V62" i="23" s="1"/>
  <c r="W62" i="23" s="1"/>
  <c r="R61" i="22"/>
  <c r="V61" i="23" s="1"/>
  <c r="R60" i="22"/>
  <c r="V60" i="23" s="1"/>
  <c r="W60" i="23" s="1"/>
  <c r="R59" i="22"/>
  <c r="V59" i="23" s="1"/>
  <c r="W61" i="23" l="1"/>
  <c r="W63" i="23"/>
  <c r="X63" i="23" s="1"/>
  <c r="W64" i="23"/>
  <c r="X64" i="23" s="1"/>
  <c r="W65" i="23"/>
  <c r="W66" i="23"/>
  <c r="X66" i="23" s="1"/>
  <c r="X65" i="23"/>
  <c r="X61" i="23"/>
  <c r="X62" i="23"/>
  <c r="X60" i="23"/>
  <c r="S65" i="23"/>
  <c r="S72" i="23"/>
  <c r="S68" i="23"/>
  <c r="S76" i="23"/>
  <c r="S77" i="23"/>
  <c r="S70" i="23"/>
  <c r="S73" i="23"/>
  <c r="S63" i="23"/>
  <c r="S78" i="23"/>
  <c r="S75" i="23"/>
  <c r="S64" i="23"/>
  <c r="S71" i="23"/>
  <c r="S74" i="23"/>
  <c r="S67" i="23"/>
  <c r="S66" i="23"/>
  <c r="S69" i="23"/>
  <c r="AF49" i="23" l="1"/>
  <c r="S61" i="23"/>
  <c r="S62" i="23"/>
  <c r="R58" i="22" l="1"/>
  <c r="V58" i="23" s="1"/>
  <c r="R57" i="22"/>
  <c r="V57" i="23" s="1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5" i="22"/>
  <c r="M76" i="22"/>
  <c r="M77" i="22"/>
  <c r="M78" i="22"/>
  <c r="L9" i="22"/>
  <c r="L38" i="22"/>
  <c r="L46" i="22"/>
  <c r="L44" i="22"/>
  <c r="L25" i="22"/>
  <c r="L47" i="22"/>
  <c r="L28" i="22"/>
  <c r="L45" i="22"/>
  <c r="L18" i="22"/>
  <c r="L27" i="22"/>
  <c r="L16" i="22"/>
  <c r="L8" i="22"/>
  <c r="L15" i="22"/>
  <c r="L26" i="22"/>
  <c r="L17" i="22"/>
  <c r="L34" i="22"/>
  <c r="L22" i="22"/>
  <c r="L37" i="22"/>
  <c r="L24" i="22"/>
  <c r="L11" i="22"/>
  <c r="W58" i="23" l="1"/>
  <c r="W59" i="23"/>
  <c r="X59" i="23" s="1"/>
  <c r="X58" i="23"/>
  <c r="L49" i="22"/>
  <c r="L50" i="22"/>
  <c r="L13" i="22"/>
  <c r="L39" i="22"/>
  <c r="L33" i="22"/>
  <c r="L35" i="22"/>
  <c r="L14" i="22"/>
  <c r="L53" i="22"/>
  <c r="L31" i="22"/>
  <c r="L41" i="22"/>
  <c r="L21" i="22"/>
  <c r="L52" i="22"/>
  <c r="L23" i="22"/>
  <c r="L48" i="22"/>
  <c r="L20" i="22"/>
  <c r="L12" i="22"/>
  <c r="L30" i="22"/>
  <c r="L42" i="22"/>
  <c r="L10" i="22"/>
  <c r="L36" i="22"/>
  <c r="L40" i="22"/>
  <c r="L29" i="22"/>
  <c r="L19" i="22"/>
  <c r="L43" i="22"/>
  <c r="L32" i="22"/>
  <c r="L51" i="22"/>
  <c r="S57" i="23" l="1"/>
  <c r="S58" i="23"/>
  <c r="S59" i="23"/>
  <c r="S60" i="23"/>
  <c r="M58" i="22"/>
  <c r="M57" i="22"/>
  <c r="M56" i="22"/>
  <c r="M36" i="22"/>
  <c r="M23" i="22"/>
  <c r="M34" i="22"/>
  <c r="M45" i="22"/>
  <c r="M33" i="22"/>
  <c r="M21" i="22"/>
  <c r="M9" i="22"/>
  <c r="M44" i="22"/>
  <c r="M32" i="22"/>
  <c r="M20" i="22"/>
  <c r="M55" i="22"/>
  <c r="M43" i="22"/>
  <c r="M31" i="22"/>
  <c r="M19" i="22"/>
  <c r="M25" i="22"/>
  <c r="M37" i="22"/>
  <c r="M48" i="22"/>
  <c r="M47" i="22"/>
  <c r="M22" i="22"/>
  <c r="M30" i="22"/>
  <c r="M41" i="22"/>
  <c r="M52" i="22"/>
  <c r="M28" i="22"/>
  <c r="M51" i="22"/>
  <c r="M39" i="22"/>
  <c r="M27" i="22"/>
  <c r="M15" i="22"/>
  <c r="M24" i="22"/>
  <c r="M35" i="22"/>
  <c r="M11" i="22"/>
  <c r="M46" i="22"/>
  <c r="M10" i="22"/>
  <c r="M54" i="22"/>
  <c r="M42" i="22"/>
  <c r="M18" i="22"/>
  <c r="M53" i="22"/>
  <c r="M29" i="22"/>
  <c r="M17" i="22"/>
  <c r="M40" i="22"/>
  <c r="M16" i="22"/>
  <c r="M50" i="22"/>
  <c r="M38" i="22"/>
  <c r="M26" i="22"/>
  <c r="M14" i="22"/>
  <c r="M13" i="22"/>
  <c r="M12" i="22"/>
  <c r="M49" i="22"/>
  <c r="M8" i="22"/>
  <c r="S17" i="23" l="1"/>
  <c r="S16" i="23"/>
  <c r="S9" i="23"/>
  <c r="S45" i="23"/>
  <c r="S46" i="23"/>
  <c r="S28" i="23"/>
  <c r="S38" i="23"/>
  <c r="S27" i="23"/>
  <c r="S26" i="23"/>
  <c r="S18" i="23"/>
  <c r="S47" i="23"/>
  <c r="S23" i="23"/>
  <c r="S10" i="23"/>
  <c r="S39" i="23"/>
  <c r="S25" i="23"/>
  <c r="S12" i="23"/>
  <c r="S29" i="23"/>
  <c r="R55" i="22"/>
  <c r="V55" i="23" s="1"/>
  <c r="R56" i="22"/>
  <c r="V56" i="23" s="1"/>
  <c r="W56" i="23" l="1"/>
  <c r="X56" i="23" s="1"/>
  <c r="W57" i="23"/>
  <c r="X57" i="23" s="1"/>
  <c r="AF23" i="23"/>
  <c r="S33" i="23"/>
  <c r="S49" i="23"/>
  <c r="S36" i="23"/>
  <c r="S40" i="23"/>
  <c r="S15" i="23"/>
  <c r="S41" i="23"/>
  <c r="S54" i="23"/>
  <c r="S24" i="23"/>
  <c r="S51" i="23"/>
  <c r="S52" i="23"/>
  <c r="S50" i="23"/>
  <c r="S20" i="23"/>
  <c r="S34" i="23"/>
  <c r="S32" i="23"/>
  <c r="S37" i="23"/>
  <c r="S13" i="23"/>
  <c r="S43" i="23"/>
  <c r="S14" i="23"/>
  <c r="S55" i="23"/>
  <c r="S19" i="23"/>
  <c r="S30" i="23"/>
  <c r="S31" i="23"/>
  <c r="S22" i="23"/>
  <c r="S56" i="23"/>
  <c r="S48" i="23"/>
  <c r="S53" i="23"/>
  <c r="S35" i="23"/>
  <c r="S42" i="23"/>
  <c r="S21" i="23"/>
  <c r="S44" i="23"/>
  <c r="S11" i="23"/>
  <c r="AN41" i="22"/>
  <c r="AN40" i="22"/>
  <c r="AN39" i="22"/>
  <c r="AN31" i="22"/>
  <c r="AN30" i="22"/>
  <c r="AN29" i="22"/>
  <c r="AN21" i="22"/>
  <c r="AN20" i="22"/>
  <c r="AN19" i="22"/>
  <c r="P8" i="23" l="1"/>
  <c r="Z17" i="22"/>
  <c r="K8" i="23" l="1"/>
  <c r="R10" i="22"/>
  <c r="V10" i="23" s="1"/>
  <c r="R13" i="22"/>
  <c r="V13" i="23" s="1"/>
  <c r="R14" i="22"/>
  <c r="V14" i="23" s="1"/>
  <c r="W14" i="23" s="1"/>
  <c r="E16" i="22"/>
  <c r="R17" i="22"/>
  <c r="V17" i="23" s="1"/>
  <c r="E18" i="22"/>
  <c r="R19" i="22"/>
  <c r="V19" i="23" s="1"/>
  <c r="E20" i="22"/>
  <c r="E21" i="22"/>
  <c r="E22" i="22"/>
  <c r="R23" i="22"/>
  <c r="V23" i="23" s="1"/>
  <c r="R25" i="22"/>
  <c r="V25" i="23" s="1"/>
  <c r="E26" i="22"/>
  <c r="E27" i="22"/>
  <c r="E28" i="22"/>
  <c r="R31" i="22"/>
  <c r="V31" i="23" s="1"/>
  <c r="R32" i="22"/>
  <c r="V32" i="23" s="1"/>
  <c r="W32" i="23" s="1"/>
  <c r="E34" i="22"/>
  <c r="R35" i="22"/>
  <c r="V35" i="23" s="1"/>
  <c r="E36" i="22"/>
  <c r="E37" i="22"/>
  <c r="E39" i="22"/>
  <c r="E40" i="22"/>
  <c r="E41" i="22"/>
  <c r="E42" i="22"/>
  <c r="R43" i="22"/>
  <c r="V43" i="23" s="1"/>
  <c r="R44" i="22"/>
  <c r="V44" i="23" s="1"/>
  <c r="W44" i="23" s="1"/>
  <c r="E45" i="22"/>
  <c r="R46" i="22"/>
  <c r="V46" i="23" s="1"/>
  <c r="E47" i="22"/>
  <c r="R48" i="22"/>
  <c r="V48" i="23" s="1"/>
  <c r="E49" i="22"/>
  <c r="R50" i="22"/>
  <c r="V50" i="23" s="1"/>
  <c r="R52" i="22"/>
  <c r="V52" i="23" s="1"/>
  <c r="R53" i="22"/>
  <c r="V53" i="23" s="1"/>
  <c r="W53" i="23" s="1"/>
  <c r="R54" i="22"/>
  <c r="V54" i="23" s="1"/>
  <c r="S55" i="22"/>
  <c r="S56" i="22"/>
  <c r="AS46" i="23"/>
  <c r="AS45" i="23"/>
  <c r="AS44" i="23"/>
  <c r="AS33" i="23"/>
  <c r="AS32" i="23"/>
  <c r="AS31" i="23"/>
  <c r="AS30" i="23"/>
  <c r="AS29" i="23"/>
  <c r="AS23" i="23"/>
  <c r="AS22" i="23"/>
  <c r="AS21" i="23"/>
  <c r="AS20" i="23"/>
  <c r="AS19" i="23"/>
  <c r="X8" i="23"/>
  <c r="F8" i="23"/>
  <c r="S78" i="22"/>
  <c r="E78" i="22"/>
  <c r="S77" i="22"/>
  <c r="E77" i="22"/>
  <c r="S76" i="22"/>
  <c r="E76" i="22"/>
  <c r="S75" i="22"/>
  <c r="E75" i="22"/>
  <c r="S74" i="22"/>
  <c r="E74" i="22"/>
  <c r="S73" i="22"/>
  <c r="E73" i="22"/>
  <c r="S72" i="22"/>
  <c r="E72" i="22"/>
  <c r="S71" i="22"/>
  <c r="E71" i="22"/>
  <c r="S70" i="22"/>
  <c r="E70" i="22"/>
  <c r="S69" i="22"/>
  <c r="E69" i="22"/>
  <c r="S68" i="22"/>
  <c r="E68" i="22"/>
  <c r="S67" i="22"/>
  <c r="E67" i="22"/>
  <c r="E66" i="22"/>
  <c r="E65" i="22"/>
  <c r="E64" i="22"/>
  <c r="S63" i="22"/>
  <c r="E63" i="22"/>
  <c r="S62" i="22"/>
  <c r="E62" i="22"/>
  <c r="S61" i="22"/>
  <c r="E61" i="22"/>
  <c r="S60" i="22"/>
  <c r="E60" i="22"/>
  <c r="S59" i="22"/>
  <c r="E59" i="22"/>
  <c r="S58" i="22"/>
  <c r="E58" i="22"/>
  <c r="S57" i="22"/>
  <c r="E57" i="22"/>
  <c r="E56" i="22"/>
  <c r="AN43" i="22"/>
  <c r="AN42" i="22"/>
  <c r="AN33" i="22"/>
  <c r="AN32" i="22"/>
  <c r="AN23" i="22"/>
  <c r="Z23" i="22"/>
  <c r="Z26" i="22" s="1"/>
  <c r="AN22" i="22"/>
  <c r="Z22" i="22"/>
  <c r="W46" i="23" l="1"/>
  <c r="W43" i="23"/>
  <c r="W35" i="23"/>
  <c r="W54" i="23"/>
  <c r="W55" i="23"/>
  <c r="K9" i="23"/>
  <c r="X55" i="23"/>
  <c r="R28" i="22"/>
  <c r="V28" i="23" s="1"/>
  <c r="S44" i="22"/>
  <c r="S52" i="22"/>
  <c r="S32" i="22"/>
  <c r="S43" i="22"/>
  <c r="S19" i="22"/>
  <c r="S53" i="22"/>
  <c r="S17" i="22"/>
  <c r="S46" i="22"/>
  <c r="S50" i="22"/>
  <c r="S14" i="22"/>
  <c r="S25" i="22"/>
  <c r="S13" i="22"/>
  <c r="S48" i="22"/>
  <c r="S35" i="22"/>
  <c r="S23" i="22"/>
  <c r="S10" i="22"/>
  <c r="S31" i="22"/>
  <c r="R27" i="22"/>
  <c r="V27" i="23" s="1"/>
  <c r="W27" i="23" s="1"/>
  <c r="I9" i="22"/>
  <c r="R40" i="22"/>
  <c r="V40" i="23" s="1"/>
  <c r="E9" i="22"/>
  <c r="E23" i="22"/>
  <c r="R45" i="22"/>
  <c r="V45" i="23" s="1"/>
  <c r="W45" i="23" s="1"/>
  <c r="E48" i="22"/>
  <c r="E50" i="22"/>
  <c r="E14" i="22"/>
  <c r="R9" i="22"/>
  <c r="V9" i="23" s="1"/>
  <c r="W9" i="23" s="1"/>
  <c r="R49" i="22"/>
  <c r="V49" i="23" s="1"/>
  <c r="W49" i="23" s="1"/>
  <c r="E17" i="22"/>
  <c r="R21" i="22"/>
  <c r="V21" i="23" s="1"/>
  <c r="W21" i="23" s="1"/>
  <c r="E35" i="22"/>
  <c r="R41" i="22"/>
  <c r="V41" i="23" s="1"/>
  <c r="W41" i="23" s="1"/>
  <c r="R16" i="22"/>
  <c r="V16" i="23" s="1"/>
  <c r="R42" i="22"/>
  <c r="V42" i="23" s="1"/>
  <c r="W42" i="23" s="1"/>
  <c r="E53" i="22"/>
  <c r="E19" i="22"/>
  <c r="R20" i="22"/>
  <c r="V20" i="23" s="1"/>
  <c r="W20" i="23" s="1"/>
  <c r="E43" i="22"/>
  <c r="E31" i="22"/>
  <c r="E10" i="22"/>
  <c r="E25" i="22"/>
  <c r="R36" i="22"/>
  <c r="V36" i="23" s="1"/>
  <c r="W36" i="23" s="1"/>
  <c r="E46" i="22"/>
  <c r="R37" i="22"/>
  <c r="V37" i="23" s="1"/>
  <c r="R22" i="22"/>
  <c r="V22" i="23" s="1"/>
  <c r="W23" i="23" s="1"/>
  <c r="R26" i="22"/>
  <c r="V26" i="23" s="1"/>
  <c r="W26" i="23" s="1"/>
  <c r="R34" i="22"/>
  <c r="V34" i="23" s="1"/>
  <c r="R47" i="22"/>
  <c r="V47" i="23" s="1"/>
  <c r="W47" i="23" s="1"/>
  <c r="E44" i="22"/>
  <c r="AF24" i="23"/>
  <c r="AF27" i="23" s="1"/>
  <c r="K10" i="23"/>
  <c r="O8" i="22"/>
  <c r="F8" i="22"/>
  <c r="G8" i="22" s="1"/>
  <c r="I8" i="22"/>
  <c r="R18" i="22"/>
  <c r="V18" i="23" s="1"/>
  <c r="W18" i="23" s="1"/>
  <c r="E24" i="22"/>
  <c r="R24" i="22"/>
  <c r="V24" i="23" s="1"/>
  <c r="W24" i="23" s="1"/>
  <c r="R15" i="22"/>
  <c r="V15" i="23" s="1"/>
  <c r="W15" i="23" s="1"/>
  <c r="E15" i="22"/>
  <c r="E29" i="22"/>
  <c r="R29" i="22"/>
  <c r="V29" i="23" s="1"/>
  <c r="W29" i="23" s="1"/>
  <c r="R12" i="22"/>
  <c r="V12" i="23" s="1"/>
  <c r="W13" i="23" s="1"/>
  <c r="E12" i="22"/>
  <c r="R11" i="22"/>
  <c r="V11" i="23" s="1"/>
  <c r="W11" i="23" s="1"/>
  <c r="E11" i="22"/>
  <c r="Z45" i="22"/>
  <c r="Z48" i="22" s="1"/>
  <c r="Z11" i="22"/>
  <c r="Z12" i="22"/>
  <c r="Z15" i="22" s="1"/>
  <c r="R8" i="22"/>
  <c r="V8" i="23" s="1"/>
  <c r="E8" i="22"/>
  <c r="Z44" i="22"/>
  <c r="E32" i="22"/>
  <c r="R39" i="22"/>
  <c r="V39" i="23" s="1"/>
  <c r="W39" i="23" s="1"/>
  <c r="R51" i="22"/>
  <c r="V51" i="23" s="1"/>
  <c r="W51" i="23" s="1"/>
  <c r="E51" i="22"/>
  <c r="R33" i="22"/>
  <c r="V33" i="23" s="1"/>
  <c r="W33" i="23" s="1"/>
  <c r="E33" i="22"/>
  <c r="S54" i="22"/>
  <c r="E54" i="22"/>
  <c r="E13" i="22"/>
  <c r="R30" i="22"/>
  <c r="V30" i="23" s="1"/>
  <c r="W31" i="23" s="1"/>
  <c r="E30" i="22"/>
  <c r="R38" i="22"/>
  <c r="V38" i="23" s="1"/>
  <c r="W38" i="23" s="1"/>
  <c r="E38" i="22"/>
  <c r="E52" i="22"/>
  <c r="E55" i="22"/>
  <c r="W10" i="23" l="1"/>
  <c r="W48" i="23"/>
  <c r="W12" i="23"/>
  <c r="W28" i="23"/>
  <c r="W50" i="23"/>
  <c r="W34" i="23"/>
  <c r="W30" i="23"/>
  <c r="W22" i="23"/>
  <c r="W16" i="23"/>
  <c r="W25" i="23"/>
  <c r="W17" i="23"/>
  <c r="W37" i="23"/>
  <c r="W40" i="23"/>
  <c r="W19" i="23"/>
  <c r="W52" i="23"/>
  <c r="X54" i="23"/>
  <c r="S28" i="22"/>
  <c r="S41" i="22"/>
  <c r="S33" i="22"/>
  <c r="S11" i="22"/>
  <c r="S16" i="22"/>
  <c r="S21" i="22"/>
  <c r="S40" i="22"/>
  <c r="S51" i="22"/>
  <c r="S12" i="22"/>
  <c r="S49" i="22"/>
  <c r="S39" i="22"/>
  <c r="S47" i="22"/>
  <c r="S9" i="22"/>
  <c r="X32" i="23"/>
  <c r="S29" i="22"/>
  <c r="S38" i="22"/>
  <c r="S34" i="22"/>
  <c r="S27" i="22"/>
  <c r="S15" i="22"/>
  <c r="S26" i="22"/>
  <c r="S20" i="22"/>
  <c r="S30" i="22"/>
  <c r="S24" i="22"/>
  <c r="S22" i="22"/>
  <c r="X53" i="23"/>
  <c r="S37" i="22"/>
  <c r="S45" i="22"/>
  <c r="S18" i="22"/>
  <c r="S42" i="22"/>
  <c r="X14" i="23"/>
  <c r="X44" i="23"/>
  <c r="S36" i="22"/>
  <c r="O9" i="22"/>
  <c r="I10" i="22"/>
  <c r="U10" i="22"/>
  <c r="U9" i="22"/>
  <c r="S8" i="23"/>
  <c r="AF11" i="23"/>
  <c r="K11" i="23"/>
  <c r="AF50" i="23"/>
  <c r="AF53" i="23" s="1"/>
  <c r="AF12" i="23"/>
  <c r="AF15" i="23" s="1"/>
  <c r="F9" i="22"/>
  <c r="G9" i="22" s="1"/>
  <c r="Z33" i="22"/>
  <c r="Z34" i="22"/>
  <c r="Z37" i="22" s="1"/>
  <c r="U8" i="22"/>
  <c r="S8" i="22"/>
  <c r="X52" i="23" l="1"/>
  <c r="X48" i="23"/>
  <c r="X17" i="23"/>
  <c r="X25" i="23"/>
  <c r="X43" i="23"/>
  <c r="X19" i="23"/>
  <c r="X28" i="23"/>
  <c r="X13" i="23"/>
  <c r="X31" i="23"/>
  <c r="X46" i="23"/>
  <c r="X23" i="23"/>
  <c r="X42" i="23"/>
  <c r="X20" i="23"/>
  <c r="X34" i="23"/>
  <c r="X39" i="23"/>
  <c r="X51" i="23"/>
  <c r="X30" i="23"/>
  <c r="X36" i="23"/>
  <c r="X18" i="23"/>
  <c r="X26" i="23"/>
  <c r="X22" i="23"/>
  <c r="X38" i="23"/>
  <c r="X11" i="23"/>
  <c r="X45" i="23"/>
  <c r="X24" i="23"/>
  <c r="X15" i="23"/>
  <c r="X29" i="23"/>
  <c r="X35" i="23"/>
  <c r="X33" i="23"/>
  <c r="X37" i="23"/>
  <c r="X49" i="23"/>
  <c r="X40" i="23"/>
  <c r="X50" i="23"/>
  <c r="X21" i="23"/>
  <c r="X9" i="23"/>
  <c r="X10" i="23"/>
  <c r="X27" i="23"/>
  <c r="X47" i="23"/>
  <c r="X12" i="23"/>
  <c r="X16" i="23"/>
  <c r="X41" i="23"/>
  <c r="O10" i="22"/>
  <c r="I11" i="22"/>
  <c r="U11" i="22"/>
  <c r="F10" i="22"/>
  <c r="G10" i="22" s="1"/>
  <c r="K12" i="23"/>
  <c r="AF37" i="23" l="1"/>
  <c r="AF40" i="23" s="1"/>
  <c r="AF36" i="23"/>
  <c r="I12" i="22"/>
  <c r="U12" i="22"/>
  <c r="O11" i="22"/>
  <c r="F11" i="22"/>
  <c r="G11" i="22" s="1"/>
  <c r="K13" i="23"/>
  <c r="I13" i="22" l="1"/>
  <c r="U13" i="22"/>
  <c r="F12" i="22"/>
  <c r="G12" i="22" s="1"/>
  <c r="O12" i="22"/>
  <c r="K14" i="23"/>
  <c r="I14" i="22" l="1"/>
  <c r="U14" i="22"/>
  <c r="O13" i="22"/>
  <c r="F13" i="22"/>
  <c r="G13" i="22" s="1"/>
  <c r="K15" i="23"/>
  <c r="U15" i="22" l="1"/>
  <c r="I15" i="22"/>
  <c r="O14" i="22"/>
  <c r="F14" i="22"/>
  <c r="G14" i="22" s="1"/>
  <c r="K16" i="23"/>
  <c r="U16" i="22" l="1"/>
  <c r="I16" i="22"/>
  <c r="F15" i="22"/>
  <c r="G15" i="22" s="1"/>
  <c r="O15" i="22"/>
  <c r="K17" i="23"/>
  <c r="U17" i="22" l="1"/>
  <c r="I17" i="22"/>
  <c r="F16" i="22"/>
  <c r="G16" i="22" s="1"/>
  <c r="O16" i="22"/>
  <c r="K18" i="23"/>
  <c r="U18" i="22" l="1"/>
  <c r="I18" i="22"/>
  <c r="O17" i="22"/>
  <c r="F17" i="22"/>
  <c r="G17" i="22" s="1"/>
  <c r="K19" i="23"/>
  <c r="F18" i="22" l="1"/>
  <c r="G18" i="22" s="1"/>
  <c r="O18" i="22"/>
  <c r="U19" i="22"/>
  <c r="I19" i="22"/>
  <c r="K20" i="23"/>
  <c r="I20" i="22" l="1"/>
  <c r="U20" i="22"/>
  <c r="O19" i="22"/>
  <c r="F19" i="22"/>
  <c r="G19" i="22" s="1"/>
  <c r="K21" i="23"/>
  <c r="U21" i="22" l="1"/>
  <c r="I21" i="22"/>
  <c r="F20" i="22"/>
  <c r="G20" i="22" s="1"/>
  <c r="O20" i="22"/>
  <c r="K22" i="23"/>
  <c r="O21" i="22" l="1"/>
  <c r="F21" i="22"/>
  <c r="G21" i="22" s="1"/>
  <c r="I22" i="22"/>
  <c r="U22" i="22"/>
  <c r="K23" i="23"/>
  <c r="O22" i="22" l="1"/>
  <c r="F22" i="22"/>
  <c r="G22" i="22" s="1"/>
  <c r="I23" i="22"/>
  <c r="U23" i="22"/>
  <c r="K24" i="23"/>
  <c r="F23" i="22" l="1"/>
  <c r="G23" i="22" s="1"/>
  <c r="O23" i="22"/>
  <c r="I24" i="22"/>
  <c r="U24" i="22"/>
  <c r="K25" i="23"/>
  <c r="I25" i="22" l="1"/>
  <c r="U25" i="22"/>
  <c r="F24" i="22"/>
  <c r="G24" i="22" s="1"/>
  <c r="O24" i="22"/>
  <c r="K26" i="23"/>
  <c r="I26" i="22" l="1"/>
  <c r="U26" i="22"/>
  <c r="O25" i="22"/>
  <c r="F25" i="22"/>
  <c r="G25" i="22" s="1"/>
  <c r="K27" i="23"/>
  <c r="I27" i="22" l="1"/>
  <c r="U27" i="22"/>
  <c r="F26" i="22"/>
  <c r="G26" i="22" s="1"/>
  <c r="O26" i="22"/>
  <c r="K28" i="23"/>
  <c r="U28" i="22" l="1"/>
  <c r="I28" i="22"/>
  <c r="O27" i="22"/>
  <c r="F27" i="22"/>
  <c r="G27" i="22" s="1"/>
  <c r="K29" i="23"/>
  <c r="U29" i="22" l="1"/>
  <c r="I29" i="22"/>
  <c r="F28" i="22"/>
  <c r="G28" i="22" s="1"/>
  <c r="O28" i="22"/>
  <c r="K30" i="23"/>
  <c r="U30" i="22" l="1"/>
  <c r="I30" i="22"/>
  <c r="O29" i="22"/>
  <c r="F29" i="22"/>
  <c r="G29" i="22" s="1"/>
  <c r="K31" i="23"/>
  <c r="U31" i="22" l="1"/>
  <c r="I31" i="22"/>
  <c r="O30" i="22"/>
  <c r="F30" i="22"/>
  <c r="G30" i="22" s="1"/>
  <c r="K32" i="23"/>
  <c r="I32" i="22" l="1"/>
  <c r="U32" i="22"/>
  <c r="O31" i="22"/>
  <c r="F31" i="22"/>
  <c r="G31" i="22" s="1"/>
  <c r="K33" i="23"/>
  <c r="U33" i="22" l="1"/>
  <c r="I33" i="22"/>
  <c r="O32" i="22"/>
  <c r="F32" i="22"/>
  <c r="G32" i="22" s="1"/>
  <c r="K34" i="23"/>
  <c r="I34" i="22" l="1"/>
  <c r="U34" i="22"/>
  <c r="O33" i="22"/>
  <c r="F33" i="22"/>
  <c r="G33" i="22" s="1"/>
  <c r="K35" i="23"/>
  <c r="I35" i="22" l="1"/>
  <c r="U35" i="22"/>
  <c r="O34" i="22"/>
  <c r="F34" i="22"/>
  <c r="G34" i="22" s="1"/>
  <c r="K36" i="23"/>
  <c r="I36" i="22" l="1"/>
  <c r="U36" i="22"/>
  <c r="F35" i="22"/>
  <c r="G35" i="22" s="1"/>
  <c r="O35" i="22"/>
  <c r="K37" i="23"/>
  <c r="I37" i="22" l="1"/>
  <c r="U37" i="22"/>
  <c r="F36" i="22"/>
  <c r="G36" i="22" s="1"/>
  <c r="O36" i="22"/>
  <c r="K38" i="23"/>
  <c r="I38" i="22" l="1"/>
  <c r="U38" i="22"/>
  <c r="O37" i="22"/>
  <c r="F37" i="22"/>
  <c r="G37" i="22" s="1"/>
  <c r="K39" i="23"/>
  <c r="I39" i="22" l="1"/>
  <c r="U39" i="22"/>
  <c r="F38" i="22"/>
  <c r="G38" i="22" s="1"/>
  <c r="O38" i="22"/>
  <c r="K40" i="23"/>
  <c r="U40" i="22" l="1"/>
  <c r="I40" i="22"/>
  <c r="F39" i="22"/>
  <c r="G39" i="22" s="1"/>
  <c r="O39" i="22"/>
  <c r="K41" i="23"/>
  <c r="I41" i="22" l="1"/>
  <c r="U41" i="22"/>
  <c r="O40" i="22"/>
  <c r="F40" i="22"/>
  <c r="G40" i="22" s="1"/>
  <c r="K42" i="23"/>
  <c r="U42" i="22" l="1"/>
  <c r="I42" i="22"/>
  <c r="O41" i="22"/>
  <c r="F41" i="22"/>
  <c r="G41" i="22" s="1"/>
  <c r="K43" i="23"/>
  <c r="O42" i="22" l="1"/>
  <c r="F42" i="22"/>
  <c r="G42" i="22" s="1"/>
  <c r="I43" i="22"/>
  <c r="U43" i="22"/>
  <c r="K44" i="23"/>
  <c r="F43" i="22" l="1"/>
  <c r="G43" i="22" s="1"/>
  <c r="O43" i="22"/>
  <c r="I44" i="22"/>
  <c r="U44" i="22"/>
  <c r="K45" i="23"/>
  <c r="F44" i="22" l="1"/>
  <c r="G44" i="22" s="1"/>
  <c r="O44" i="22"/>
  <c r="U45" i="22"/>
  <c r="I45" i="22"/>
  <c r="K46" i="23"/>
  <c r="I46" i="22" l="1"/>
  <c r="U46" i="22"/>
  <c r="O45" i="22"/>
  <c r="F45" i="22"/>
  <c r="G45" i="22" s="1"/>
  <c r="K47" i="23"/>
  <c r="O46" i="22" l="1"/>
  <c r="F46" i="22"/>
  <c r="G46" i="22" s="1"/>
  <c r="U47" i="22"/>
  <c r="I47" i="22"/>
  <c r="K48" i="23"/>
  <c r="F47" i="22" l="1"/>
  <c r="G47" i="22" s="1"/>
  <c r="O47" i="22"/>
  <c r="I48" i="22"/>
  <c r="U48" i="22"/>
  <c r="K49" i="23"/>
  <c r="I49" i="22" l="1"/>
  <c r="U49" i="22"/>
  <c r="O48" i="22"/>
  <c r="F48" i="22"/>
  <c r="G48" i="22" s="1"/>
  <c r="K50" i="23"/>
  <c r="O49" i="22" l="1"/>
  <c r="F49" i="22"/>
  <c r="G49" i="22" s="1"/>
  <c r="U50" i="22"/>
  <c r="I50" i="22"/>
  <c r="K51" i="23"/>
  <c r="U51" i="22" l="1"/>
  <c r="I51" i="22"/>
  <c r="O50" i="22"/>
  <c r="F50" i="22"/>
  <c r="G50" i="22" s="1"/>
  <c r="K52" i="23"/>
  <c r="O51" i="22" l="1"/>
  <c r="F51" i="22"/>
  <c r="G51" i="22" s="1"/>
  <c r="U52" i="22"/>
  <c r="I52" i="22"/>
  <c r="K53" i="23"/>
  <c r="F52" i="22" l="1"/>
  <c r="G52" i="22" s="1"/>
  <c r="O52" i="22"/>
  <c r="I53" i="22"/>
  <c r="U53" i="22"/>
  <c r="K54" i="23"/>
  <c r="F53" i="22" l="1"/>
  <c r="G53" i="22" s="1"/>
  <c r="O53" i="22"/>
  <c r="I54" i="22"/>
  <c r="U54" i="22"/>
  <c r="K55" i="23"/>
  <c r="F54" i="22" l="1"/>
  <c r="G54" i="22" s="1"/>
  <c r="O54" i="22"/>
  <c r="U55" i="22"/>
  <c r="I55" i="22"/>
  <c r="K56" i="23"/>
  <c r="I56" i="22" l="1"/>
  <c r="U56" i="22"/>
  <c r="F55" i="22"/>
  <c r="G55" i="22" s="1"/>
  <c r="O55" i="22"/>
  <c r="K57" i="23"/>
  <c r="O56" i="22" l="1"/>
  <c r="F56" i="22"/>
  <c r="G56" i="22" s="1"/>
  <c r="U57" i="22"/>
  <c r="I57" i="22"/>
  <c r="K58" i="23"/>
  <c r="O57" i="22" l="1"/>
  <c r="F57" i="22"/>
  <c r="G57" i="22" s="1"/>
  <c r="U58" i="22"/>
  <c r="I58" i="22"/>
  <c r="K59" i="23"/>
  <c r="O58" i="22" l="1"/>
  <c r="F58" i="22"/>
  <c r="I59" i="22"/>
  <c r="K60" i="23"/>
  <c r="O59" i="22" l="1"/>
  <c r="F59" i="22"/>
  <c r="U59" i="22"/>
  <c r="G58" i="22"/>
  <c r="I60" i="22"/>
  <c r="U60" i="22"/>
  <c r="K61" i="23"/>
  <c r="I61" i="22" l="1"/>
  <c r="U61" i="22"/>
  <c r="G59" i="22"/>
  <c r="O60" i="22"/>
  <c r="F60" i="22"/>
  <c r="G60" i="22" s="1"/>
  <c r="K62" i="23"/>
  <c r="I62" i="22" l="1"/>
  <c r="U62" i="22"/>
  <c r="O61" i="22"/>
  <c r="F61" i="22"/>
  <c r="G61" i="22" s="1"/>
  <c r="K63" i="23"/>
  <c r="I63" i="22" l="1"/>
  <c r="O62" i="22"/>
  <c r="F62" i="22"/>
  <c r="K64" i="23"/>
  <c r="U63" i="22" l="1"/>
  <c r="G62" i="22"/>
  <c r="I64" i="22"/>
  <c r="O63" i="22"/>
  <c r="F63" i="22"/>
  <c r="K65" i="23"/>
  <c r="G63" i="22" l="1"/>
  <c r="U64" i="22"/>
  <c r="F64" i="22"/>
  <c r="O64" i="22"/>
  <c r="I65" i="22"/>
  <c r="K66" i="23"/>
  <c r="G64" i="22" l="1"/>
  <c r="U65" i="22"/>
  <c r="O65" i="22"/>
  <c r="F65" i="22"/>
  <c r="U66" i="22"/>
  <c r="I66" i="22"/>
  <c r="K67" i="23"/>
  <c r="G65" i="22" l="1"/>
  <c r="F66" i="22"/>
  <c r="O66" i="22"/>
  <c r="U67" i="22"/>
  <c r="I67" i="22"/>
  <c r="K68" i="23"/>
  <c r="G66" i="22" l="1"/>
  <c r="O67" i="22"/>
  <c r="F67" i="22"/>
  <c r="G67" i="22" s="1"/>
  <c r="U68" i="22"/>
  <c r="I68" i="22"/>
  <c r="K69" i="23"/>
  <c r="I69" i="22" l="1"/>
  <c r="U69" i="22"/>
  <c r="F68" i="22"/>
  <c r="G68" i="22" s="1"/>
  <c r="O68" i="22"/>
  <c r="K70" i="23"/>
  <c r="O69" i="22" l="1"/>
  <c r="F69" i="22"/>
  <c r="G69" i="22" s="1"/>
  <c r="U70" i="22"/>
  <c r="I70" i="22"/>
  <c r="K71" i="23"/>
  <c r="F70" i="22" l="1"/>
  <c r="G70" i="22" s="1"/>
  <c r="O70" i="22"/>
  <c r="U71" i="22"/>
  <c r="I71" i="22"/>
  <c r="K72" i="23"/>
  <c r="O71" i="22" l="1"/>
  <c r="F71" i="22"/>
  <c r="G71" i="22" s="1"/>
  <c r="I72" i="22"/>
  <c r="U72" i="22"/>
  <c r="K73" i="23"/>
  <c r="O72" i="22" l="1"/>
  <c r="F72" i="22"/>
  <c r="G72" i="22" s="1"/>
  <c r="U73" i="22"/>
  <c r="I73" i="22"/>
  <c r="K74" i="23"/>
  <c r="O73" i="22" l="1"/>
  <c r="F73" i="22"/>
  <c r="G73" i="22" s="1"/>
  <c r="U74" i="22"/>
  <c r="I74" i="22"/>
  <c r="K75" i="23"/>
  <c r="F74" i="22" l="1"/>
  <c r="G74" i="22" s="1"/>
  <c r="O74" i="22"/>
  <c r="I75" i="22"/>
  <c r="U75" i="22"/>
  <c r="K76" i="23"/>
  <c r="I76" i="22" l="1"/>
  <c r="U76" i="22"/>
  <c r="O75" i="22"/>
  <c r="F75" i="22"/>
  <c r="G75" i="22" s="1"/>
  <c r="K77" i="23"/>
  <c r="F76" i="22" l="1"/>
  <c r="G76" i="22" s="1"/>
  <c r="O76" i="22"/>
  <c r="I77" i="22"/>
  <c r="U77" i="22"/>
  <c r="K78" i="23"/>
  <c r="AF52" i="23" l="1" a="1"/>
  <c r="AF52" i="23" s="1"/>
  <c r="AF51" i="23" a="1"/>
  <c r="AF51" i="23" s="1"/>
  <c r="U78" i="22"/>
  <c r="Z35" i="22" s="1" a="1"/>
  <c r="Z35" i="22" s="1"/>
  <c r="Z38" i="22" s="1"/>
  <c r="I78" i="22"/>
  <c r="Z47" i="22" s="1" a="1"/>
  <c r="Z47" i="22" s="1"/>
  <c r="AN38" i="22" s="1"/>
  <c r="Z46" i="22" a="1"/>
  <c r="Z46" i="22" s="1"/>
  <c r="Z49" i="22" s="1"/>
  <c r="O77" i="22"/>
  <c r="F77" i="22"/>
  <c r="G77" i="22" s="1"/>
  <c r="V65" i="22" l="1"/>
  <c r="W65" i="22"/>
  <c r="V66" i="22"/>
  <c r="W66" i="22"/>
  <c r="V63" i="22"/>
  <c r="W63" i="22"/>
  <c r="V64" i="22"/>
  <c r="W64" i="22"/>
  <c r="W59" i="22"/>
  <c r="V60" i="22"/>
  <c r="W60" i="22"/>
  <c r="V61" i="22"/>
  <c r="W61" i="22"/>
  <c r="V58" i="22"/>
  <c r="V62" i="22"/>
  <c r="W62" i="22"/>
  <c r="W58" i="22"/>
  <c r="V59" i="22"/>
  <c r="Z36" i="22" a="1"/>
  <c r="Z36" i="22" s="1"/>
  <c r="AN28" i="22" s="1"/>
  <c r="V57" i="22"/>
  <c r="V52" i="22"/>
  <c r="W54" i="22"/>
  <c r="W24" i="22"/>
  <c r="W31" i="22"/>
  <c r="V16" i="22"/>
  <c r="V34" i="22"/>
  <c r="V30" i="22"/>
  <c r="V10" i="22"/>
  <c r="V21" i="22"/>
  <c r="V20" i="22"/>
  <c r="V31" i="22"/>
  <c r="V45" i="22"/>
  <c r="V14" i="22"/>
  <c r="W20" i="22"/>
  <c r="W17" i="22"/>
  <c r="V49" i="22"/>
  <c r="W51" i="22"/>
  <c r="W15" i="22"/>
  <c r="V18" i="22"/>
  <c r="W12" i="22"/>
  <c r="W32" i="22"/>
  <c r="V28" i="22"/>
  <c r="W37" i="22"/>
  <c r="V23" i="22"/>
  <c r="V26" i="22"/>
  <c r="V11" i="22"/>
  <c r="W46" i="22"/>
  <c r="W13" i="22"/>
  <c r="W47" i="22"/>
  <c r="W27" i="22"/>
  <c r="V15" i="22"/>
  <c r="W55" i="22"/>
  <c r="V17" i="22"/>
  <c r="V13" i="22"/>
  <c r="V55" i="22"/>
  <c r="V8" i="22"/>
  <c r="W53" i="22"/>
  <c r="V54" i="22"/>
  <c r="V43" i="22"/>
  <c r="W8" i="22"/>
  <c r="W49" i="22"/>
  <c r="V46" i="22"/>
  <c r="W28" i="22"/>
  <c r="W26" i="22"/>
  <c r="V9" i="22"/>
  <c r="V51" i="22"/>
  <c r="V41" i="22"/>
  <c r="W9" i="22"/>
  <c r="V33" i="22"/>
  <c r="V56" i="22"/>
  <c r="W45" i="22"/>
  <c r="V47" i="22"/>
  <c r="V35" i="22"/>
  <c r="W42" i="22"/>
  <c r="V19" i="22"/>
  <c r="W34" i="22"/>
  <c r="V27" i="22"/>
  <c r="W22" i="22"/>
  <c r="V12" i="22"/>
  <c r="V42" i="22"/>
  <c r="V48" i="22"/>
  <c r="W56" i="22"/>
  <c r="W40" i="22"/>
  <c r="W48" i="22"/>
  <c r="W33" i="22"/>
  <c r="W11" i="22"/>
  <c r="W39" i="22"/>
  <c r="W14" i="22"/>
  <c r="W29" i="22"/>
  <c r="W23" i="22"/>
  <c r="V40" i="22"/>
  <c r="W41" i="22"/>
  <c r="V25" i="22"/>
  <c r="V22" i="22"/>
  <c r="W57" i="22"/>
  <c r="V36" i="22"/>
  <c r="V53" i="22"/>
  <c r="W43" i="22"/>
  <c r="V24" i="22"/>
  <c r="V37" i="22"/>
  <c r="W36" i="22"/>
  <c r="W30" i="22"/>
  <c r="W10" i="22"/>
  <c r="W35" i="22"/>
  <c r="W38" i="22"/>
  <c r="V39" i="22"/>
  <c r="V50" i="22"/>
  <c r="W44" i="22"/>
  <c r="W50" i="22"/>
  <c r="V32" i="22"/>
  <c r="W21" i="22"/>
  <c r="V29" i="22"/>
  <c r="W18" i="22"/>
  <c r="W16" i="22"/>
  <c r="V44" i="22"/>
  <c r="W52" i="22"/>
  <c r="V38" i="22"/>
  <c r="W25" i="22"/>
  <c r="W19" i="22"/>
  <c r="O78" i="22"/>
  <c r="F78" i="22"/>
  <c r="G78" i="22" s="1"/>
  <c r="Z13" i="22" s="1" a="1"/>
  <c r="Z13" i="22" s="1"/>
  <c r="AS43" i="23"/>
  <c r="AF54" i="23"/>
  <c r="AF25" i="23" a="1"/>
  <c r="AF25" i="23" s="1"/>
  <c r="M66" i="23" l="1"/>
  <c r="M65" i="23"/>
  <c r="M64" i="23"/>
  <c r="M63" i="23"/>
  <c r="M62" i="23"/>
  <c r="M61" i="23"/>
  <c r="L65" i="23"/>
  <c r="L62" i="23"/>
  <c r="L63" i="23"/>
  <c r="L66" i="23"/>
  <c r="L64" i="23"/>
  <c r="M60" i="23"/>
  <c r="L60" i="23"/>
  <c r="L61" i="23"/>
  <c r="M54" i="23"/>
  <c r="M55" i="23"/>
  <c r="L58" i="23"/>
  <c r="M56" i="23"/>
  <c r="M59" i="23"/>
  <c r="M58" i="23"/>
  <c r="L57" i="23"/>
  <c r="L59" i="23"/>
  <c r="M57" i="23"/>
  <c r="L53" i="23"/>
  <c r="L45" i="23"/>
  <c r="M53" i="23"/>
  <c r="L43" i="23"/>
  <c r="M36" i="23"/>
  <c r="L34" i="23"/>
  <c r="M33" i="23"/>
  <c r="L51" i="23"/>
  <c r="M27" i="23"/>
  <c r="L41" i="23"/>
  <c r="M43" i="23"/>
  <c r="L56" i="23"/>
  <c r="M32" i="23"/>
  <c r="L54" i="23"/>
  <c r="M22" i="23"/>
  <c r="L33" i="23"/>
  <c r="M15" i="23"/>
  <c r="M30" i="23"/>
  <c r="L32" i="23"/>
  <c r="M31" i="23"/>
  <c r="L26" i="23"/>
  <c r="L22" i="23"/>
  <c r="M10" i="23"/>
  <c r="L50" i="23"/>
  <c r="L48" i="23"/>
  <c r="M8" i="23"/>
  <c r="L47" i="23"/>
  <c r="M52" i="23"/>
  <c r="M50" i="23"/>
  <c r="L46" i="23"/>
  <c r="L13" i="23"/>
  <c r="L16" i="23"/>
  <c r="M34" i="23"/>
  <c r="L25" i="23"/>
  <c r="M41" i="23"/>
  <c r="L31" i="23"/>
  <c r="L20" i="23"/>
  <c r="L10" i="23"/>
  <c r="M21" i="23"/>
  <c r="L38" i="23"/>
  <c r="L36" i="23"/>
  <c r="L27" i="23"/>
  <c r="M29" i="23"/>
  <c r="M26" i="23"/>
  <c r="M44" i="23"/>
  <c r="L8" i="23"/>
  <c r="L49" i="23"/>
  <c r="M17" i="23"/>
  <c r="M45" i="23"/>
  <c r="M51" i="23"/>
  <c r="L29" i="23"/>
  <c r="M40" i="23"/>
  <c r="M14" i="23"/>
  <c r="M49" i="23"/>
  <c r="L21" i="23"/>
  <c r="M42" i="23"/>
  <c r="L24" i="23"/>
  <c r="L30" i="23"/>
  <c r="M25" i="23"/>
  <c r="M48" i="23"/>
  <c r="L17" i="23"/>
  <c r="L19" i="23"/>
  <c r="L15" i="23"/>
  <c r="M46" i="23"/>
  <c r="M24" i="23"/>
  <c r="M37" i="23"/>
  <c r="L37" i="23"/>
  <c r="M39" i="23"/>
  <c r="L40" i="23"/>
  <c r="M13" i="23"/>
  <c r="M38" i="23"/>
  <c r="M20" i="23"/>
  <c r="M47" i="23"/>
  <c r="L44" i="23"/>
  <c r="L18" i="23"/>
  <c r="M18" i="23"/>
  <c r="L12" i="23"/>
  <c r="M12" i="23"/>
  <c r="L55" i="23"/>
  <c r="M28" i="23"/>
  <c r="L28" i="23"/>
  <c r="M19" i="23"/>
  <c r="L39" i="23"/>
  <c r="L52" i="23"/>
  <c r="L14" i="23"/>
  <c r="M16" i="23"/>
  <c r="L42" i="23"/>
  <c r="M9" i="23"/>
  <c r="M11" i="23"/>
  <c r="L9" i="23"/>
  <c r="L11" i="23"/>
  <c r="M23" i="23"/>
  <c r="M35" i="23"/>
  <c r="L23" i="23"/>
  <c r="L35" i="23"/>
  <c r="Z25" i="22" a="1"/>
  <c r="Z25" i="22" s="1"/>
  <c r="AN18" i="22" s="1"/>
  <c r="Z24" i="22" a="1"/>
  <c r="Z24" i="22" s="1"/>
  <c r="Z27" i="22" s="1"/>
  <c r="Z14" i="22" a="1"/>
  <c r="Z14" i="22" s="1"/>
  <c r="Z16" i="22"/>
  <c r="AF26" i="23" a="1"/>
  <c r="AF26" i="23" s="1"/>
  <c r="AS18" i="23" s="1"/>
  <c r="AF28" i="23"/>
  <c r="P64" i="22" l="1"/>
  <c r="Q64" i="22"/>
  <c r="Q65" i="22"/>
  <c r="Q66" i="22"/>
  <c r="P65" i="22"/>
  <c r="P66" i="22"/>
  <c r="K64" i="22"/>
  <c r="J64" i="22"/>
  <c r="K65" i="22"/>
  <c r="J65" i="22"/>
  <c r="K66" i="22"/>
  <c r="J66" i="22"/>
  <c r="U66" i="23"/>
  <c r="T66" i="23"/>
  <c r="T55" i="23"/>
  <c r="T59" i="23"/>
  <c r="T60" i="23"/>
  <c r="U61" i="23"/>
  <c r="U62" i="23"/>
  <c r="T56" i="23"/>
  <c r="T62" i="23"/>
  <c r="T64" i="23"/>
  <c r="T57" i="23"/>
  <c r="T58" i="23"/>
  <c r="T61" i="23"/>
  <c r="U64" i="23"/>
  <c r="U57" i="23"/>
  <c r="U63" i="23"/>
  <c r="U65" i="23"/>
  <c r="U58" i="23"/>
  <c r="T63" i="23"/>
  <c r="T65" i="23"/>
  <c r="U59" i="23"/>
  <c r="U60" i="23"/>
  <c r="P63" i="22"/>
  <c r="Q63" i="22"/>
  <c r="K62" i="22"/>
  <c r="J62" i="22"/>
  <c r="J63" i="22"/>
  <c r="K63" i="22"/>
  <c r="K58" i="22"/>
  <c r="K59" i="22"/>
  <c r="J60" i="22"/>
  <c r="K60" i="22"/>
  <c r="K61" i="22"/>
  <c r="J58" i="22"/>
  <c r="J59" i="22"/>
  <c r="J61" i="22"/>
  <c r="Q59" i="22"/>
  <c r="P60" i="22"/>
  <c r="Q60" i="22"/>
  <c r="P61" i="22"/>
  <c r="Q61" i="22"/>
  <c r="P62" i="22"/>
  <c r="Q62" i="22"/>
  <c r="P59" i="22"/>
  <c r="U9" i="23"/>
  <c r="U21" i="23"/>
  <c r="U33" i="23"/>
  <c r="U45" i="23"/>
  <c r="T30" i="23"/>
  <c r="T42" i="23"/>
  <c r="T54" i="23"/>
  <c r="U22" i="23"/>
  <c r="U46" i="23"/>
  <c r="T31" i="23"/>
  <c r="U11" i="23"/>
  <c r="T44" i="23"/>
  <c r="U48" i="23"/>
  <c r="U49" i="23"/>
  <c r="T21" i="23"/>
  <c r="T10" i="23"/>
  <c r="U13" i="23"/>
  <c r="U14" i="23"/>
  <c r="U26" i="23"/>
  <c r="U38" i="23"/>
  <c r="U50" i="23"/>
  <c r="T11" i="23"/>
  <c r="T23" i="23"/>
  <c r="T35" i="23"/>
  <c r="T47" i="23"/>
  <c r="U16" i="23"/>
  <c r="U40" i="23"/>
  <c r="T25" i="23"/>
  <c r="T49" i="23"/>
  <c r="U17" i="23"/>
  <c r="U41" i="23"/>
  <c r="T14" i="23"/>
  <c r="T50" i="23"/>
  <c r="U30" i="23"/>
  <c r="T15" i="23"/>
  <c r="T51" i="23"/>
  <c r="U23" i="23"/>
  <c r="U24" i="23"/>
  <c r="U37" i="23"/>
  <c r="U15" i="23"/>
  <c r="U27" i="23"/>
  <c r="U39" i="23"/>
  <c r="U51" i="23"/>
  <c r="T12" i="23"/>
  <c r="T24" i="23"/>
  <c r="T36" i="23"/>
  <c r="T48" i="23"/>
  <c r="U28" i="23"/>
  <c r="U52" i="23"/>
  <c r="T37" i="23"/>
  <c r="U29" i="23"/>
  <c r="U53" i="23"/>
  <c r="T26" i="23"/>
  <c r="U18" i="23"/>
  <c r="T27" i="23"/>
  <c r="U36" i="23"/>
  <c r="T34" i="23"/>
  <c r="T13" i="23"/>
  <c r="T38" i="23"/>
  <c r="U42" i="23"/>
  <c r="U54" i="23"/>
  <c r="T39" i="23"/>
  <c r="U47" i="23"/>
  <c r="T20" i="23"/>
  <c r="T9" i="23"/>
  <c r="T22" i="23"/>
  <c r="T33" i="23"/>
  <c r="T45" i="23"/>
  <c r="T46" i="23"/>
  <c r="U19" i="23"/>
  <c r="U31" i="23"/>
  <c r="U43" i="23"/>
  <c r="U55" i="23"/>
  <c r="T16" i="23"/>
  <c r="T28" i="23"/>
  <c r="T40" i="23"/>
  <c r="T52" i="23"/>
  <c r="U20" i="23"/>
  <c r="U32" i="23"/>
  <c r="U44" i="23"/>
  <c r="U56" i="23"/>
  <c r="T17" i="23"/>
  <c r="T29" i="23"/>
  <c r="T41" i="23"/>
  <c r="T53" i="23"/>
  <c r="T18" i="23"/>
  <c r="U10" i="23"/>
  <c r="U34" i="23"/>
  <c r="T19" i="23"/>
  <c r="T43" i="23"/>
  <c r="U35" i="23"/>
  <c r="T32" i="23"/>
  <c r="U12" i="23"/>
  <c r="U25" i="23"/>
  <c r="P12" i="22"/>
  <c r="P31" i="22"/>
  <c r="P52" i="22"/>
  <c r="Q43" i="22"/>
  <c r="P50" i="22"/>
  <c r="Q34" i="22"/>
  <c r="P47" i="22"/>
  <c r="Q41" i="22"/>
  <c r="Q15" i="22"/>
  <c r="Q22" i="22"/>
  <c r="P39" i="22"/>
  <c r="P21" i="22"/>
  <c r="P24" i="22"/>
  <c r="Q17" i="22"/>
  <c r="Q45" i="22"/>
  <c r="Q35" i="22"/>
  <c r="Q51" i="22"/>
  <c r="Q16" i="22"/>
  <c r="Q37" i="22"/>
  <c r="P19" i="22"/>
  <c r="Q8" i="22"/>
  <c r="Q14" i="22"/>
  <c r="P32" i="22"/>
  <c r="P29" i="22"/>
  <c r="Q38" i="22"/>
  <c r="Q28" i="22"/>
  <c r="P38" i="22"/>
  <c r="P53" i="22"/>
  <c r="P43" i="22"/>
  <c r="Q54" i="22"/>
  <c r="P9" i="22"/>
  <c r="P56" i="22"/>
  <c r="P28" i="22"/>
  <c r="P13" i="22"/>
  <c r="P27" i="22"/>
  <c r="Q50" i="22"/>
  <c r="P42" i="22"/>
  <c r="P14" i="22"/>
  <c r="P22" i="22"/>
  <c r="Q27" i="22"/>
  <c r="P49" i="22"/>
  <c r="P23" i="22"/>
  <c r="P45" i="22"/>
  <c r="P30" i="22"/>
  <c r="Q20" i="22"/>
  <c r="Q23" i="22"/>
  <c r="P15" i="22"/>
  <c r="Q10" i="22"/>
  <c r="Q25" i="22"/>
  <c r="P20" i="22"/>
  <c r="Q13" i="22"/>
  <c r="Q29" i="22"/>
  <c r="Q57" i="22"/>
  <c r="P34" i="22"/>
  <c r="Q33" i="22"/>
  <c r="P35" i="22"/>
  <c r="Q56" i="22"/>
  <c r="Q49" i="22"/>
  <c r="Q44" i="22"/>
  <c r="P55" i="22"/>
  <c r="Q30" i="22"/>
  <c r="P17" i="22"/>
  <c r="Q46" i="22"/>
  <c r="P16" i="22"/>
  <c r="P11" i="22"/>
  <c r="P8" i="22"/>
  <c r="Q26" i="22"/>
  <c r="P10" i="22"/>
  <c r="Q52" i="22"/>
  <c r="Q18" i="22"/>
  <c r="Q9" i="22"/>
  <c r="P26" i="22"/>
  <c r="Q47" i="22"/>
  <c r="Q32" i="22"/>
  <c r="P33" i="22"/>
  <c r="Q36" i="22"/>
  <c r="P46" i="22"/>
  <c r="Q42" i="22"/>
  <c r="Q19" i="22"/>
  <c r="P54" i="22"/>
  <c r="P40" i="22"/>
  <c r="Q39" i="22"/>
  <c r="Q11" i="22"/>
  <c r="Q21" i="22"/>
  <c r="P37" i="22"/>
  <c r="P44" i="22"/>
  <c r="P48" i="22"/>
  <c r="Q58" i="22"/>
  <c r="Q12" i="22"/>
  <c r="P57" i="22"/>
  <c r="P41" i="22"/>
  <c r="P36" i="22"/>
  <c r="P58" i="22"/>
  <c r="Q40" i="22"/>
  <c r="Q48" i="22"/>
  <c r="P25" i="22"/>
  <c r="Q24" i="22"/>
  <c r="P51" i="22"/>
  <c r="Q31" i="22"/>
  <c r="P18" i="22"/>
  <c r="Q53" i="22"/>
  <c r="Q55" i="22"/>
  <c r="J45" i="22"/>
  <c r="K52" i="22"/>
  <c r="J15" i="22"/>
  <c r="K47" i="22"/>
  <c r="K32" i="22"/>
  <c r="K13" i="22"/>
  <c r="J24" i="22"/>
  <c r="J9" i="22"/>
  <c r="J48" i="22"/>
  <c r="K22" i="22"/>
  <c r="J50" i="22"/>
  <c r="J43" i="22"/>
  <c r="K27" i="22"/>
  <c r="J42" i="22"/>
  <c r="K9" i="22"/>
  <c r="J10" i="22"/>
  <c r="J35" i="22"/>
  <c r="K38" i="22"/>
  <c r="K11" i="22"/>
  <c r="K39" i="22"/>
  <c r="J32" i="22"/>
  <c r="J28" i="22"/>
  <c r="J52" i="22"/>
  <c r="K12" i="22"/>
  <c r="J26" i="22"/>
  <c r="K15" i="22"/>
  <c r="J39" i="22"/>
  <c r="J33" i="22"/>
  <c r="K36" i="22"/>
  <c r="K31" i="22"/>
  <c r="J16" i="22"/>
  <c r="K44" i="22"/>
  <c r="J18" i="22"/>
  <c r="J29" i="22"/>
  <c r="K18" i="22"/>
  <c r="K30" i="22"/>
  <c r="K33" i="22"/>
  <c r="K8" i="22"/>
  <c r="J47" i="22"/>
  <c r="J44" i="22"/>
  <c r="K37" i="22"/>
  <c r="K46" i="22"/>
  <c r="J20" i="22"/>
  <c r="K42" i="22"/>
  <c r="K14" i="22"/>
  <c r="K56" i="22"/>
  <c r="J51" i="22"/>
  <c r="K19" i="22"/>
  <c r="K55" i="22"/>
  <c r="J40" i="22"/>
  <c r="J41" i="22"/>
  <c r="J55" i="22"/>
  <c r="J25" i="22"/>
  <c r="J22" i="22"/>
  <c r="K41" i="22"/>
  <c r="K24" i="22"/>
  <c r="K34" i="22"/>
  <c r="J49" i="22"/>
  <c r="K50" i="22"/>
  <c r="K17" i="22"/>
  <c r="J12" i="22"/>
  <c r="K57" i="22"/>
  <c r="K49" i="22"/>
  <c r="K54" i="22"/>
  <c r="J17" i="22"/>
  <c r="J30" i="22"/>
  <c r="K23" i="22"/>
  <c r="K29" i="22"/>
  <c r="J34" i="22"/>
  <c r="J57" i="22"/>
  <c r="K53" i="22"/>
  <c r="K51" i="22"/>
  <c r="J37" i="22"/>
  <c r="K16" i="22"/>
  <c r="K28" i="22"/>
  <c r="K25" i="22"/>
  <c r="J8" i="22"/>
  <c r="J14" i="22"/>
  <c r="J56" i="22"/>
  <c r="K45" i="22"/>
  <c r="J54" i="22"/>
  <c r="J31" i="22"/>
  <c r="J27" i="22"/>
  <c r="J19" i="22"/>
  <c r="K26" i="22"/>
  <c r="K10" i="22"/>
  <c r="K40" i="22"/>
  <c r="J23" i="22"/>
  <c r="K35" i="22"/>
  <c r="J38" i="22"/>
  <c r="J53" i="22"/>
  <c r="K48" i="22"/>
  <c r="J21" i="22"/>
  <c r="J11" i="22"/>
  <c r="J36" i="22"/>
  <c r="K20" i="22"/>
  <c r="K43" i="22"/>
  <c r="J13" i="22"/>
  <c r="K21" i="22"/>
  <c r="J46" i="22"/>
  <c r="U8" i="23"/>
  <c r="T8" i="23"/>
  <c r="H8" i="23"/>
  <c r="J8" i="23" s="1"/>
  <c r="AA8" i="23"/>
  <c r="H75" i="23"/>
  <c r="J75" i="23" s="1"/>
  <c r="H74" i="23"/>
  <c r="J74" i="23" s="1"/>
  <c r="H71" i="23"/>
  <c r="J71" i="23" s="1"/>
  <c r="AA78" i="23"/>
  <c r="H70" i="23"/>
  <c r="J70" i="23" s="1"/>
  <c r="H63" i="23"/>
  <c r="J63" i="23" s="1"/>
  <c r="H68" i="23"/>
  <c r="J68" i="23" s="1"/>
  <c r="H67" i="23"/>
  <c r="J67" i="23" s="1"/>
  <c r="H64" i="23"/>
  <c r="J64" i="23" s="1"/>
  <c r="J78" i="23"/>
  <c r="H66" i="23"/>
  <c r="J66" i="23" s="1"/>
  <c r="H69" i="23"/>
  <c r="J69" i="23" s="1"/>
  <c r="H77" i="23"/>
  <c r="J77" i="23" s="1"/>
  <c r="H65" i="23"/>
  <c r="J65" i="23" s="1"/>
  <c r="H76" i="23"/>
  <c r="J76" i="23" s="1"/>
  <c r="H73" i="23"/>
  <c r="J73" i="23" s="1"/>
  <c r="H72" i="23"/>
  <c r="J72" i="23" s="1"/>
  <c r="AA35" i="23"/>
  <c r="H35" i="23"/>
  <c r="J35" i="23" s="1"/>
  <c r="AA58" i="23"/>
  <c r="H58" i="23"/>
  <c r="J58" i="23" s="1"/>
  <c r="H18" i="23"/>
  <c r="J18" i="23" s="1"/>
  <c r="AA18" i="23"/>
  <c r="AA77" i="23"/>
  <c r="AA65" i="23"/>
  <c r="AA53" i="23"/>
  <c r="H53" i="23"/>
  <c r="J53" i="23" s="1"/>
  <c r="H41" i="23"/>
  <c r="J41" i="23" s="1"/>
  <c r="AA41" i="23"/>
  <c r="AA29" i="23"/>
  <c r="H29" i="23"/>
  <c r="J29" i="23" s="1"/>
  <c r="AA17" i="23"/>
  <c r="H17" i="23"/>
  <c r="J17" i="23" s="1"/>
  <c r="H47" i="23"/>
  <c r="J47" i="23" s="1"/>
  <c r="AA47" i="23"/>
  <c r="AA70" i="23"/>
  <c r="AA66" i="23"/>
  <c r="AA71" i="23"/>
  <c r="AA34" i="23"/>
  <c r="H34" i="23"/>
  <c r="J34" i="23" s="1"/>
  <c r="H42" i="23"/>
  <c r="J42" i="23" s="1"/>
  <c r="AA42" i="23"/>
  <c r="AA52" i="23"/>
  <c r="H52" i="23"/>
  <c r="J52" i="23" s="1"/>
  <c r="H16" i="23"/>
  <c r="J16" i="23" s="1"/>
  <c r="AA16" i="23"/>
  <c r="AA51" i="23"/>
  <c r="H51" i="23"/>
  <c r="J51" i="23" s="1"/>
  <c r="AA15" i="23"/>
  <c r="H15" i="23"/>
  <c r="J15" i="23" s="1"/>
  <c r="AA74" i="23"/>
  <c r="H62" i="23"/>
  <c r="J62" i="23" s="1"/>
  <c r="AA62" i="23"/>
  <c r="AA50" i="23"/>
  <c r="H50" i="23"/>
  <c r="J50" i="23" s="1"/>
  <c r="AA38" i="23"/>
  <c r="H38" i="23"/>
  <c r="J38" i="23" s="1"/>
  <c r="AA26" i="23"/>
  <c r="H26" i="23"/>
  <c r="J26" i="23" s="1"/>
  <c r="H14" i="23"/>
  <c r="J14" i="23" s="1"/>
  <c r="AA14" i="23"/>
  <c r="AA46" i="23"/>
  <c r="H46" i="23"/>
  <c r="J46" i="23" s="1"/>
  <c r="AA54" i="23"/>
  <c r="H54" i="23"/>
  <c r="J54" i="23" s="1"/>
  <c r="AA64" i="23"/>
  <c r="AA40" i="23"/>
  <c r="H40" i="23"/>
  <c r="J40" i="23" s="1"/>
  <c r="AA75" i="23"/>
  <c r="AA27" i="23"/>
  <c r="H27" i="23"/>
  <c r="J27" i="23" s="1"/>
  <c r="AA73" i="23"/>
  <c r="H61" i="23"/>
  <c r="J61" i="23" s="1"/>
  <c r="AA61" i="23"/>
  <c r="AA49" i="23"/>
  <c r="H49" i="23"/>
  <c r="J49" i="23" s="1"/>
  <c r="AA37" i="23"/>
  <c r="H37" i="23"/>
  <c r="J37" i="23" s="1"/>
  <c r="AA25" i="23"/>
  <c r="H25" i="23"/>
  <c r="J25" i="23" s="1"/>
  <c r="AA13" i="23"/>
  <c r="H13" i="23"/>
  <c r="J13" i="23" s="1"/>
  <c r="AA59" i="23"/>
  <c r="H59" i="23"/>
  <c r="J59" i="23" s="1"/>
  <c r="AA10" i="23"/>
  <c r="H10" i="23"/>
  <c r="J10" i="23" s="1"/>
  <c r="H30" i="23"/>
  <c r="J30" i="23" s="1"/>
  <c r="AA30" i="23"/>
  <c r="AA76" i="23"/>
  <c r="AA28" i="23"/>
  <c r="H28" i="23"/>
  <c r="J28" i="23" s="1"/>
  <c r="AA63" i="23"/>
  <c r="AA39" i="23"/>
  <c r="H39" i="23"/>
  <c r="J39" i="23" s="1"/>
  <c r="AA72" i="23"/>
  <c r="H60" i="23"/>
  <c r="J60" i="23" s="1"/>
  <c r="AA60" i="23"/>
  <c r="H48" i="23"/>
  <c r="J48" i="23" s="1"/>
  <c r="AA48" i="23"/>
  <c r="AA36" i="23"/>
  <c r="H36" i="23"/>
  <c r="J36" i="23" s="1"/>
  <c r="H24" i="23"/>
  <c r="J24" i="23" s="1"/>
  <c r="AA24" i="23"/>
  <c r="AA12" i="23"/>
  <c r="H12" i="23"/>
  <c r="J12" i="23" s="1"/>
  <c r="H23" i="23"/>
  <c r="J23" i="23" s="1"/>
  <c r="AA23" i="23"/>
  <c r="AA11" i="23"/>
  <c r="H11" i="23"/>
  <c r="J11" i="23" s="1"/>
  <c r="AA33" i="23"/>
  <c r="H33" i="23"/>
  <c r="J33" i="23" s="1"/>
  <c r="H22" i="23"/>
  <c r="J22" i="23" s="1"/>
  <c r="AA22" i="23"/>
  <c r="AA69" i="23"/>
  <c r="AA57" i="23"/>
  <c r="H57" i="23"/>
  <c r="J57" i="23" s="1"/>
  <c r="AA45" i="23"/>
  <c r="H45" i="23"/>
  <c r="J45" i="23" s="1"/>
  <c r="AA21" i="23"/>
  <c r="H21" i="23"/>
  <c r="J21" i="23" s="1"/>
  <c r="AA68" i="23"/>
  <c r="AA56" i="23"/>
  <c r="H56" i="23"/>
  <c r="J56" i="23" s="1"/>
  <c r="AA44" i="23"/>
  <c r="H44" i="23"/>
  <c r="J44" i="23" s="1"/>
  <c r="AA32" i="23"/>
  <c r="H32" i="23"/>
  <c r="J32" i="23" s="1"/>
  <c r="AA20" i="23"/>
  <c r="H20" i="23"/>
  <c r="J20" i="23" s="1"/>
  <c r="AA67" i="23"/>
  <c r="AA55" i="23"/>
  <c r="H55" i="23"/>
  <c r="J55" i="23" s="1"/>
  <c r="H43" i="23"/>
  <c r="J43" i="23" s="1"/>
  <c r="AA43" i="23"/>
  <c r="H31" i="23"/>
  <c r="J31" i="23" s="1"/>
  <c r="AA31" i="23"/>
  <c r="H19" i="23"/>
  <c r="J19" i="23" s="1"/>
  <c r="AA19" i="23"/>
  <c r="AA9" i="23" l="1"/>
  <c r="AF38" i="23" s="1" a="1"/>
  <c r="AF38" i="23" s="1"/>
  <c r="AF41" i="23" s="1"/>
  <c r="H9" i="23"/>
  <c r="AB65" i="23" l="1"/>
  <c r="AC66" i="23"/>
  <c r="AB66" i="23"/>
  <c r="AB64" i="23"/>
  <c r="AC65" i="23"/>
  <c r="AC64" i="23"/>
  <c r="AB63" i="23"/>
  <c r="AC63" i="23"/>
  <c r="AC62" i="23"/>
  <c r="AB62" i="23"/>
  <c r="AF39" i="23" a="1"/>
  <c r="AF39" i="23" s="1"/>
  <c r="AS28" i="23" s="1"/>
  <c r="AC9" i="23"/>
  <c r="AC61" i="23"/>
  <c r="AB61" i="23"/>
  <c r="AC60" i="23"/>
  <c r="AB60" i="23"/>
  <c r="J9" i="23"/>
  <c r="AF17" i="23"/>
  <c r="AF18" i="23" s="1"/>
  <c r="AB18" i="23"/>
  <c r="AB41" i="23"/>
  <c r="AB15" i="23"/>
  <c r="AB14" i="23"/>
  <c r="AB13" i="23"/>
  <c r="AC24" i="23"/>
  <c r="AB33" i="23"/>
  <c r="AB32" i="23"/>
  <c r="AC31" i="23"/>
  <c r="AC32" i="23"/>
  <c r="AC18" i="23"/>
  <c r="AB31" i="23"/>
  <c r="AC35" i="23"/>
  <c r="AC16" i="23"/>
  <c r="AB38" i="23"/>
  <c r="AC37" i="23"/>
  <c r="AC48" i="23"/>
  <c r="AB55" i="23"/>
  <c r="AC50" i="23"/>
  <c r="AB49" i="23"/>
  <c r="AC23" i="23"/>
  <c r="AB35" i="23"/>
  <c r="AC47" i="23"/>
  <c r="AB16" i="23"/>
  <c r="AC38" i="23"/>
  <c r="AB37" i="23"/>
  <c r="AB30" i="23"/>
  <c r="AB39" i="23"/>
  <c r="AB48" i="23"/>
  <c r="AC56" i="23"/>
  <c r="AC55" i="23"/>
  <c r="AC30" i="23"/>
  <c r="AB45" i="23"/>
  <c r="AB56" i="23"/>
  <c r="AB34" i="23"/>
  <c r="AB47" i="23"/>
  <c r="AB42" i="23"/>
  <c r="AC40" i="23"/>
  <c r="AC39" i="23"/>
  <c r="AB52" i="23"/>
  <c r="AB54" i="23"/>
  <c r="AC10" i="23"/>
  <c r="AC21" i="23"/>
  <c r="AC29" i="23"/>
  <c r="AC42" i="23"/>
  <c r="AC46" i="23"/>
  <c r="AB40" i="23"/>
  <c r="AC59" i="23"/>
  <c r="AC12" i="23"/>
  <c r="AB22" i="23"/>
  <c r="AC45" i="23"/>
  <c r="AC19" i="23"/>
  <c r="AC22" i="23"/>
  <c r="AC44" i="23"/>
  <c r="AC15" i="23"/>
  <c r="AC33" i="23"/>
  <c r="AB29" i="23"/>
  <c r="AB46" i="23"/>
  <c r="AB59" i="23"/>
  <c r="AB12" i="23"/>
  <c r="AC20" i="23"/>
  <c r="AB19" i="23"/>
  <c r="AC13" i="23"/>
  <c r="AC58" i="23"/>
  <c r="AC53" i="23"/>
  <c r="AB51" i="23"/>
  <c r="AC26" i="23"/>
  <c r="AB25" i="23"/>
  <c r="AC36" i="23"/>
  <c r="AB11" i="23"/>
  <c r="AB20" i="23"/>
  <c r="AC43" i="23"/>
  <c r="AB43" i="23"/>
  <c r="AC17" i="23"/>
  <c r="AC28" i="23"/>
  <c r="AB8" i="23"/>
  <c r="AB58" i="23"/>
  <c r="AB53" i="23"/>
  <c r="AC51" i="23"/>
  <c r="AB26" i="23"/>
  <c r="AC25" i="23"/>
  <c r="AB36" i="23"/>
  <c r="AC11" i="23"/>
  <c r="AC57" i="23"/>
  <c r="AC52" i="23"/>
  <c r="AB50" i="23"/>
  <c r="AC49" i="23"/>
  <c r="AB28" i="23"/>
  <c r="AB21" i="23"/>
  <c r="AB44" i="23"/>
  <c r="AB27" i="23"/>
  <c r="AB17" i="23"/>
  <c r="AC34" i="23"/>
  <c r="AC54" i="23"/>
  <c r="AC27" i="23"/>
  <c r="AB10" i="23"/>
  <c r="AB23" i="23"/>
  <c r="AB57" i="23"/>
  <c r="AC8" i="23"/>
  <c r="AC41" i="23"/>
  <c r="AC14" i="23"/>
  <c r="AB24" i="23"/>
  <c r="AB9" i="23"/>
  <c r="AF13" i="23" l="1" a="1"/>
  <c r="AF13" i="23" s="1"/>
  <c r="AF16" i="23" s="1"/>
  <c r="AF14" i="23" a="1"/>
  <c r="AF14" i="2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tc={18E5A2A4-4328-4013-9C5A-7FF3FFE52F37}</author>
    <author>tc={B28540D2-8971-4B31-876F-24BE58C058FA}</author>
    <author>tc={361F45E2-544C-4814-986A-5F23748796D7}</author>
    <author>tc={0621FDE1-092F-4B0A-B6B9-713897DF0CC5}</author>
    <author>tc={6744EB57-859E-42EA-B4F2-F10942B49A22}</author>
    <author>tc={33530D03-226A-4358-A568-CF8D6E16063E}</author>
    <author>tc={DEE131DF-B99E-49E5-B71E-E8FA46139EA4}</author>
    <author>tc={D7D1BB5E-BF21-4496-ACA8-360768C57861}</author>
    <author>tc={A4FE517B-52ED-47DC-A9CE-D59F3913061A}</author>
    <author>tc={C9ADCFB2-7E30-41ED-B43B-6911BE354135}</author>
  </authors>
  <commentList>
    <comment ref="AA3" authorId="0" shapeId="0" xr:uid="{18E5A2A4-4328-4013-9C5A-7FF3FFE52F3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A4" authorId="1" shapeId="0" xr:uid="{B28540D2-8971-4B31-876F-24BE58C058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A5" authorId="2" shapeId="0" xr:uid="{361F45E2-544C-4814-986A-5F23748796D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3" shapeId="0" xr:uid="{0621FDE1-092F-4B0A-B6B9-713897DF0CC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6744EB57-859E-42EA-B4F2-F10942B49A2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33530D03-226A-4358-A568-CF8D6E16063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DEE131DF-B99E-49E5-B71E-E8FA46139EA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7" shapeId="0" xr:uid="{D7D1BB5E-BF21-4496-ACA8-360768C5786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A4FE517B-52ED-47DC-A9CE-D59F3913061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C9ADCFB2-7E30-41ED-B43B-6911BE35413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tc={722BC269-F91C-4139-8BC1-B2D7CFD655D1}</author>
    <author>tc={545E94EF-1517-4064-88E6-2D9228EF509C}</author>
    <author>tc={9F0F1623-7128-476E-B1C6-D2F247C712B8}</author>
    <author>tc={55BA04F6-DD5C-404D-9143-067D1A800A3A}</author>
    <author>tc={BDDA7B4B-B1F4-44B2-A550-3674E961B52E}</author>
    <author>tc={4CDB76F3-57CC-4212-B53F-F8F165375B94}</author>
    <author>tc={CE65C50C-3F83-4631-A90E-C07B7C5721E9}</author>
    <author>tc={92B8577E-1708-4B0F-85FD-31A0291F718A}</author>
    <author>tc={67CE4491-269D-478E-850E-4FD0904AA888}</author>
    <author>tc={12A51D8D-BC18-4F3B-A122-CB2A491B9543}</author>
  </authors>
  <commentList>
    <comment ref="AG3" authorId="0" shapeId="0" xr:uid="{722BC269-F91C-4139-8BC1-B2D7CFD655D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G4" authorId="1" shapeId="0" xr:uid="{545E94EF-1517-4064-88E6-2D9228EF509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G5" authorId="2" shapeId="0" xr:uid="{9F0F1623-7128-476E-B1C6-D2F247C712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3" shapeId="0" xr:uid="{55BA04F6-DD5C-404D-9143-067D1A800A3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BDDA7B4B-B1F4-44B2-A550-3674E961B5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4CDB76F3-57CC-4212-B53F-F8F165375B9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CE65C50C-3F83-4631-A90E-C07B7C5721E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7" shapeId="0" xr:uid="{92B8577E-1708-4B0F-85FD-31A0291F71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67CE4491-269D-478E-850E-4FD0904AA8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12A51D8D-BC18-4F3B-A122-CB2A491B954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AB9125BF-B115-49B9-91F9-CD5F3A8576B4}" keepAlive="1" name="Query - dpc-covid19-ita-andamento-nazionale (10)" description="Connessione alla query 'dpc-covid19-ita-andamento-nazionale (10)' nella cartella di lavoro." type="5" refreshedVersion="6" background="1" saveData="1">
    <dbPr connection="Provider=Microsoft.Mashup.OleDb.1;Data Source=$Workbook$;Location=&quot;dpc-covid19-ita-andamento-nazionale (10)&quot;;Extended Properties=&quot;&quot;" command="SELECT * FROM [dpc-covid19-ita-andamento-nazionale (10)]"/>
  </connection>
  <connection id="3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4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5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6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7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8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9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10" xr16:uid="{09B9BECC-52F0-443E-85DF-E1447200184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1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2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3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4" xr16:uid="{0E1B982F-57E9-4809-885F-F9AC207D6541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5" xr16:uid="{0F897742-E816-4FE8-822F-0141BD59699A}" keepAlive="1" name="Query - dpc-covid19-ita-regioni (5)" description="Connessione alla query 'dpc-covid19-ita-regioni (5)' nella cartella di lavoro." type="5" refreshedVersion="6" background="1" saveData="1">
    <dbPr connection="Provider=Microsoft.Mashup.OleDb.1;Data Source=$Workbook$;Location=&quot;dpc-covid19-ita-regioni (5)&quot;;Extended Properties=&quot;&quot;" command="SELECT * FROM [dpc-covid19-ita-regioni (5)]"/>
  </connection>
  <connection id="16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7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8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<sst xmlns="http://schemas.openxmlformats.org/spreadsheetml/2006/main" count="6635" uniqueCount="312">
  <si>
    <t>K=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</si>
  <si>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</si>
  <si>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</si>
  <si>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</si>
  <si>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</si>
  <si>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</si>
  <si>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</si>
  <si>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</si>
  <si>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</si>
  <si>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</si>
  <si>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</si>
  <si>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</si>
  <si>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</si>
  <si>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</si>
  <si>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</si>
  <si>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</si>
  <si>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</si>
  <si>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</si>
  <si>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</si>
  <si>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</si>
  <si>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</si>
  <si>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</si>
  <si>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</si>
  <si>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</si>
  <si>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</si>
  <si>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</si>
  <si>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</si>
  <si>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</si>
  <si>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</si>
  <si>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</si>
  <si>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</si>
  <si>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</si>
  <si>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</si>
  <si>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</si>
  <si>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</si>
  <si>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</si>
  <si>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</si>
  <si>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</si>
  <si>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</si>
  <si>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</si>
  <si>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</si>
  <si>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</si>
  <si>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</si>
  <si>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</si>
  <si>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</si>
  <si>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</si>
  <si>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</si>
  <si>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</si>
  <si>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</si>
  <si>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</si>
  <si>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</si>
  <si>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</si>
  <si>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</si>
  <si>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</si>
  <si>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</si>
  <si>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</si>
  <si>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</si>
  <si>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</si>
  <si>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</si>
  <si>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</si>
  <si>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</si>
  <si>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</si>
  <si>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</si>
  <si>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</si>
  <si>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</si>
  <si>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</si>
  <si>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</si>
  <si>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</si>
  <si>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</si>
  <si>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</si>
  <si>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</si>
  <si>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</si>
  <si>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</si>
  <si>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</si>
  <si>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</si>
  <si>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</si>
  <si>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</si>
  <si>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</si>
  <si>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</si>
  <si>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</si>
  <si>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</si>
  <si>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</si>
  <si>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</si>
  <si>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</si>
  <si>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</si>
  <si>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</si>
  <si>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</si>
  <si>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</si>
  <si>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</si>
  <si>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</si>
  <si>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</si>
  <si>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</si>
  <si>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</si>
  <si>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</si>
  <si>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</si>
  <si>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</si>
  <si>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</si>
  <si>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</si>
  <si>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</si>
  <si>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Peak value</t>
  </si>
  <si>
    <t>SOLVER models</t>
  </si>
  <si>
    <t>Colonna1</t>
  </si>
  <si>
    <t>Colonna2</t>
  </si>
  <si>
    <t>Colonna3</t>
  </si>
  <si>
    <t>Colonna4</t>
  </si>
  <si>
    <t>Colonna5</t>
  </si>
  <si>
    <t>Colonna6</t>
  </si>
  <si>
    <t>Colonna7</t>
  </si>
  <si>
    <t>pd-IT-0011</t>
  </si>
  <si>
    <t>pd-EN-0011</t>
  </si>
  <si>
    <t>dc-IT-0003</t>
  </si>
  <si>
    <t>dc-EN-0003</t>
  </si>
  <si>
    <t>pd-IT-0010</t>
  </si>
  <si>
    <t>pd-EN-0010</t>
  </si>
  <si>
    <t>dc-IT-0002</t>
  </si>
  <si>
    <t>dc-EN-0002</t>
  </si>
  <si>
    <t>fitting parameter - constraint (none)</t>
  </si>
  <si>
    <t>Italy sum</t>
  </si>
  <si>
    <t>Lombardy fit</t>
  </si>
  <si>
    <t xml:space="preserve">rest of Italy </t>
  </si>
  <si>
    <t>rest of Italy fit</t>
  </si>
  <si>
    <t>Whole country sum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</si>
  <si>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</si>
  <si>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t>rest of Italy</t>
  </si>
  <si>
    <t>Whole country fit</t>
  </si>
  <si>
    <t>Colonna22</t>
  </si>
  <si>
    <t>Colonna32</t>
  </si>
  <si>
    <t>Colonna33</t>
  </si>
  <si>
    <t>Colonna322</t>
  </si>
  <si>
    <t>t-Peak</t>
  </si>
  <si>
    <t>Whole contry fit</t>
  </si>
  <si>
    <t>Saturation value</t>
  </si>
  <si>
    <t>DO NOT EXECUTE</t>
  </si>
  <si>
    <t>Solver method: GRG2 non linear engine - option: default</t>
  </si>
  <si>
    <t>Etichette di riga</t>
  </si>
  <si>
    <t>Totale complessivo</t>
  </si>
  <si>
    <t>24-feb</t>
  </si>
  <si>
    <t>25-feb</t>
  </si>
  <si>
    <t>26-feb</t>
  </si>
  <si>
    <t>27-feb</t>
  </si>
  <si>
    <t>28-feb</t>
  </si>
  <si>
    <t>29-feb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</si>
  <si>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</si>
  <si>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</si>
  <si>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</si>
  <si>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</si>
  <si>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</si>
  <si>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</si>
  <si>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</si>
  <si>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</si>
  <si>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</si>
  <si>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</si>
  <si>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</si>
  <si>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</si>
  <si>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</si>
  <si>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</si>
  <si>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</si>
  <si>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</si>
  <si>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</si>
  <si>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</si>
  <si>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</si>
  <si>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</si>
  <si>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</si>
  <si>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</si>
  <si>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</si>
  <si>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</si>
  <si>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</si>
  <si>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</si>
  <si>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</si>
  <si>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</si>
  <si>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</si>
  <si>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</si>
  <si>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</si>
  <si>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</si>
  <si>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</si>
  <si>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</si>
  <si>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</si>
  <si>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</si>
  <si>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</si>
  <si>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</si>
  <si>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</si>
  <si>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</si>
  <si>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</si>
  <si>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</si>
  <si>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</si>
  <si>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</si>
  <si>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Somma di deceduti</t>
  </si>
  <si>
    <t>14-apr</t>
  </si>
  <si>
    <t>dc-IT-0005</t>
  </si>
  <si>
    <t>dc-EN-0005</t>
  </si>
  <si>
    <t>dc-IT-0004</t>
  </si>
  <si>
    <t>dc-EN-0004</t>
  </si>
  <si>
    <t>15-apr</t>
  </si>
  <si>
    <t>16-apr</t>
  </si>
  <si>
    <t>17-apr</t>
  </si>
  <si>
    <t>18-apr</t>
  </si>
  <si>
    <t>casi_testati</t>
  </si>
  <si>
    <t>dc-IT-0007</t>
  </si>
  <si>
    <t>dc-EN-0007</t>
  </si>
  <si>
    <t>pd-IT-0013</t>
  </si>
  <si>
    <t>pd-EN-0013</t>
  </si>
  <si>
    <t>22424</t>
  </si>
  <si>
    <t>6528</t>
  </si>
  <si>
    <t>14783</t>
  </si>
  <si>
    <t>22234</t>
  </si>
  <si>
    <t>34994</t>
  </si>
  <si>
    <t>88776</t>
  </si>
  <si>
    <t>27544</t>
  </si>
  <si>
    <t>22702</t>
  </si>
  <si>
    <t>21103</t>
  </si>
  <si>
    <t>183757</t>
  </si>
  <si>
    <t>27099</t>
  </si>
  <si>
    <t>3482</t>
  </si>
  <si>
    <t>71644</t>
  </si>
  <si>
    <t>41580</t>
  </si>
  <si>
    <t>13760</t>
  </si>
  <si>
    <t>49772</t>
  </si>
  <si>
    <t>84620</t>
  </si>
  <si>
    <t>16685</t>
  </si>
  <si>
    <t>16790</t>
  </si>
  <si>
    <t>3802</t>
  </si>
  <si>
    <t>161231</t>
  </si>
  <si>
    <t>22552</t>
  </si>
  <si>
    <t>6868</t>
  </si>
  <si>
    <t>15089</t>
  </si>
  <si>
    <t>22847</t>
  </si>
  <si>
    <t>36153</t>
  </si>
  <si>
    <t>90894</t>
  </si>
  <si>
    <t>28777</t>
  </si>
  <si>
    <t>23067</t>
  </si>
  <si>
    <t>21979</t>
  </si>
  <si>
    <t>173333</t>
  </si>
  <si>
    <t>dc-IT-0006</t>
  </si>
  <si>
    <t>dc-EN-0006</t>
  </si>
  <si>
    <t>28006</t>
  </si>
  <si>
    <t>3683</t>
  </si>
  <si>
    <t>73192</t>
  </si>
  <si>
    <t>43119</t>
  </si>
  <si>
    <t>14160</t>
  </si>
  <si>
    <t>51373</t>
  </si>
  <si>
    <t>85946</t>
  </si>
  <si>
    <t>17347</t>
  </si>
  <si>
    <t>17099</t>
  </si>
  <si>
    <t>3910</t>
  </si>
  <si>
    <t>163757</t>
  </si>
  <si>
    <t>23901</t>
  </si>
  <si>
    <t>7470</t>
  </si>
  <si>
    <t>15405</t>
  </si>
  <si>
    <t>23914</t>
  </si>
  <si>
    <t>37505</t>
  </si>
  <si>
    <t>93367</t>
  </si>
  <si>
    <t>31352</t>
  </si>
  <si>
    <t>24046</t>
  </si>
  <si>
    <t>22670</t>
  </si>
  <si>
    <t>pd-IT-0012</t>
  </si>
  <si>
    <t>pd-EN-0012</t>
  </si>
  <si>
    <t>29090</t>
  </si>
  <si>
    <t>4015</t>
  </si>
  <si>
    <t>76406</t>
  </si>
  <si>
    <t>44760</t>
  </si>
  <si>
    <t>14526</t>
  </si>
  <si>
    <t>55093</t>
  </si>
  <si>
    <t>87717</t>
  </si>
  <si>
    <t>17705</t>
  </si>
  <si>
    <t>17873</t>
  </si>
  <si>
    <t>3969</t>
  </si>
  <si>
    <t>167129</t>
  </si>
  <si>
    <t>19-apr</t>
  </si>
  <si>
    <t>20-apr</t>
  </si>
  <si>
    <t>21-apr</t>
  </si>
  <si>
    <t>24317</t>
  </si>
  <si>
    <t>8040</t>
  </si>
  <si>
    <t>15736</t>
  </si>
  <si>
    <t>24878</t>
  </si>
  <si>
    <t>38679</t>
  </si>
  <si>
    <t>96824</t>
  </si>
  <si>
    <t>32871</t>
  </si>
  <si>
    <t>25244</t>
  </si>
  <si>
    <t>23756</t>
  </si>
  <si>
    <t>184323</t>
  </si>
  <si>
    <t>30543</t>
  </si>
  <si>
    <t>4252</t>
  </si>
  <si>
    <t>81176</t>
  </si>
  <si>
    <t>46925</t>
  </si>
  <si>
    <t>15354</t>
  </si>
  <si>
    <t>58732</t>
  </si>
  <si>
    <t>91747</t>
  </si>
  <si>
    <t>17672</t>
  </si>
  <si>
    <t>18679</t>
  </si>
  <si>
    <t>4011</t>
  </si>
  <si>
    <t>171735</t>
  </si>
  <si>
    <t>22-apr</t>
  </si>
  <si>
    <r>
      <t>R</t>
    </r>
    <r>
      <rPr>
        <vertAlign val="superscript"/>
        <sz val="11"/>
        <rFont val="Calibri"/>
        <family val="2"/>
        <scheme val="minor"/>
      </rPr>
      <t>2</t>
    </r>
  </si>
  <si>
    <t>Italy data</t>
  </si>
  <si>
    <t>Italy sum of regions</t>
  </si>
  <si>
    <t>Lombardy data</t>
  </si>
  <si>
    <t>Lower CI_</t>
  </si>
  <si>
    <t>Upper CI_</t>
  </si>
  <si>
    <t>rest of Italy data</t>
  </si>
  <si>
    <t>Upper CI__</t>
  </si>
  <si>
    <t>Lower CI__</t>
  </si>
  <si>
    <t>Italy cumul. Fit</t>
  </si>
  <si>
    <t>Lombardy cumul. Fit</t>
  </si>
  <si>
    <t>Italy cumul. Data</t>
  </si>
  <si>
    <t>Lombardy cumul. Data</t>
  </si>
  <si>
    <t>rest of Italy cum. Data</t>
  </si>
  <si>
    <t>rest of Italy cumul. Fit</t>
  </si>
  <si>
    <t>Peak value (mode)</t>
  </si>
  <si>
    <t>μ=</t>
  </si>
  <si>
    <t>σ=</t>
  </si>
  <si>
    <r>
      <t>fitting parameter - constraint (</t>
    </r>
    <r>
      <rPr>
        <b/>
        <sz val="11"/>
        <color theme="3"/>
        <rFont val="Calibri"/>
        <family val="2"/>
      </rPr>
      <t>≠</t>
    </r>
    <r>
      <rPr>
        <b/>
        <sz val="11"/>
        <color theme="3"/>
        <rFont val="Calibri"/>
        <family val="2"/>
        <scheme val="minor"/>
      </rPr>
      <t>0)</t>
    </r>
  </si>
  <si>
    <t>Modeling function: Lognormal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</si>
</sst>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6" formatCode="[$-409]mmmm\ d\,\ yyyy;@"/>
    <numFmt numFmtId="167" formatCode="0.000000000"/>
    <numFmt numFmtId="168" formatCode="0.000000000000"/>
    <numFmt numFmtId="169" formatCode="0.000000000000000"/>
    <numFmt numFmtId="170" formatCode="#,##0.000000000000000"/>
    <numFmt numFmtId="176" formatCode="0.0000000000"/>
  </numFmts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3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name val="Calibri"/>
      <family val="2"/>
    </font>
    <font>
      <vertAlign val="superscript"/>
      <sz val="11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gray0625"/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5" fillId="3" borderId="1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</cellStyleXfs>
  <cellXfs count="156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/>
    <xf numFmtId="16" fontId="0" fillId="3" borderId="1" xfId="1" applyNumberFormat="1" applyFont="1" applyAlignment="1">
      <alignment horizontal="center"/>
    </xf>
    <xf numFmtId="0" fontId="3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0" borderId="0" xfId="0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1" fontId="0" fillId="0" borderId="0" xfId="0" applyNumberFormat="1" applyAlignment="1">
      <alignment horizontal="center" wrapText="1"/>
    </xf>
    <xf numFmtId="0" fontId="17" fillId="2" borderId="0" xfId="0" applyFont="1" applyFill="1"/>
    <xf numFmtId="1" fontId="16" fillId="2" borderId="0" xfId="0" applyNumberFormat="1" applyFont="1" applyFill="1"/>
    <xf numFmtId="0" fontId="16" fillId="0" borderId="0" xfId="0" applyFont="1"/>
    <xf numFmtId="1" fontId="16" fillId="0" borderId="0" xfId="0" applyNumberFormat="1" applyFont="1"/>
    <xf numFmtId="2" fontId="16" fillId="0" borderId="0" xfId="0" applyNumberFormat="1" applyFont="1"/>
    <xf numFmtId="164" fontId="16" fillId="0" borderId="0" xfId="0" applyNumberFormat="1" applyFont="1"/>
    <xf numFmtId="0" fontId="1" fillId="0" borderId="0" xfId="0" applyFont="1" applyAlignment="1">
      <alignment horizontal="center"/>
    </xf>
    <xf numFmtId="2" fontId="0" fillId="2" borderId="0" xfId="0" applyNumberFormat="1" applyFill="1"/>
    <xf numFmtId="0" fontId="19" fillId="0" borderId="0" xfId="0" applyFont="1" applyAlignment="1">
      <alignment horizontal="center"/>
    </xf>
    <xf numFmtId="0" fontId="19" fillId="0" borderId="0" xfId="0" applyFont="1"/>
    <xf numFmtId="0" fontId="13" fillId="0" borderId="9" xfId="4"/>
    <xf numFmtId="1" fontId="15" fillId="4" borderId="0" xfId="6" applyNumberFormat="1" applyAlignment="1">
      <alignment horizontal="center"/>
    </xf>
    <xf numFmtId="166" fontId="10" fillId="0" borderId="0" xfId="0" applyNumberFormat="1" applyFont="1"/>
    <xf numFmtId="0" fontId="20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0" fontId="20" fillId="0" borderId="0" xfId="0" applyFont="1"/>
    <xf numFmtId="166" fontId="20" fillId="0" borderId="0" xfId="0" applyNumberFormat="1" applyFont="1"/>
    <xf numFmtId="0" fontId="9" fillId="0" borderId="0" xfId="0" applyFont="1" applyAlignment="1">
      <alignment horizontal="center" wrapText="1"/>
    </xf>
    <xf numFmtId="0" fontId="0" fillId="0" borderId="2" xfId="0" applyFill="1" applyBorder="1" applyAlignment="1">
      <alignment wrapText="1"/>
    </xf>
    <xf numFmtId="164" fontId="1" fillId="0" borderId="3" xfId="0" applyNumberFormat="1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164" fontId="19" fillId="0" borderId="3" xfId="0" applyNumberFormat="1" applyFont="1" applyFill="1" applyBorder="1"/>
    <xf numFmtId="0" fontId="19" fillId="0" borderId="3" xfId="0" applyFont="1" applyFill="1" applyBorder="1"/>
    <xf numFmtId="0" fontId="19" fillId="0" borderId="5" xfId="0" applyFont="1" applyFill="1" applyBorder="1"/>
    <xf numFmtId="164" fontId="8" fillId="0" borderId="3" xfId="0" applyNumberFormat="1" applyFont="1" applyFill="1" applyBorder="1"/>
    <xf numFmtId="0" fontId="8" fillId="0" borderId="3" xfId="0" applyFont="1" applyFill="1" applyBorder="1"/>
    <xf numFmtId="0" fontId="8" fillId="0" borderId="7" xfId="0" applyFont="1" applyFill="1" applyBorder="1"/>
    <xf numFmtId="164" fontId="8" fillId="0" borderId="3" xfId="0" applyNumberFormat="1" applyFont="1" applyFill="1" applyBorder="1" applyAlignment="1">
      <alignment horizontal="center" vertical="center" textRotation="255" wrapText="1"/>
    </xf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19" fillId="5" borderId="3" xfId="0" applyNumberFormat="1" applyFont="1" applyFill="1" applyBorder="1"/>
    <xf numFmtId="0" fontId="19" fillId="5" borderId="3" xfId="0" applyFont="1" applyFill="1" applyBorder="1"/>
    <xf numFmtId="164" fontId="0" fillId="5" borderId="12" xfId="0" applyNumberFormat="1" applyFill="1" applyBorder="1"/>
    <xf numFmtId="164" fontId="8" fillId="5" borderId="3" xfId="0" applyNumberFormat="1" applyFont="1" applyFill="1" applyBorder="1"/>
    <xf numFmtId="0" fontId="8" fillId="5" borderId="3" xfId="0" applyFont="1" applyFill="1" applyBorder="1"/>
    <xf numFmtId="0" fontId="8" fillId="5" borderId="7" xfId="0" applyFont="1" applyFill="1" applyBorder="1"/>
    <xf numFmtId="0" fontId="14" fillId="0" borderId="10" xfId="5" applyAlignment="1">
      <alignment horizontal="left" vertical="center"/>
    </xf>
    <xf numFmtId="0" fontId="0" fillId="0" borderId="6" xfId="0" applyBorder="1"/>
    <xf numFmtId="164" fontId="8" fillId="0" borderId="7" xfId="0" applyNumberFormat="1" applyFont="1" applyFill="1" applyBorder="1" applyAlignment="1">
      <alignment horizontal="center" vertical="center" textRotation="255" wrapText="1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4" fillId="0" borderId="10" xfId="5" applyAlignment="1">
      <alignment horizontal="left" vertical="center"/>
    </xf>
    <xf numFmtId="0" fontId="5" fillId="6" borderId="0" xfId="7" applyAlignment="1">
      <alignment horizontal="center"/>
    </xf>
    <xf numFmtId="0" fontId="5" fillId="6" borderId="0" xfId="7"/>
    <xf numFmtId="0" fontId="5" fillId="6" borderId="0" xfId="0" applyNumberFormat="1" applyFont="1" applyFill="1"/>
    <xf numFmtId="0" fontId="0" fillId="0" borderId="0" xfId="0"/>
    <xf numFmtId="2" fontId="1" fillId="2" borderId="0" xfId="0" applyNumberFormat="1" applyFont="1" applyFill="1"/>
    <xf numFmtId="2" fontId="19" fillId="2" borderId="0" xfId="0" applyNumberFormat="1" applyFont="1" applyFill="1"/>
    <xf numFmtId="2" fontId="8" fillId="2" borderId="0" xfId="0" applyNumberFormat="1" applyFont="1" applyFill="1"/>
    <xf numFmtId="0" fontId="21" fillId="2" borderId="0" xfId="0" applyFont="1" applyFill="1"/>
    <xf numFmtId="2" fontId="22" fillId="2" borderId="0" xfId="0" applyNumberFormat="1" applyFont="1" applyFill="1"/>
    <xf numFmtId="0" fontId="23" fillId="2" borderId="0" xfId="0" applyFont="1" applyFill="1"/>
    <xf numFmtId="0" fontId="22" fillId="2" borderId="0" xfId="0" applyFont="1" applyFill="1"/>
    <xf numFmtId="0" fontId="9" fillId="0" borderId="0" xfId="0" applyFont="1"/>
    <xf numFmtId="1" fontId="8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1" fillId="0" borderId="0" xfId="0" applyFont="1"/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8" fillId="0" borderId="0" xfId="0" applyFont="1"/>
    <xf numFmtId="1" fontId="0" fillId="7" borderId="0" xfId="0" applyNumberFormat="1" applyFill="1" applyAlignment="1">
      <alignment horizontal="center" wrapText="1"/>
    </xf>
    <xf numFmtId="1" fontId="0" fillId="8" borderId="0" xfId="0" applyNumberFormat="1" applyFill="1" applyAlignment="1">
      <alignment horizontal="center" wrapText="1"/>
    </xf>
    <xf numFmtId="1" fontId="0" fillId="9" borderId="0" xfId="0" applyNumberFormat="1" applyFill="1" applyAlignment="1">
      <alignment horizontal="center" wrapText="1"/>
    </xf>
    <xf numFmtId="167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NumberFormat="1" applyAlignment="1">
      <alignment horizontal="center"/>
    </xf>
    <xf numFmtId="0" fontId="20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166" fontId="9" fillId="0" borderId="0" xfId="0" applyNumberFormat="1" applyFont="1"/>
    <xf numFmtId="0" fontId="0" fillId="5" borderId="0" xfId="0" applyNumberFormat="1" applyFill="1" applyAlignment="1">
      <alignment horizontal="center"/>
    </xf>
    <xf numFmtId="0" fontId="25" fillId="5" borderId="0" xfId="0" applyFont="1" applyFill="1" applyAlignment="1">
      <alignment horizontal="center" wrapText="1"/>
    </xf>
    <xf numFmtId="0" fontId="0" fillId="0" borderId="0" xfId="0"/>
    <xf numFmtId="170" fontId="0" fillId="0" borderId="0" xfId="0" applyNumberFormat="1"/>
    <xf numFmtId="0" fontId="8" fillId="0" borderId="0" xfId="0" applyNumberFormat="1" applyFont="1"/>
    <xf numFmtId="0" fontId="0" fillId="0" borderId="0" xfId="0"/>
    <xf numFmtId="0" fontId="0" fillId="0" borderId="0" xfId="0"/>
    <xf numFmtId="0" fontId="14" fillId="0" borderId="10" xfId="5" applyAlignment="1">
      <alignment horizontal="left" vertical="center"/>
    </xf>
    <xf numFmtId="0" fontId="27" fillId="2" borderId="0" xfId="0" applyFont="1" applyFill="1"/>
    <xf numFmtId="0" fontId="1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11" fillId="0" borderId="0" xfId="2"/>
    <xf numFmtId="0" fontId="0" fillId="0" borderId="0" xfId="0"/>
    <xf numFmtId="0" fontId="14" fillId="0" borderId="11" xfId="5" applyBorder="1" applyAlignment="1">
      <alignment horizontal="left" vertical="center"/>
    </xf>
    <xf numFmtId="0" fontId="12" fillId="0" borderId="8" xfId="3"/>
    <xf numFmtId="0" fontId="13" fillId="0" borderId="9" xfId="4"/>
    <xf numFmtId="0" fontId="14" fillId="0" borderId="10" xfId="5" applyAlignment="1">
      <alignment horizontal="left" vertical="center"/>
    </xf>
    <xf numFmtId="0" fontId="19" fillId="0" borderId="0" xfId="0" applyFont="1" applyAlignment="1">
      <alignment horizontal="center" vertical="center"/>
    </xf>
    <xf numFmtId="168" fontId="19" fillId="0" borderId="0" xfId="0" applyNumberFormat="1" applyFont="1" applyAlignment="1">
      <alignment horizontal="center" vertical="center"/>
    </xf>
    <xf numFmtId="169" fontId="1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164" fontId="8" fillId="5" borderId="6" xfId="0" applyNumberFormat="1" applyFont="1" applyFill="1" applyBorder="1" applyAlignment="1">
      <alignment textRotation="255" wrapText="1"/>
    </xf>
    <xf numFmtId="164" fontId="8" fillId="5" borderId="3" xfId="0" applyNumberFormat="1" applyFont="1" applyFill="1" applyBorder="1" applyAlignment="1">
      <alignment textRotation="255" wrapText="1"/>
    </xf>
    <xf numFmtId="164" fontId="8" fillId="5" borderId="4" xfId="0" applyNumberFormat="1" applyFont="1" applyFill="1" applyBorder="1" applyAlignment="1">
      <alignment textRotation="255" wrapText="1"/>
    </xf>
    <xf numFmtId="176" fontId="0" fillId="0" borderId="0" xfId="0" applyNumberFormat="1" applyAlignment="1">
      <alignment horizontal="center"/>
    </xf>
    <xf numFmtId="0" fontId="0" fillId="6" borderId="0" xfId="0" applyNumberFormat="1" applyFont="1" applyFill="1"/>
    <xf numFmtId="1" fontId="9" fillId="0" borderId="0" xfId="0" applyNumberFormat="1" applyFont="1"/>
    <xf numFmtId="1" fontId="20" fillId="0" borderId="0" xfId="0" applyNumberFormat="1" applyFont="1"/>
    <xf numFmtId="1" fontId="10" fillId="0" borderId="0" xfId="0" applyNumberFormat="1" applyFont="1"/>
    <xf numFmtId="0" fontId="28" fillId="0" borderId="0" xfId="0" applyFont="1" applyAlignment="1">
      <alignment horizontal="center" wrapText="1"/>
    </xf>
    <xf numFmtId="0" fontId="25" fillId="0" borderId="0" xfId="0" applyFont="1" applyAlignment="1">
      <alignment wrapText="1"/>
    </xf>
    <xf numFmtId="0" fontId="29" fillId="2" borderId="0" xfId="0" applyFont="1" applyFill="1"/>
    <xf numFmtId="1" fontId="25" fillId="2" borderId="0" xfId="0" applyNumberFormat="1" applyFont="1" applyFill="1"/>
    <xf numFmtId="0" fontId="30" fillId="2" borderId="0" xfId="0" applyFont="1" applyFill="1"/>
    <xf numFmtId="2" fontId="25" fillId="2" borderId="0" xfId="0" applyNumberFormat="1" applyFont="1" applyFill="1"/>
    <xf numFmtId="0" fontId="25" fillId="0" borderId="0" xfId="0" applyFont="1"/>
    <xf numFmtId="2" fontId="25" fillId="0" borderId="0" xfId="0" applyNumberFormat="1" applyFont="1"/>
    <xf numFmtId="1" fontId="25" fillId="0" borderId="0" xfId="0" applyNumberFormat="1" applyFont="1"/>
    <xf numFmtId="164" fontId="25" fillId="0" borderId="0" xfId="0" applyNumberFormat="1" applyFont="1"/>
    <xf numFmtId="0" fontId="28" fillId="0" borderId="0" xfId="0" applyFont="1"/>
    <xf numFmtId="1" fontId="28" fillId="0" borderId="0" xfId="0" applyNumberFormat="1" applyFont="1"/>
    <xf numFmtId="166" fontId="28" fillId="0" borderId="0" xfId="0" applyNumberFormat="1" applyFont="1"/>
    <xf numFmtId="1" fontId="0" fillId="7" borderId="0" xfId="0" applyNumberFormat="1" applyFill="1" applyAlignment="1">
      <alignment horizontal="center"/>
    </xf>
    <xf numFmtId="0" fontId="5" fillId="10" borderId="0" xfId="8"/>
  </cellXfs>
  <cellStyles count="9">
    <cellStyle name="20% - Colore 2" xfId="7" builtinId="34"/>
    <cellStyle name="60% - Colore 1" xfId="8" builtinId="32"/>
    <cellStyle name="Neutrale" xfId="6" builtinId="28"/>
    <cellStyle name="Normale" xfId="0" builtinId="0"/>
    <cellStyle name="Nota" xfId="1" builtinId="10"/>
    <cellStyle name="Titolo" xfId="2" builtinId="15"/>
    <cellStyle name="Titolo 1" xfId="3" builtinId="16"/>
    <cellStyle name="Titolo 2" xfId="4" builtinId="17"/>
    <cellStyle name="Titolo 3" xfId="5" builtinId="18"/>
  </cellStyles>
  <dxfs count="60"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</font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9" tint="0.59999389629810485"/>
        </patternFill>
      </fill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Lognormal model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LNorm'!$F$7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LNorm'!$F$8:$F$130</c:f>
              <c:numCache>
                <c:formatCode>0</c:formatCode>
                <c:ptCount val="123"/>
                <c:pt idx="0">
                  <c:v>1.0135514969490604E-13</c:v>
                </c:pt>
                <c:pt idx="1">
                  <c:v>3.689391675968718E-8</c:v>
                </c:pt>
                <c:pt idx="2">
                  <c:v>2.0071207786278826E-5</c:v>
                </c:pt>
                <c:pt idx="3">
                  <c:v>1.0302261088555205E-3</c:v>
                </c:pt>
                <c:pt idx="4">
                  <c:v>1.6166148346495931E-2</c:v>
                </c:pt>
                <c:pt idx="5">
                  <c:v>0.12623810839000993</c:v>
                </c:pt>
                <c:pt idx="6">
                  <c:v>0.62677989531230527</c:v>
                </c:pt>
                <c:pt idx="7">
                  <c:v>2.2739556601138009</c:v>
                </c:pt>
                <c:pt idx="8">
                  <c:v>6.5681925480813312</c:v>
                </c:pt>
                <c:pt idx="9">
                  <c:v>15.978410844137995</c:v>
                </c:pt>
                <c:pt idx="10">
                  <c:v>34.02757240234429</c:v>
                </c:pt>
                <c:pt idx="11">
                  <c:v>65.209456179010232</c:v>
                </c:pt>
                <c:pt idx="12">
                  <c:v>114.75572462182677</c:v>
                </c:pt>
                <c:pt idx="13">
                  <c:v>188.30328464344069</c:v>
                </c:pt>
                <c:pt idx="14">
                  <c:v>291.52158554672411</c:v>
                </c:pt>
                <c:pt idx="15">
                  <c:v>429.75326680335377</c:v>
                </c:pt>
                <c:pt idx="16">
                  <c:v>607.70706805816144</c:v>
                </c:pt>
                <c:pt idx="17">
                  <c:v>829.225416533268</c:v>
                </c:pt>
                <c:pt idx="18">
                  <c:v>1097.1345062869984</c:v>
                </c:pt>
                <c:pt idx="19">
                  <c:v>1413.1737318388969</c:v>
                </c:pt>
                <c:pt idx="20">
                  <c:v>1777.9943242662962</c:v>
                </c:pt>
                <c:pt idx="21">
                  <c:v>2191.2134485718179</c:v>
                </c:pt>
                <c:pt idx="22">
                  <c:v>2651.5090280962031</c:v>
                </c:pt>
                <c:pt idx="23">
                  <c:v>3156.7413138354891</c:v>
                </c:pt>
                <c:pt idx="24">
                  <c:v>3704.0889864422638</c:v>
                </c:pt>
                <c:pt idx="25">
                  <c:v>4290.1898135192469</c:v>
                </c:pt>
                <c:pt idx="26">
                  <c:v>4911.278203034014</c:v>
                </c:pt>
                <c:pt idx="27">
                  <c:v>5563.3141578048007</c:v>
                </c:pt>
                <c:pt idx="28">
                  <c:v>6242.1000179830216</c:v>
                </c:pt>
                <c:pt idx="29">
                  <c:v>6943.3829269473954</c:v>
                </c:pt>
                <c:pt idx="30">
                  <c:v>7662.9421692897095</c:v>
                </c:pt>
                <c:pt idx="31">
                  <c:v>8396.661434931224</c:v>
                </c:pt>
                <c:pt idx="32">
                  <c:v>9140.586702694698</c:v>
                </c:pt>
                <c:pt idx="33">
                  <c:v>9890.970856575168</c:v>
                </c:pt>
                <c:pt idx="34">
                  <c:v>10644.306394155694</c:v>
                </c:pt>
                <c:pt idx="35">
                  <c:v>11397.347700408096</c:v>
                </c:pt>
                <c:pt idx="36">
                  <c:v>12147.124376955102</c:v>
                </c:pt>
                <c:pt idx="37">
                  <c:v>12890.947065968234</c:v>
                </c:pt>
                <c:pt idx="38">
                  <c:v>13626.407112505894</c:v>
                </c:pt>
                <c:pt idx="39">
                  <c:v>14351.371287224316</c:v>
                </c:pt>
                <c:pt idx="40">
                  <c:v>15063.972656458551</c:v>
                </c:pt>
                <c:pt idx="41">
                  <c:v>15762.598548387701</c:v>
                </c:pt>
                <c:pt idx="42">
                  <c:v>16445.876429108543</c:v>
                </c:pt>
                <c:pt idx="43">
                  <c:v>17112.65837536973</c:v>
                </c:pt>
                <c:pt idx="44">
                  <c:v>17762.004714135182</c:v>
                </c:pt>
                <c:pt idx="45">
                  <c:v>18393.16729442239</c:v>
                </c:pt>
                <c:pt idx="46">
                  <c:v>19005.572764443521</c:v>
                </c:pt>
                <c:pt idx="47">
                  <c:v>19598.806146766547</c:v>
                </c:pt>
                <c:pt idx="48">
                  <c:v>20172.594935390069</c:v>
                </c:pt>
                <c:pt idx="49">
                  <c:v>20726.793880414225</c:v>
                </c:pt>
                <c:pt idx="50">
                  <c:v>21261.370577375557</c:v>
                </c:pt>
                <c:pt idx="51">
                  <c:v>21776.391938236928</c:v>
                </c:pt>
                <c:pt idx="52">
                  <c:v>22272.011588425979</c:v>
                </c:pt>
                <c:pt idx="53">
                  <c:v>22748.458208194224</c:v>
                </c:pt>
                <c:pt idx="54">
                  <c:v>23206.024815986355</c:v>
                </c:pt>
                <c:pt idx="55">
                  <c:v>23645.058975616743</c:v>
                </c:pt>
                <c:pt idx="56">
                  <c:v>24065.953897086321</c:v>
                </c:pt>
                <c:pt idx="57">
                  <c:v>24469.140392167643</c:v>
                </c:pt>
                <c:pt idx="58">
                  <c:v>24855.079639854215</c:v>
                </c:pt>
                <c:pt idx="59">
                  <c:v>25224.256712908762</c:v>
                </c:pt>
                <c:pt idx="60">
                  <c:v>25577.174814623097</c:v>
                </c:pt>
                <c:pt idx="61">
                  <c:v>25914.35017415465</c:v>
                </c:pt>
                <c:pt idx="62">
                  <c:v>26236.307549127567</c:v>
                </c:pt>
                <c:pt idx="63">
                  <c:v>26543.57628532243</c:v>
                </c:pt>
                <c:pt idx="64">
                  <c:v>26836.686885019892</c:v>
                </c:pt>
                <c:pt idx="65">
                  <c:v>27116.168037737014</c:v>
                </c:pt>
                <c:pt idx="66">
                  <c:v>27382.544069561569</c:v>
                </c:pt>
                <c:pt idx="67">
                  <c:v>27636.332769937078</c:v>
                </c:pt>
                <c:pt idx="68">
                  <c:v>27878.043557491837</c:v>
                </c:pt>
                <c:pt idx="69">
                  <c:v>28108.175949268552</c:v>
                </c:pt>
                <c:pt idx="70">
                  <c:v>28327.218300444489</c:v>
                </c:pt>
                <c:pt idx="71">
                  <c:v>28535.646784295714</c:v>
                </c:pt>
                <c:pt idx="72">
                  <c:v>28733.924584722477</c:v>
                </c:pt>
                <c:pt idx="73">
                  <c:v>28922.5012760969</c:v>
                </c:pt>
                <c:pt idx="74">
                  <c:v>29101.812367503851</c:v>
                </c:pt>
                <c:pt idx="75">
                  <c:v>29272.278990614919</c:v>
                </c:pt>
                <c:pt idx="76">
                  <c:v>29434.307712457554</c:v>
                </c:pt>
                <c:pt idx="77">
                  <c:v>29588.290456219896</c:v>
                </c:pt>
                <c:pt idx="78">
                  <c:v>29734.604514965104</c:v>
                </c:pt>
                <c:pt idx="79">
                  <c:v>29873.612644724351</c:v>
                </c:pt>
                <c:pt idx="80">
                  <c:v>30005.663224899225</c:v>
                </c:pt>
                <c:pt idx="81">
                  <c:v>30131.09047523859</c:v>
                </c:pt>
                <c:pt idx="82">
                  <c:v>30250.214719869989</c:v>
                </c:pt>
                <c:pt idx="83">
                  <c:v>30363.342689967911</c:v>
                </c:pt>
                <c:pt idx="84">
                  <c:v>30470.767857639323</c:v>
                </c:pt>
                <c:pt idx="85">
                  <c:v>30572.7707945072</c:v>
                </c:pt>
                <c:pt idx="86">
                  <c:v>30669.619549284485</c:v>
                </c:pt>
                <c:pt idx="87">
                  <c:v>30761.570039358587</c:v>
                </c:pt>
                <c:pt idx="88">
                  <c:v>30848.866452060473</c:v>
                </c:pt>
                <c:pt idx="89">
                  <c:v>30931.741651875556</c:v>
                </c:pt>
                <c:pt idx="90">
                  <c:v>31010.417590374731</c:v>
                </c:pt>
                <c:pt idx="91">
                  <c:v>31085.105716107777</c:v>
                </c:pt>
                <c:pt idx="92">
                  <c:v>31156.007382112766</c:v>
                </c:pt>
                <c:pt idx="93">
                  <c:v>31223.314249060473</c:v>
                </c:pt>
                <c:pt idx="94">
                  <c:v>31287.208682374861</c:v>
                </c:pt>
                <c:pt idx="95">
                  <c:v>31347.864141955481</c:v>
                </c:pt>
                <c:pt idx="96">
                  <c:v>31405.4455633777</c:v>
                </c:pt>
                <c:pt idx="97">
                  <c:v>31460.109729665754</c:v>
                </c:pt>
                <c:pt idx="98">
                  <c:v>31512.00563292599</c:v>
                </c:pt>
                <c:pt idx="99">
                  <c:v>31561.274825294357</c:v>
                </c:pt>
                <c:pt idx="100">
                  <c:v>31608.051758797756</c:v>
                </c:pt>
                <c:pt idx="101">
                  <c:v>31652.464113854592</c:v>
                </c:pt>
                <c:pt idx="102">
                  <c:v>31694.633116247925</c:v>
                </c:pt>
                <c:pt idx="103">
                  <c:v>31734.673842497701</c:v>
                </c:pt>
                <c:pt idx="104">
                  <c:v>31772.6955136377</c:v>
                </c:pt>
                <c:pt idx="105">
                  <c:v>31808.801777469991</c:v>
                </c:pt>
                <c:pt idx="106">
                  <c:v>31843.090979425906</c:v>
                </c:pt>
                <c:pt idx="107">
                  <c:v>31875.656422210115</c:v>
                </c:pt>
                <c:pt idx="108">
                  <c:v>31906.586614442618</c:v>
                </c:pt>
                <c:pt idx="109">
                  <c:v>31935.96550854564</c:v>
                </c:pt>
                <c:pt idx="110">
                  <c:v>31963.87272814734</c:v>
                </c:pt>
                <c:pt idx="111">
                  <c:v>31990.383785294234</c:v>
                </c:pt>
                <c:pt idx="112">
                  <c:v>32015.570287779217</c:v>
                </c:pt>
                <c:pt idx="113">
                  <c:v>32039.500136902992</c:v>
                </c:pt>
                <c:pt idx="114">
                  <c:v>32062.237715993979</c:v>
                </c:pt>
                <c:pt idx="115">
                  <c:v>32083.84407001613</c:v>
                </c:pt>
                <c:pt idx="116">
                  <c:v>32104.377076595625</c:v>
                </c:pt>
                <c:pt idx="117">
                  <c:v>32123.891608796963</c:v>
                </c:pt>
                <c:pt idx="118">
                  <c:v>32142.439689976352</c:v>
                </c:pt>
                <c:pt idx="119">
                  <c:v>32160.070641036466</c:v>
                </c:pt>
                <c:pt idx="120">
                  <c:v>32176.831220401098</c:v>
                </c:pt>
                <c:pt idx="121">
                  <c:v>32192.765757021945</c:v>
                </c:pt>
                <c:pt idx="122">
                  <c:v>32207.916276722484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97-44AA-A96B-8DCC64E76E94}"/>
            </c:ext>
          </c:extLst>
        </c:ser>
        <c:ser>
          <c:idx val="12"/>
          <c:order val="2"/>
          <c:tx>
            <c:strRef>
              <c:f>'Cumul_deaths - LNorm'!$H$7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LNorm'!$H$8:$H$130</c:f>
              <c:numCache>
                <c:formatCode>0</c:formatCode>
                <c:ptCount val="123"/>
                <c:pt idx="0">
                  <c:v>6.7149122256497869E-21</c:v>
                </c:pt>
                <c:pt idx="1">
                  <c:v>8.5224305877687446E-13</c:v>
                </c:pt>
                <c:pt idx="2">
                  <c:v>7.8596021605024495E-9</c:v>
                </c:pt>
                <c:pt idx="3">
                  <c:v>2.3063039333087973E-6</c:v>
                </c:pt>
                <c:pt idx="4">
                  <c:v>1.2027748832253984E-4</c:v>
                </c:pt>
                <c:pt idx="5">
                  <c:v>2.2714672017694511E-3</c:v>
                </c:pt>
                <c:pt idx="6">
                  <c:v>2.2211162979490599E-2</c:v>
                </c:pt>
                <c:pt idx="7">
                  <c:v>0.13772771402073292</c:v>
                </c:pt>
                <c:pt idx="8">
                  <c:v>0.61364003481157581</c:v>
                </c:pt>
                <c:pt idx="9">
                  <c:v>2.1320480484178956</c:v>
                </c:pt>
                <c:pt idx="10">
                  <c:v>6.1105988386481052</c:v>
                </c:pt>
                <c:pt idx="11">
                  <c:v>15.037516169387148</c:v>
                </c:pt>
                <c:pt idx="12">
                  <c:v>32.723583839783821</c:v>
                </c:pt>
                <c:pt idx="13">
                  <c:v>64.383304984168021</c:v>
                </c:pt>
                <c:pt idx="14">
                  <c:v>116.50098376776548</c:v>
                </c:pt>
                <c:pt idx="15">
                  <c:v>196.49107565085549</c:v>
                </c:pt>
                <c:pt idx="16">
                  <c:v>312.20618413893664</c:v>
                </c:pt>
                <c:pt idx="17">
                  <c:v>471.37007458393191</c:v>
                </c:pt>
                <c:pt idx="18">
                  <c:v>681.01604800161465</c:v>
                </c:pt>
                <c:pt idx="19">
                  <c:v>946.99808315178439</c:v>
                </c:pt>
                <c:pt idx="20">
                  <c:v>1273.6205973441831</c:v>
                </c:pt>
                <c:pt idx="21">
                  <c:v>1663.4091492629568</c:v>
                </c:pt>
                <c:pt idx="22">
                  <c:v>2117.0235887570384</c:v>
                </c:pt>
                <c:pt idx="23">
                  <c:v>2633.2995268948448</c:v>
                </c:pt>
                <c:pt idx="24">
                  <c:v>3209.3942287112754</c:v>
                </c:pt>
                <c:pt idx="25">
                  <c:v>3841.0086018173238</c:v>
                </c:pt>
                <c:pt idx="26">
                  <c:v>4522.6567315189286</c:v>
                </c:pt>
                <c:pt idx="27">
                  <c:v>5247.95708245478</c:v>
                </c:pt>
                <c:pt idx="28">
                  <c:v>6009.9238275309008</c:v>
                </c:pt>
                <c:pt idx="29">
                  <c:v>6801.2417890732377</c:v>
                </c:pt>
                <c:pt idx="30">
                  <c:v>7614.5134707144825</c:v>
                </c:pt>
                <c:pt idx="31">
                  <c:v>8442.4711650988538</c:v>
                </c:pt>
                <c:pt idx="32">
                  <c:v>9278.1508976332971</c:v>
                </c:pt>
                <c:pt idx="33">
                  <c:v>10115.02792379468</c:v>
                </c:pt>
                <c:pt idx="34">
                  <c:v>10947.115657213044</c:v>
                </c:pt>
                <c:pt idx="35">
                  <c:v>11769.031352226537</c:v>
                </c:pt>
                <c:pt idx="36">
                  <c:v>12576.032713781846</c:v>
                </c:pt>
                <c:pt idx="37">
                  <c:v>13364.029984288829</c:v>
                </c:pt>
                <c:pt idx="38">
                  <c:v>14129.578080590658</c:v>
                </c:pt>
                <c:pt idx="39">
                  <c:v>14869.853130067524</c:v>
                </c:pt>
                <c:pt idx="40">
                  <c:v>15582.617371083983</c:v>
                </c:pt>
                <c:pt idx="41">
                  <c:v>16266.175909430931</c:v>
                </c:pt>
                <c:pt idx="42">
                  <c:v>16919.328312058449</c:v>
                </c:pt>
                <c:pt idx="43">
                  <c:v>17541.317510371748</c:v>
                </c:pt>
                <c:pt idx="44">
                  <c:v>18131.778003482588</c:v>
                </c:pt>
                <c:pt idx="45">
                  <c:v>18690.684913094963</c:v>
                </c:pt>
                <c:pt idx="46">
                  <c:v>19218.305054705084</c:v>
                </c:pt>
                <c:pt idx="47">
                  <c:v>19715.150857592751</c:v>
                </c:pt>
                <c:pt idx="48">
                  <c:v>20181.93768793613</c:v>
                </c:pt>
                <c:pt idx="49">
                  <c:v>20619.544902063069</c:v>
                </c:pt>
                <c:pt idx="50">
                  <c:v>21028.980775629043</c:v>
                </c:pt>
                <c:pt idx="51">
                  <c:v>21411.351313916479</c:v>
                </c:pt>
                <c:pt idx="52">
                  <c:v>21767.832842793458</c:v>
                </c:pt>
                <c:pt idx="53">
                  <c:v>22099.648203612731</c:v>
                </c:pt>
                <c:pt idx="54">
                  <c:v>22408.04632330544</c:v>
                </c:pt>
                <c:pt idx="55">
                  <c:v>22694.28489846551</c:v>
                </c:pt>
                <c:pt idx="56">
                  <c:v>22959.615915228875</c:v>
                </c:pt>
                <c:pt idx="57">
                  <c:v>23205.273721700763</c:v>
                </c:pt>
                <c:pt idx="58">
                  <c:v>23432.465373599523</c:v>
                </c:pt>
                <c:pt idx="59">
                  <c:v>23642.362984203788</c:v>
                </c:pt>
                <c:pt idx="60">
                  <c:v>23836.097824605622</c:v>
                </c:pt>
                <c:pt idx="61">
                  <c:v>24014.755938081678</c:v>
                </c:pt>
                <c:pt idx="62">
                  <c:v>24179.375051840354</c:v>
                </c:pt>
                <c:pt idx="63">
                  <c:v>24330.942589516031</c:v>
                </c:pt>
                <c:pt idx="64">
                  <c:v>24470.394607838731</c:v>
                </c:pt>
                <c:pt idx="65">
                  <c:v>24598.61550038015</c:v>
                </c:pt>
                <c:pt idx="66">
                  <c:v>24716.438329798169</c:v>
                </c:pt>
                <c:pt idx="67">
                  <c:v>24824.645667329863</c:v>
                </c:pt>
                <c:pt idx="68">
                  <c:v>24923.970834275813</c:v>
                </c:pt>
                <c:pt idx="69">
                  <c:v>25015.099454808984</c:v>
                </c:pt>
                <c:pt idx="70">
                  <c:v>25098.671242619148</c:v>
                </c:pt>
                <c:pt idx="71">
                  <c:v>25175.281955700331</c:v>
                </c:pt>
                <c:pt idx="72">
                  <c:v>25245.485464062989</c:v>
                </c:pt>
                <c:pt idx="73">
                  <c:v>25309.795884384141</c:v>
                </c:pt>
                <c:pt idx="74">
                  <c:v>25368.689743687883</c:v>
                </c:pt>
                <c:pt idx="75">
                  <c:v>25422.608141172062</c:v>
                </c:pt>
                <c:pt idx="76">
                  <c:v>25471.95888336256</c:v>
                </c:pt>
                <c:pt idx="77">
                  <c:v>25517.118572981355</c:v>
                </c:pt>
                <c:pt idx="78">
                  <c:v>25558.434636351041</c:v>
                </c:pt>
                <c:pt idx="79">
                  <c:v>25596.227277914542</c:v>
                </c:pt>
                <c:pt idx="80">
                  <c:v>25630.791353606222</c:v>
                </c:pt>
                <c:pt idx="81">
                  <c:v>25662.398157444073</c:v>
                </c:pt>
                <c:pt idx="82">
                  <c:v>25691.297117891081</c:v>
                </c:pt>
                <c:pt idx="83">
                  <c:v>25717.717402317983</c:v>
                </c:pt>
                <c:pt idx="84">
                  <c:v>25741.869429345697</c:v>
                </c:pt>
                <c:pt idx="85">
                  <c:v>25763.946290001615</c:v>
                </c:pt>
                <c:pt idx="86">
                  <c:v>25784.125079533951</c:v>
                </c:pt>
                <c:pt idx="87">
                  <c:v>25802.568142429911</c:v>
                </c:pt>
                <c:pt idx="88">
                  <c:v>25819.4242337102</c:v>
                </c:pt>
                <c:pt idx="89">
                  <c:v>25834.829599952984</c:v>
                </c:pt>
                <c:pt idx="90">
                  <c:v>25848.908983760033</c:v>
                </c:pt>
                <c:pt idx="91">
                  <c:v>25861.776555537897</c:v>
                </c:pt>
                <c:pt idx="92">
                  <c:v>25873.536776546018</c:v>
                </c:pt>
                <c:pt idx="93">
                  <c:v>25884.285197177374</c:v>
                </c:pt>
                <c:pt idx="94">
                  <c:v>25894.10919439916</c:v>
                </c:pt>
                <c:pt idx="95">
                  <c:v>25903.088652201975</c:v>
                </c:pt>
                <c:pt idx="96">
                  <c:v>25911.29658879598</c:v>
                </c:pt>
                <c:pt idx="97">
                  <c:v>25918.799734159093</c:v>
                </c:pt>
                <c:pt idx="98">
                  <c:v>25925.65906139206</c:v>
                </c:pt>
                <c:pt idx="99">
                  <c:v>25931.930275173927</c:v>
                </c:pt>
                <c:pt idx="100">
                  <c:v>25937.664260442871</c:v>
                </c:pt>
                <c:pt idx="101">
                  <c:v>25942.907494255873</c:v>
                </c:pt>
                <c:pt idx="102">
                  <c:v>25947.702423608338</c:v>
                </c:pt>
                <c:pt idx="103">
                  <c:v>25952.087811824626</c:v>
                </c:pt>
                <c:pt idx="104">
                  <c:v>25956.099055963587</c:v>
                </c:pt>
                <c:pt idx="105">
                  <c:v>25959.768477521426</c:v>
                </c:pt>
                <c:pt idx="106">
                  <c:v>25963.125588558338</c:v>
                </c:pt>
                <c:pt idx="107">
                  <c:v>25966.197335226083</c:v>
                </c:pt>
                <c:pt idx="108">
                  <c:v>25969.008320531579</c:v>
                </c:pt>
                <c:pt idx="109">
                  <c:v>25971.581008036828</c:v>
                </c:pt>
                <c:pt idx="110">
                  <c:v>25973.935908068263</c:v>
                </c:pt>
                <c:pt idx="111">
                  <c:v>25976.091747888935</c:v>
                </c:pt>
                <c:pt idx="112">
                  <c:v>25978.065627174688</c:v>
                </c:pt>
                <c:pt idx="113">
                  <c:v>25979.873160030442</c:v>
                </c:pt>
                <c:pt idx="114">
                  <c:v>25981.528604684747</c:v>
                </c:pt>
                <c:pt idx="115">
                  <c:v>25983.044981909541</c:v>
                </c:pt>
                <c:pt idx="116">
                  <c:v>25984.43418312732</c:v>
                </c:pt>
                <c:pt idx="117">
                  <c:v>25985.707069089291</c:v>
                </c:pt>
                <c:pt idx="118">
                  <c:v>25986.873559935331</c:v>
                </c:pt>
                <c:pt idx="119">
                  <c:v>25987.942717379297</c:v>
                </c:pt>
                <c:pt idx="120">
                  <c:v>25988.922819701056</c:v>
                </c:pt>
                <c:pt idx="121">
                  <c:v>25989.821430169381</c:v>
                </c:pt>
                <c:pt idx="122">
                  <c:v>25990.645459467025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97-44AA-A96B-8DCC64E76E94}"/>
            </c:ext>
          </c:extLst>
        </c:ser>
        <c:ser>
          <c:idx val="5"/>
          <c:order val="6"/>
          <c:tx>
            <c:strRef>
              <c:f>'Cumul_deaths - LNorm'!$N$7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LNorm'!$N$8:$N$130</c:f>
              <c:numCache>
                <c:formatCode>0</c:formatCode>
                <c:ptCount val="123"/>
                <c:pt idx="0">
                  <c:v>7.8580894067903539E-14</c:v>
                </c:pt>
                <c:pt idx="1">
                  <c:v>2.9701756303691575E-8</c:v>
                </c:pt>
                <c:pt idx="2">
                  <c:v>1.6217695201610483E-5</c:v>
                </c:pt>
                <c:pt idx="3">
                  <c:v>8.2847043199092414E-4</c:v>
                </c:pt>
                <c:pt idx="4">
                  <c:v>1.2895991913804881E-2</c:v>
                </c:pt>
                <c:pt idx="5">
                  <c:v>9.9738561521447222E-2</c:v>
                </c:pt>
                <c:pt idx="6">
                  <c:v>0.49006299816223559</c:v>
                </c:pt>
                <c:pt idx="7">
                  <c:v>1.7586605481015192</c:v>
                </c:pt>
                <c:pt idx="8">
                  <c:v>5.0233830678144296</c:v>
                </c:pt>
                <c:pt idx="9">
                  <c:v>12.082996983046794</c:v>
                </c:pt>
                <c:pt idx="10">
                  <c:v>25.441162838426159</c:v>
                </c:pt>
                <c:pt idx="11">
                  <c:v>48.203510219797678</c:v>
                </c:pt>
                <c:pt idx="12">
                  <c:v>83.872181073891952</c:v>
                </c:pt>
                <c:pt idx="13">
                  <c:v>136.08249590093126</c:v>
                </c:pt>
                <c:pt idx="14">
                  <c:v>208.3292450687064</c:v>
                </c:pt>
                <c:pt idx="15">
                  <c:v>303.72134856665798</c:v>
                </c:pt>
                <c:pt idx="16">
                  <c:v>424.78991839519915</c:v>
                </c:pt>
                <c:pt idx="17">
                  <c:v>573.36103008558632</c:v>
                </c:pt>
                <c:pt idx="18">
                  <c:v>750.49345734159601</c:v>
                </c:pt>
                <c:pt idx="19">
                  <c:v>956.47415376469405</c:v>
                </c:pt>
                <c:pt idx="20">
                  <c:v>1190.8601861559616</c:v>
                </c:pt>
                <c:pt idx="21">
                  <c:v>1452.5544279828835</c:v>
                </c:pt>
                <c:pt idx="22">
                  <c:v>1739.9027743389897</c:v>
                </c:pt>
                <c:pt idx="23">
                  <c:v>2050.8021878002378</c:v>
                </c:pt>
                <c:pt idx="24">
                  <c:v>2382.8109415010099</c:v>
                </c:pt>
                <c:pt idx="25">
                  <c:v>2733.25458387873</c:v>
                </c:pt>
                <c:pt idx="26">
                  <c:v>3099.3231563953636</c:v>
                </c:pt>
                <c:pt idx="27">
                  <c:v>3478.1569177160136</c:v>
                </c:pt>
                <c:pt idx="28">
                  <c:v>3866.9192149868513</c:v>
                </c:pt>
                <c:pt idx="29">
                  <c:v>4262.8561975774501</c:v>
                </c:pt>
                <c:pt idx="30">
                  <c:v>4663.343823509942</c:v>
                </c:pt>
                <c:pt idx="31">
                  <c:v>5065.9231103604361</c:v>
                </c:pt>
                <c:pt idx="32">
                  <c:v>5468.3248808817289</c:v>
                </c:pt>
                <c:pt idx="33">
                  <c:v>5868.4853966238779</c:v>
                </c:pt>
                <c:pt idx="34">
                  <c:v>6264.554302356757</c:v>
                </c:pt>
                <c:pt idx="35">
                  <c:v>6654.896255074249</c:v>
                </c:pt>
                <c:pt idx="36">
                  <c:v>7038.0875116700663</c:v>
                </c:pt>
                <c:pt idx="37">
                  <c:v>7412.9086204317928</c:v>
                </c:pt>
                <c:pt idx="38">
                  <c:v>7778.3342191288202</c:v>
                </c:pt>
                <c:pt idx="39">
                  <c:v>8133.5207978990029</c:v>
                </c:pt>
                <c:pt idx="40">
                  <c:v>8477.7931459399788</c:v>
                </c:pt>
                <c:pt idx="41">
                  <c:v>8810.6300719470382</c:v>
                </c:pt>
                <c:pt idx="42">
                  <c:v>9131.6498719793653</c:v>
                </c:pt>
                <c:pt idx="43">
                  <c:v>9440.5959161394767</c:v>
                </c:pt>
                <c:pt idx="44">
                  <c:v>9737.3226372297759</c:v>
                </c:pt>
                <c:pt idx="45">
                  <c:v>10021.782129825457</c:v>
                </c:pt>
                <c:pt idx="46">
                  <c:v>10294.011505970657</c:v>
                </c:pt>
                <c:pt idx="47">
                  <c:v>10554.121102729261</c:v>
                </c:pt>
                <c:pt idx="48">
                  <c:v>10802.283595774208</c:v>
                </c:pt>
                <c:pt idx="49">
                  <c:v>11038.724040751638</c:v>
                </c:pt>
                <c:pt idx="50">
                  <c:v>11263.710839039619</c:v>
                </c:pt>
                <c:pt idx="51">
                  <c:v>11477.547605566646</c:v>
                </c:pt>
                <c:pt idx="52">
                  <c:v>11680.565902507202</c:v>
                </c:pt>
                <c:pt idx="53">
                  <c:v>11873.118793000795</c:v>
                </c:pt>
                <c:pt idx="54">
                  <c:v>12055.575162738782</c:v>
                </c:pt>
                <c:pt idx="55">
                  <c:v>12228.314753638502</c:v>
                </c:pt>
                <c:pt idx="56">
                  <c:v>12391.723852291871</c:v>
                </c:pt>
                <c:pt idx="57">
                  <c:v>12546.191575947807</c:v>
                </c:pt>
                <c:pt idx="58">
                  <c:v>12692.106700060776</c:v>
                </c:pt>
                <c:pt idx="59">
                  <c:v>12829.854973582547</c:v>
                </c:pt>
                <c:pt idx="60">
                  <c:v>12959.816870924551</c:v>
                </c:pt>
                <c:pt idx="61">
                  <c:v>13082.365732661745</c:v>
                </c:pt>
                <c:pt idx="62">
                  <c:v>13197.866250419376</c:v>
                </c:pt>
                <c:pt idx="63">
                  <c:v>13306.673254850923</c:v>
                </c:pt>
                <c:pt idx="64">
                  <c:v>13409.130769081425</c:v>
                </c:pt>
                <c:pt idx="65">
                  <c:v>13505.571293381416</c:v>
                </c:pt>
                <c:pt idx="66">
                  <c:v>13596.315290100261</c:v>
                </c:pt>
                <c:pt idx="67">
                  <c:v>13681.670840987223</c:v>
                </c:pt>
                <c:pt idx="68">
                  <c:v>13761.933451940688</c:v>
                </c:pt>
                <c:pt idx="69">
                  <c:v>13837.385982936858</c:v>
                </c:pt>
                <c:pt idx="70">
                  <c:v>13908.298683393336</c:v>
                </c:pt>
                <c:pt idx="71">
                  <c:v>13974.929315520607</c:v>
                </c:pt>
                <c:pt idx="72">
                  <c:v>14037.523350309684</c:v>
                </c:pt>
                <c:pt idx="73">
                  <c:v>14096.314222705028</c:v>
                </c:pt>
                <c:pt idx="74">
                  <c:v>14151.523634227724</c:v>
                </c:pt>
                <c:pt idx="75">
                  <c:v>14203.36189285633</c:v>
                </c:pt>
                <c:pt idx="76">
                  <c:v>14252.028281352978</c:v>
                </c:pt>
                <c:pt idx="77">
                  <c:v>14297.711446453452</c:v>
                </c:pt>
                <c:pt idx="78">
                  <c:v>14340.589802433167</c:v>
                </c:pt>
                <c:pt idx="79">
                  <c:v>14380.831943528921</c:v>
                </c:pt>
                <c:pt idx="80">
                  <c:v>14418.597060550243</c:v>
                </c:pt>
                <c:pt idx="81">
                  <c:v>14454.035357764715</c:v>
                </c:pt>
                <c:pt idx="82">
                  <c:v>14487.288466799537</c:v>
                </c:pt>
                <c:pt idx="83">
                  <c:v>14518.489854875801</c:v>
                </c:pt>
                <c:pt idx="84">
                  <c:v>14547.765225191835</c:v>
                </c:pt>
                <c:pt idx="85">
                  <c:v>14575.232907705064</c:v>
                </c:pt>
                <c:pt idx="86">
                  <c:v>14601.004238936182</c:v>
                </c:pt>
                <c:pt idx="87">
                  <c:v>14625.183929740999</c:v>
                </c:pt>
                <c:pt idx="88">
                  <c:v>14647.870420271101</c:v>
                </c:pt>
                <c:pt idx="89">
                  <c:v>14669.156221579084</c:v>
                </c:pt>
                <c:pt idx="90">
                  <c:v>14689.128243523186</c:v>
                </c:pt>
                <c:pt idx="91">
                  <c:v>14707.868108793768</c:v>
                </c:pt>
                <c:pt idx="92">
                  <c:v>14725.452453024269</c:v>
                </c:pt>
                <c:pt idx="93">
                  <c:v>14741.953211065689</c:v>
                </c:pt>
                <c:pt idx="94">
                  <c:v>14757.437889599149</c:v>
                </c:pt>
                <c:pt idx="95">
                  <c:v>14771.969826338824</c:v>
                </c:pt>
                <c:pt idx="96">
                  <c:v>14785.608436139693</c:v>
                </c:pt>
                <c:pt idx="97">
                  <c:v>14798.409444373303</c:v>
                </c:pt>
                <c:pt idx="98">
                  <c:v>14810.425107972253</c:v>
                </c:pt>
                <c:pt idx="99">
                  <c:v>14821.704424571741</c:v>
                </c:pt>
                <c:pt idx="100">
                  <c:v>14832.293330195829</c:v>
                </c:pt>
                <c:pt idx="101">
                  <c:v>14842.234885948668</c:v>
                </c:pt>
                <c:pt idx="102">
                  <c:v>14851.569454177245</c:v>
                </c:pt>
                <c:pt idx="103">
                  <c:v>14860.334864574008</c:v>
                </c:pt>
                <c:pt idx="104">
                  <c:v>14868.566570685251</c:v>
                </c:pt>
                <c:pt idx="105">
                  <c:v>14876.29779728537</c:v>
                </c:pt>
                <c:pt idx="106">
                  <c:v>14883.55967906872</c:v>
                </c:pt>
                <c:pt idx="107">
                  <c:v>14890.381391100189</c:v>
                </c:pt>
                <c:pt idx="108">
                  <c:v>14896.790271453332</c:v>
                </c:pt>
                <c:pt idx="109">
                  <c:v>14902.811936451379</c:v>
                </c:pt>
                <c:pt idx="110">
                  <c:v>14908.470388911899</c:v>
                </c:pt>
                <c:pt idx="111">
                  <c:v>14913.788119780729</c:v>
                </c:pt>
                <c:pt idx="112">
                  <c:v>14918.7862035252</c:v>
                </c:pt>
                <c:pt idx="113">
                  <c:v>14923.484387640894</c:v>
                </c:pt>
                <c:pt idx="114">
                  <c:v>14927.901176610219</c:v>
                </c:pt>
                <c:pt idx="115">
                  <c:v>14932.053910635439</c:v>
                </c:pt>
                <c:pt idx="116">
                  <c:v>14935.958839453066</c:v>
                </c:pt>
                <c:pt idx="117">
                  <c:v>14939.631191521388</c:v>
                </c:pt>
                <c:pt idx="118">
                  <c:v>14943.085238857819</c:v>
                </c:pt>
                <c:pt idx="119">
                  <c:v>14946.334357788395</c:v>
                </c:pt>
                <c:pt idx="120">
                  <c:v>14949.39108585762</c:v>
                </c:pt>
                <c:pt idx="121">
                  <c:v>14952.267175133333</c:v>
                </c:pt>
                <c:pt idx="122">
                  <c:v>14954.97364212826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97-44AA-A96B-8DCC64E76E94}"/>
            </c:ext>
          </c:extLst>
        </c:ser>
        <c:ser>
          <c:idx val="9"/>
          <c:order val="10"/>
          <c:tx>
            <c:strRef>
              <c:f>'Cumul_deaths - LNorm'!$T$7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LNorm'!$T$8:$T$130</c:f>
              <c:numCache>
                <c:formatCode>0</c:formatCode>
                <c:ptCount val="123"/>
                <c:pt idx="0">
                  <c:v>2.2774255627002495E-14</c:v>
                </c:pt>
                <c:pt idx="1">
                  <c:v>7.1921604559956059E-9</c:v>
                </c:pt>
                <c:pt idx="2">
                  <c:v>3.8535125846683424E-6</c:v>
                </c:pt>
                <c:pt idx="3">
                  <c:v>2.017556768645964E-4</c:v>
                </c:pt>
                <c:pt idx="4">
                  <c:v>3.2701564326910485E-3</c:v>
                </c:pt>
                <c:pt idx="5">
                  <c:v>2.6499546868562714E-2</c:v>
                </c:pt>
                <c:pt idx="6">
                  <c:v>0.13671689715006971</c:v>
                </c:pt>
                <c:pt idx="7">
                  <c:v>0.51529511201228195</c:v>
                </c:pt>
                <c:pt idx="8">
                  <c:v>1.5448094802669017</c:v>
                </c:pt>
                <c:pt idx="9">
                  <c:v>3.8954138610912019</c:v>
                </c:pt>
                <c:pt idx="10">
                  <c:v>8.5864095639181297</c:v>
                </c:pt>
                <c:pt idx="11">
                  <c:v>17.005945959212557</c:v>
                </c:pt>
                <c:pt idx="12">
                  <c:v>30.883543547934824</c:v>
                </c:pt>
                <c:pt idx="13">
                  <c:v>52.220788742509427</c:v>
                </c:pt>
                <c:pt idx="14">
                  <c:v>83.192340478017726</c:v>
                </c:pt>
                <c:pt idx="15">
                  <c:v>126.03191823669579</c:v>
                </c:pt>
                <c:pt idx="16">
                  <c:v>182.91714966296232</c:v>
                </c:pt>
                <c:pt idx="17">
                  <c:v>255.86438644768168</c:v>
                </c:pt>
                <c:pt idx="18">
                  <c:v>346.64104894540247</c:v>
                </c:pt>
                <c:pt idx="19">
                  <c:v>456.6995780742028</c:v>
                </c:pt>
                <c:pt idx="20">
                  <c:v>587.13413811033445</c:v>
                </c:pt>
                <c:pt idx="21">
                  <c:v>738.65902058893437</c:v>
                </c:pt>
                <c:pt idx="22">
                  <c:v>911.60625375721361</c:v>
                </c:pt>
                <c:pt idx="23">
                  <c:v>1105.9391260352513</c:v>
                </c:pt>
                <c:pt idx="24">
                  <c:v>1321.2780449412539</c:v>
                </c:pt>
                <c:pt idx="25">
                  <c:v>1556.935229640517</c:v>
                </c:pt>
                <c:pt idx="26">
                  <c:v>1811.9550466386506</c:v>
                </c:pt>
                <c:pt idx="27">
                  <c:v>2085.1572400887871</c:v>
                </c:pt>
                <c:pt idx="28">
                  <c:v>2375.1808029961703</c:v>
                </c:pt>
                <c:pt idx="29">
                  <c:v>2680.5267293699458</c:v>
                </c:pt>
                <c:pt idx="30">
                  <c:v>2999.5983457797674</c:v>
                </c:pt>
                <c:pt idx="31">
                  <c:v>3330.7383245707879</c:v>
                </c:pt>
                <c:pt idx="32">
                  <c:v>3672.2618218129683</c:v>
                </c:pt>
                <c:pt idx="33">
                  <c:v>4022.4854599512905</c:v>
                </c:pt>
                <c:pt idx="34">
                  <c:v>4379.7520917989377</c:v>
                </c:pt>
                <c:pt idx="35">
                  <c:v>4742.451445333847</c:v>
                </c:pt>
                <c:pt idx="36">
                  <c:v>5109.0368652850357</c:v>
                </c:pt>
                <c:pt idx="37">
                  <c:v>5478.038445536441</c:v>
                </c:pt>
                <c:pt idx="38">
                  <c:v>5848.0728933770752</c:v>
                </c:pt>
                <c:pt idx="39">
                  <c:v>6217.850489325313</c:v>
                </c:pt>
                <c:pt idx="40">
                  <c:v>6586.1795105185711</c:v>
                </c:pt>
                <c:pt idx="41">
                  <c:v>6951.9684764406638</c:v>
                </c:pt>
                <c:pt idx="42">
                  <c:v>7314.2265571291782</c:v>
                </c:pt>
                <c:pt idx="43">
                  <c:v>7672.0624592302538</c:v>
                </c:pt>
                <c:pt idx="44">
                  <c:v>8024.6820769054066</c:v>
                </c:pt>
                <c:pt idx="45">
                  <c:v>8371.3851645969353</c:v>
                </c:pt>
                <c:pt idx="46">
                  <c:v>8711.5612584728642</c:v>
                </c:pt>
                <c:pt idx="47">
                  <c:v>9044.6850440372837</c:v>
                </c:pt>
                <c:pt idx="48">
                  <c:v>9370.3113396158606</c:v>
                </c:pt>
                <c:pt idx="49">
                  <c:v>9688.0698396625849</c:v>
                </c:pt>
                <c:pt idx="50">
                  <c:v>9997.6597383359367</c:v>
                </c:pt>
                <c:pt idx="51">
                  <c:v>10298.84433267028</c:v>
                </c:pt>
                <c:pt idx="52">
                  <c:v>10591.445685918776</c:v>
                </c:pt>
                <c:pt idx="53">
                  <c:v>10875.33941519343</c:v>
                </c:pt>
                <c:pt idx="54">
                  <c:v>11150.449653247575</c:v>
                </c:pt>
                <c:pt idx="55">
                  <c:v>11416.744221978241</c:v>
                </c:pt>
                <c:pt idx="56">
                  <c:v>11674.230044794451</c:v>
                </c:pt>
                <c:pt idx="57">
                  <c:v>11922.948816219836</c:v>
                </c:pt>
                <c:pt idx="58">
                  <c:v>12162.972939793439</c:v>
                </c:pt>
                <c:pt idx="59">
                  <c:v>12394.401739326213</c:v>
                </c:pt>
                <c:pt idx="60">
                  <c:v>12617.357943698547</c:v>
                </c:pt>
                <c:pt idx="61">
                  <c:v>12831.984441492903</c:v>
                </c:pt>
                <c:pt idx="62">
                  <c:v>13038.441298708191</c:v>
                </c:pt>
                <c:pt idx="63">
                  <c:v>13236.903030471507</c:v>
                </c:pt>
                <c:pt idx="64">
                  <c:v>13427.556115938467</c:v>
                </c:pt>
                <c:pt idx="65">
                  <c:v>13610.596744355598</c:v>
                </c:pt>
                <c:pt idx="66">
                  <c:v>13786.228779461306</c:v>
                </c:pt>
                <c:pt idx="67">
                  <c:v>13954.661928949854</c:v>
                </c:pt>
                <c:pt idx="68">
                  <c:v>14116.110105551152</c:v>
                </c:pt>
                <c:pt idx="69">
                  <c:v>14270.789966331697</c:v>
                </c:pt>
                <c:pt idx="70">
                  <c:v>14418.919617051155</c:v>
                </c:pt>
                <c:pt idx="71">
                  <c:v>14560.717468775107</c:v>
                </c:pt>
                <c:pt idx="72">
                  <c:v>14696.401234412793</c:v>
                </c:pt>
                <c:pt idx="73">
                  <c:v>14826.187053391872</c:v>
                </c:pt>
                <c:pt idx="74">
                  <c:v>14950.288733276127</c:v>
                </c:pt>
                <c:pt idx="75">
                  <c:v>15068.917097758587</c:v>
                </c:pt>
                <c:pt idx="76">
                  <c:v>15182.279431104576</c:v>
                </c:pt>
                <c:pt idx="77">
                  <c:v>15290.579009766445</c:v>
                </c:pt>
                <c:pt idx="78">
                  <c:v>15394.014712531936</c:v>
                </c:pt>
                <c:pt idx="79">
                  <c:v>15492.780701195428</c:v>
                </c:pt>
                <c:pt idx="80">
                  <c:v>15587.066164348984</c:v>
                </c:pt>
                <c:pt idx="81">
                  <c:v>15677.055117473876</c:v>
                </c:pt>
                <c:pt idx="82">
                  <c:v>15762.926253070453</c:v>
                </c:pt>
                <c:pt idx="83">
                  <c:v>15844.852835092111</c:v>
                </c:pt>
                <c:pt idx="84">
                  <c:v>15923.002632447486</c:v>
                </c:pt>
                <c:pt idx="85">
                  <c:v>15997.537886802136</c:v>
                </c:pt>
                <c:pt idx="86">
                  <c:v>16068.615310348303</c:v>
                </c:pt>
                <c:pt idx="87">
                  <c:v>16136.386109617586</c:v>
                </c:pt>
                <c:pt idx="88">
                  <c:v>16200.996031789373</c:v>
                </c:pt>
                <c:pt idx="89">
                  <c:v>16262.585430296474</c:v>
                </c:pt>
                <c:pt idx="90">
                  <c:v>16321.289346851547</c:v>
                </c:pt>
                <c:pt idx="91">
                  <c:v>16377.237607314011</c:v>
                </c:pt>
                <c:pt idx="92">
                  <c:v>16430.554929088499</c:v>
                </c:pt>
                <c:pt idx="93">
                  <c:v>16481.361037994786</c:v>
                </c:pt>
                <c:pt idx="94">
                  <c:v>16529.770792775711</c:v>
                </c:pt>
                <c:pt idx="95">
                  <c:v>16575.894315616657</c:v>
                </c:pt>
                <c:pt idx="96">
                  <c:v>16619.837127238006</c:v>
                </c:pt>
                <c:pt idx="97">
                  <c:v>16661.700285292452</c:v>
                </c:pt>
                <c:pt idx="98">
                  <c:v>16701.580524953737</c:v>
                </c:pt>
                <c:pt idx="99">
                  <c:v>16739.570400722616</c:v>
                </c:pt>
                <c:pt idx="100">
                  <c:v>16775.758428601926</c:v>
                </c:pt>
                <c:pt idx="101">
                  <c:v>16810.229227905926</c:v>
                </c:pt>
                <c:pt idx="102">
                  <c:v>16843.063662070683</c:v>
                </c:pt>
                <c:pt idx="103">
                  <c:v>16874.338977923693</c:v>
                </c:pt>
                <c:pt idx="104">
                  <c:v>16904.128942952451</c:v>
                </c:pt>
                <c:pt idx="105">
                  <c:v>16932.503980184621</c:v>
                </c:pt>
                <c:pt idx="106">
                  <c:v>16959.531300357186</c:v>
                </c:pt>
                <c:pt idx="107">
                  <c:v>16985.275031109926</c:v>
                </c:pt>
                <c:pt idx="108">
                  <c:v>17009.796342989284</c:v>
                </c:pt>
                <c:pt idx="109">
                  <c:v>17033.153572094263</c:v>
                </c:pt>
                <c:pt idx="110">
                  <c:v>17055.402339235443</c:v>
                </c:pt>
                <c:pt idx="111">
                  <c:v>17076.595665513505</c:v>
                </c:pt>
                <c:pt idx="112">
                  <c:v>17096.784084254017</c:v>
                </c:pt>
                <c:pt idx="113">
                  <c:v>17116.0157492621</c:v>
                </c:pt>
                <c:pt idx="114">
                  <c:v>17134.336539383759</c:v>
                </c:pt>
                <c:pt idx="115">
                  <c:v>17151.790159380693</c:v>
                </c:pt>
                <c:pt idx="116">
                  <c:v>17168.41823714256</c:v>
                </c:pt>
                <c:pt idx="117">
                  <c:v>17184.260417275575</c:v>
                </c:pt>
                <c:pt idx="118">
                  <c:v>17199.354451118532</c:v>
                </c:pt>
                <c:pt idx="119">
                  <c:v>17213.736283248072</c:v>
                </c:pt>
                <c:pt idx="120">
                  <c:v>17227.440134543478</c:v>
                </c:pt>
                <c:pt idx="121">
                  <c:v>17240.498581888613</c:v>
                </c:pt>
                <c:pt idx="122">
                  <c:v>17252.942634594223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LNorm'!$P$7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LNorm'!$P$8:$P$130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219.79710908499445</c:v>
                      </c:pt>
                      <c:pt idx="1">
                        <c:v>219.79710911469613</c:v>
                      </c:pt>
                      <c:pt idx="2">
                        <c:v>219.79712530268955</c:v>
                      </c:pt>
                      <c:pt idx="3">
                        <c:v>219.79793755542636</c:v>
                      </c:pt>
                      <c:pt idx="4">
                        <c:v>219.81000507690817</c:v>
                      </c:pt>
                      <c:pt idx="5">
                        <c:v>219.89684764651579</c:v>
                      </c:pt>
                      <c:pt idx="6">
                        <c:v>220.28717208315661</c:v>
                      </c:pt>
                      <c:pt idx="7">
                        <c:v>221.55576963309588</c:v>
                      </c:pt>
                      <c:pt idx="8">
                        <c:v>224.82049215280878</c:v>
                      </c:pt>
                      <c:pt idx="9">
                        <c:v>231.88010606804116</c:v>
                      </c:pt>
                      <c:pt idx="10">
                        <c:v>245.23827192342051</c:v>
                      </c:pt>
                      <c:pt idx="11">
                        <c:v>268.00061930479205</c:v>
                      </c:pt>
                      <c:pt idx="12">
                        <c:v>303.66929015888633</c:v>
                      </c:pt>
                      <c:pt idx="13">
                        <c:v>355.87960498592565</c:v>
                      </c:pt>
                      <c:pt idx="14">
                        <c:v>428.12635415370073</c:v>
                      </c:pt>
                      <c:pt idx="15">
                        <c:v>523.5184576516524</c:v>
                      </c:pt>
                      <c:pt idx="16">
                        <c:v>644.58702748019346</c:v>
                      </c:pt>
                      <c:pt idx="17">
                        <c:v>793.15813917058063</c:v>
                      </c:pt>
                      <c:pt idx="18">
                        <c:v>970.29056642659043</c:v>
                      </c:pt>
                      <c:pt idx="19">
                        <c:v>1176.2712628496884</c:v>
                      </c:pt>
                      <c:pt idx="20">
                        <c:v>1410.657295240956</c:v>
                      </c:pt>
                      <c:pt idx="21">
                        <c:v>1672.3515370678779</c:v>
                      </c:pt>
                      <c:pt idx="22">
                        <c:v>1959.6998834239841</c:v>
                      </c:pt>
                      <c:pt idx="23">
                        <c:v>2270.599296885232</c:v>
                      </c:pt>
                      <c:pt idx="24">
                        <c:v>2602.6080505860041</c:v>
                      </c:pt>
                      <c:pt idx="25">
                        <c:v>2953.0516929637242</c:v>
                      </c:pt>
                      <c:pt idx="26">
                        <c:v>3319.1202654803578</c:v>
                      </c:pt>
                      <c:pt idx="27">
                        <c:v>3697.9540268010078</c:v>
                      </c:pt>
                      <c:pt idx="28">
                        <c:v>4086.7163240718455</c:v>
                      </c:pt>
                      <c:pt idx="29">
                        <c:v>4482.6533066624443</c:v>
                      </c:pt>
                      <c:pt idx="30">
                        <c:v>4883.1409325949362</c:v>
                      </c:pt>
                      <c:pt idx="31">
                        <c:v>5285.7202194454303</c:v>
                      </c:pt>
                      <c:pt idx="32">
                        <c:v>5688.121989966723</c:v>
                      </c:pt>
                      <c:pt idx="33">
                        <c:v>6088.2825057088721</c:v>
                      </c:pt>
                      <c:pt idx="34">
                        <c:v>6484.3514114417512</c:v>
                      </c:pt>
                      <c:pt idx="35">
                        <c:v>6874.6933641592432</c:v>
                      </c:pt>
                      <c:pt idx="36">
                        <c:v>7257.8846207550605</c:v>
                      </c:pt>
                      <c:pt idx="37">
                        <c:v>7632.705729516787</c:v>
                      </c:pt>
                      <c:pt idx="38">
                        <c:v>7998.1313282138144</c:v>
                      </c:pt>
                      <c:pt idx="39">
                        <c:v>8353.3179069839971</c:v>
                      </c:pt>
                      <c:pt idx="40">
                        <c:v>8697.5902550249739</c:v>
                      </c:pt>
                      <c:pt idx="41">
                        <c:v>9030.4271810320333</c:v>
                      </c:pt>
                      <c:pt idx="42">
                        <c:v>9351.4469810643604</c:v>
                      </c:pt>
                      <c:pt idx="43">
                        <c:v>9660.3930252244718</c:v>
                      </c:pt>
                      <c:pt idx="44">
                        <c:v>9957.119746314771</c:v>
                      </c:pt>
                      <c:pt idx="45">
                        <c:v>10241.579238910452</c:v>
                      </c:pt>
                      <c:pt idx="46">
                        <c:v>10513.808615055652</c:v>
                      </c:pt>
                      <c:pt idx="47">
                        <c:v>10773.918211814256</c:v>
                      </c:pt>
                      <c:pt idx="48">
                        <c:v>11022.080704859203</c:v>
                      </c:pt>
                      <c:pt idx="49">
                        <c:v>11258.521149836633</c:v>
                      </c:pt>
                      <c:pt idx="50">
                        <c:v>11483.507948124614</c:v>
                      </c:pt>
                      <c:pt idx="51">
                        <c:v>11697.344714651641</c:v>
                      </c:pt>
                      <c:pt idx="52">
                        <c:v>11900.363011592197</c:v>
                      </c:pt>
                      <c:pt idx="53">
                        <c:v>12092.91590208579</c:v>
                      </c:pt>
                      <c:pt idx="54">
                        <c:v>12275.372271823777</c:v>
                      </c:pt>
                      <c:pt idx="55">
                        <c:v>12448.111862723497</c:v>
                      </c:pt>
                      <c:pt idx="56">
                        <c:v>12611.520961376866</c:v>
                      </c:pt>
                      <c:pt idx="57">
                        <c:v>12765.988685032802</c:v>
                      </c:pt>
                      <c:pt idx="58">
                        <c:v>12911.903809145771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C697-44AA-A96B-8DCC64E76E94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LNorm'!$Q$7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LNorm'!$Q$8:$Q$130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83.924239481663619</c:v>
                      </c:pt>
                      <c:pt idx="16">
                        <c:v>204.99280931020479</c:v>
                      </c:pt>
                      <c:pt idx="17">
                        <c:v>353.56392100059196</c:v>
                      </c:pt>
                      <c:pt idx="18">
                        <c:v>530.6963482566016</c:v>
                      </c:pt>
                      <c:pt idx="19">
                        <c:v>736.67704467969975</c:v>
                      </c:pt>
                      <c:pt idx="20">
                        <c:v>971.06307707096721</c:v>
                      </c:pt>
                      <c:pt idx="21">
                        <c:v>1232.757318897889</c:v>
                      </c:pt>
                      <c:pt idx="22">
                        <c:v>1520.1056652539953</c:v>
                      </c:pt>
                      <c:pt idx="23">
                        <c:v>1831.0050787152434</c:v>
                      </c:pt>
                      <c:pt idx="24">
                        <c:v>2163.0138324160157</c:v>
                      </c:pt>
                      <c:pt idx="25">
                        <c:v>2513.4574747937359</c:v>
                      </c:pt>
                      <c:pt idx="26">
                        <c:v>2879.5260473103694</c:v>
                      </c:pt>
                      <c:pt idx="27">
                        <c:v>3258.3598086310194</c:v>
                      </c:pt>
                      <c:pt idx="28">
                        <c:v>3647.1221059018571</c:v>
                      </c:pt>
                      <c:pt idx="29">
                        <c:v>4043.0590884924559</c:v>
                      </c:pt>
                      <c:pt idx="30">
                        <c:v>4443.5467144249478</c:v>
                      </c:pt>
                      <c:pt idx="31">
                        <c:v>4846.1260012754419</c:v>
                      </c:pt>
                      <c:pt idx="32">
                        <c:v>5248.5277717967347</c:v>
                      </c:pt>
                      <c:pt idx="33">
                        <c:v>5648.6882875388837</c:v>
                      </c:pt>
                      <c:pt idx="34">
                        <c:v>6044.7571932717628</c:v>
                      </c:pt>
                      <c:pt idx="35">
                        <c:v>6435.0991459892548</c:v>
                      </c:pt>
                      <c:pt idx="36">
                        <c:v>6818.2904025850721</c:v>
                      </c:pt>
                      <c:pt idx="37">
                        <c:v>7193.1115113467986</c:v>
                      </c:pt>
                      <c:pt idx="38">
                        <c:v>7558.537110043826</c:v>
                      </c:pt>
                      <c:pt idx="39">
                        <c:v>7913.7236888140087</c:v>
                      </c:pt>
                      <c:pt idx="40">
                        <c:v>8257.9960368549837</c:v>
                      </c:pt>
                      <c:pt idx="41">
                        <c:v>8590.8329628620431</c:v>
                      </c:pt>
                      <c:pt idx="42">
                        <c:v>8911.8527628943702</c:v>
                      </c:pt>
                      <c:pt idx="43">
                        <c:v>9220.7988070544816</c:v>
                      </c:pt>
                      <c:pt idx="44">
                        <c:v>9517.5255281447808</c:v>
                      </c:pt>
                      <c:pt idx="45">
                        <c:v>9801.9850207404616</c:v>
                      </c:pt>
                      <c:pt idx="46">
                        <c:v>10074.214396885662</c:v>
                      </c:pt>
                      <c:pt idx="47">
                        <c:v>10334.323993644266</c:v>
                      </c:pt>
                      <c:pt idx="48">
                        <c:v>10582.486486689213</c:v>
                      </c:pt>
                      <c:pt idx="49">
                        <c:v>10818.926931666643</c:v>
                      </c:pt>
                      <c:pt idx="50">
                        <c:v>11043.913729954624</c:v>
                      </c:pt>
                      <c:pt idx="51">
                        <c:v>11257.750496481651</c:v>
                      </c:pt>
                      <c:pt idx="52">
                        <c:v>11460.768793422207</c:v>
                      </c:pt>
                      <c:pt idx="53">
                        <c:v>11653.321683915799</c:v>
                      </c:pt>
                      <c:pt idx="54">
                        <c:v>11835.778053653787</c:v>
                      </c:pt>
                      <c:pt idx="55">
                        <c:v>12008.517644553507</c:v>
                      </c:pt>
                      <c:pt idx="56">
                        <c:v>12171.926743206875</c:v>
                      </c:pt>
                      <c:pt idx="57">
                        <c:v>12326.394466862812</c:v>
                      </c:pt>
                      <c:pt idx="58">
                        <c:v>12472.309590975781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697-44AA-A96B-8DCC64E76E94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LNorm'!$V$7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LNorm'!$V$8:$V$130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138.48571377474099</c:v>
                      </c:pt>
                      <c:pt idx="1">
                        <c:v>138.48571378193313</c:v>
                      </c:pt>
                      <c:pt idx="2">
                        <c:v>138.48571762825355</c:v>
                      </c:pt>
                      <c:pt idx="3">
                        <c:v>138.48591553041783</c:v>
                      </c:pt>
                      <c:pt idx="4">
                        <c:v>138.48898393117364</c:v>
                      </c:pt>
                      <c:pt idx="5">
                        <c:v>138.51221332160952</c:v>
                      </c:pt>
                      <c:pt idx="6">
                        <c:v>138.62243067189104</c:v>
                      </c:pt>
                      <c:pt idx="7">
                        <c:v>139.00100888675323</c:v>
                      </c:pt>
                      <c:pt idx="8">
                        <c:v>140.03052325500786</c:v>
                      </c:pt>
                      <c:pt idx="9">
                        <c:v>142.38112763583217</c:v>
                      </c:pt>
                      <c:pt idx="10">
                        <c:v>147.07212333865908</c:v>
                      </c:pt>
                      <c:pt idx="11">
                        <c:v>155.49165973395353</c:v>
                      </c:pt>
                      <c:pt idx="12">
                        <c:v>169.36925732267579</c:v>
                      </c:pt>
                      <c:pt idx="13">
                        <c:v>190.70650251725039</c:v>
                      </c:pt>
                      <c:pt idx="14">
                        <c:v>221.67805425275867</c:v>
                      </c:pt>
                      <c:pt idx="15">
                        <c:v>264.51763201143672</c:v>
                      </c:pt>
                      <c:pt idx="16">
                        <c:v>321.40286343770327</c:v>
                      </c:pt>
                      <c:pt idx="17">
                        <c:v>394.35010022242261</c:v>
                      </c:pt>
                      <c:pt idx="18">
                        <c:v>485.12676272014346</c:v>
                      </c:pt>
                      <c:pt idx="19">
                        <c:v>595.18529184894373</c:v>
                      </c:pt>
                      <c:pt idx="20">
                        <c:v>725.61985188507538</c:v>
                      </c:pt>
                      <c:pt idx="21">
                        <c:v>877.1447343636753</c:v>
                      </c:pt>
                      <c:pt idx="22">
                        <c:v>1050.0919675319547</c:v>
                      </c:pt>
                      <c:pt idx="23">
                        <c:v>1244.4248398099924</c:v>
                      </c:pt>
                      <c:pt idx="24">
                        <c:v>1459.763758715995</c:v>
                      </c:pt>
                      <c:pt idx="25">
                        <c:v>1695.4209434152581</c:v>
                      </c:pt>
                      <c:pt idx="26">
                        <c:v>1950.4407604133917</c:v>
                      </c:pt>
                      <c:pt idx="27">
                        <c:v>2223.642953863528</c:v>
                      </c:pt>
                      <c:pt idx="28">
                        <c:v>2513.6665167709111</c:v>
                      </c:pt>
                      <c:pt idx="29">
                        <c:v>2819.0124431446866</c:v>
                      </c:pt>
                      <c:pt idx="30">
                        <c:v>3138.0840595545083</c:v>
                      </c:pt>
                      <c:pt idx="31">
                        <c:v>3469.2240383455287</c:v>
                      </c:pt>
                      <c:pt idx="32">
                        <c:v>3810.7475355877091</c:v>
                      </c:pt>
                      <c:pt idx="33">
                        <c:v>4160.9711737260313</c:v>
                      </c:pt>
                      <c:pt idx="34">
                        <c:v>4518.237805573679</c:v>
                      </c:pt>
                      <c:pt idx="35">
                        <c:v>4880.9371591085883</c:v>
                      </c:pt>
                      <c:pt idx="36">
                        <c:v>5247.5225790597769</c:v>
                      </c:pt>
                      <c:pt idx="37">
                        <c:v>5616.5241593111823</c:v>
                      </c:pt>
                      <c:pt idx="38">
                        <c:v>5986.5586071518164</c:v>
                      </c:pt>
                      <c:pt idx="39">
                        <c:v>6356.3362031000543</c:v>
                      </c:pt>
                      <c:pt idx="40">
                        <c:v>6724.6652242933123</c:v>
                      </c:pt>
                      <c:pt idx="41">
                        <c:v>7090.4541902154051</c:v>
                      </c:pt>
                      <c:pt idx="42">
                        <c:v>7452.7122709039195</c:v>
                      </c:pt>
                      <c:pt idx="43">
                        <c:v>7810.5481730049951</c:v>
                      </c:pt>
                      <c:pt idx="44">
                        <c:v>8163.1677906801478</c:v>
                      </c:pt>
                      <c:pt idx="45">
                        <c:v>8509.8708783716756</c:v>
                      </c:pt>
                      <c:pt idx="46">
                        <c:v>8850.0469722476046</c:v>
                      </c:pt>
                      <c:pt idx="47">
                        <c:v>9183.170757812024</c:v>
                      </c:pt>
                      <c:pt idx="48">
                        <c:v>9508.7970533906009</c:v>
                      </c:pt>
                      <c:pt idx="49">
                        <c:v>9826.5555534373252</c:v>
                      </c:pt>
                      <c:pt idx="50">
                        <c:v>10136.145452110677</c:v>
                      </c:pt>
                      <c:pt idx="51">
                        <c:v>10437.33004644502</c:v>
                      </c:pt>
                      <c:pt idx="52">
                        <c:v>10729.931399693516</c:v>
                      </c:pt>
                      <c:pt idx="53">
                        <c:v>11013.82512896817</c:v>
                      </c:pt>
                      <c:pt idx="54">
                        <c:v>11288.935367022315</c:v>
                      </c:pt>
                      <c:pt idx="55">
                        <c:v>11555.229935752981</c:v>
                      </c:pt>
                      <c:pt idx="56">
                        <c:v>11812.715758569191</c:v>
                      </c:pt>
                      <c:pt idx="57">
                        <c:v>12061.434529994576</c:v>
                      </c:pt>
                      <c:pt idx="58">
                        <c:v>12301.458653568179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697-44AA-A96B-8DCC64E76E94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LNorm'!$W$7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LNorm'!$W$8:$W$130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44.431435888221358</c:v>
                      </c:pt>
                      <c:pt idx="17">
                        <c:v>117.37867267294072</c:v>
                      </c:pt>
                      <c:pt idx="18">
                        <c:v>208.15533517066152</c:v>
                      </c:pt>
                      <c:pt idx="19">
                        <c:v>318.21386429946187</c:v>
                      </c:pt>
                      <c:pt idx="20">
                        <c:v>448.64842433559352</c:v>
                      </c:pt>
                      <c:pt idx="21">
                        <c:v>600.17330681419344</c:v>
                      </c:pt>
                      <c:pt idx="22">
                        <c:v>773.12053998247268</c:v>
                      </c:pt>
                      <c:pt idx="23">
                        <c:v>967.45341226051039</c:v>
                      </c:pt>
                      <c:pt idx="24">
                        <c:v>1182.7923311665129</c:v>
                      </c:pt>
                      <c:pt idx="25">
                        <c:v>1418.449515865776</c:v>
                      </c:pt>
                      <c:pt idx="26">
                        <c:v>1673.4693328639096</c:v>
                      </c:pt>
                      <c:pt idx="27">
                        <c:v>1946.6715263140461</c:v>
                      </c:pt>
                      <c:pt idx="28">
                        <c:v>2236.6950892214295</c:v>
                      </c:pt>
                      <c:pt idx="29">
                        <c:v>2542.041015595205</c:v>
                      </c:pt>
                      <c:pt idx="30">
                        <c:v>2861.1126320050266</c:v>
                      </c:pt>
                      <c:pt idx="31">
                        <c:v>3192.2526107960471</c:v>
                      </c:pt>
                      <c:pt idx="32">
                        <c:v>3533.7761080382274</c:v>
                      </c:pt>
                      <c:pt idx="33">
                        <c:v>3883.9997461765497</c:v>
                      </c:pt>
                      <c:pt idx="34">
                        <c:v>4241.2663780241965</c:v>
                      </c:pt>
                      <c:pt idx="35">
                        <c:v>4603.9657315591057</c:v>
                      </c:pt>
                      <c:pt idx="36">
                        <c:v>4970.5511515102944</c:v>
                      </c:pt>
                      <c:pt idx="37">
                        <c:v>5339.5527317616998</c:v>
                      </c:pt>
                      <c:pt idx="38">
                        <c:v>5709.5871796023339</c:v>
                      </c:pt>
                      <c:pt idx="39">
                        <c:v>6079.3647755505717</c:v>
                      </c:pt>
                      <c:pt idx="40">
                        <c:v>6447.6937967438298</c:v>
                      </c:pt>
                      <c:pt idx="41">
                        <c:v>6813.4827626659226</c:v>
                      </c:pt>
                      <c:pt idx="42">
                        <c:v>7175.7408433544369</c:v>
                      </c:pt>
                      <c:pt idx="43">
                        <c:v>7533.5767454555125</c:v>
                      </c:pt>
                      <c:pt idx="44">
                        <c:v>7886.1963631306653</c:v>
                      </c:pt>
                      <c:pt idx="45">
                        <c:v>8232.8994508221949</c:v>
                      </c:pt>
                      <c:pt idx="46">
                        <c:v>8573.0755446981238</c:v>
                      </c:pt>
                      <c:pt idx="47">
                        <c:v>8906.1993302625433</c:v>
                      </c:pt>
                      <c:pt idx="48">
                        <c:v>9231.8256258411202</c:v>
                      </c:pt>
                      <c:pt idx="49">
                        <c:v>9549.5841258878445</c:v>
                      </c:pt>
                      <c:pt idx="50">
                        <c:v>9859.1740245611963</c:v>
                      </c:pt>
                      <c:pt idx="51">
                        <c:v>10160.35861889554</c:v>
                      </c:pt>
                      <c:pt idx="52">
                        <c:v>10452.959972144035</c:v>
                      </c:pt>
                      <c:pt idx="53">
                        <c:v>10736.85370141869</c:v>
                      </c:pt>
                      <c:pt idx="54">
                        <c:v>11011.963939472835</c:v>
                      </c:pt>
                      <c:pt idx="55">
                        <c:v>11278.2585082035</c:v>
                      </c:pt>
                      <c:pt idx="56">
                        <c:v>11535.74433101971</c:v>
                      </c:pt>
                      <c:pt idx="57">
                        <c:v>11784.463102445096</c:v>
                      </c:pt>
                      <c:pt idx="58">
                        <c:v>12024.487226018698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697-44AA-A96B-8DCC64E76E94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LNorm'!$D$7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LNorm'!$D$8:$D$130</c:f>
              <c:numCache>
                <c:formatCode>0</c:formatCode>
                <c:ptCount val="123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97-44AA-A96B-8DCC64E76E94}"/>
            </c:ext>
          </c:extLst>
        </c:ser>
        <c:ser>
          <c:idx val="4"/>
          <c:order val="5"/>
          <c:tx>
            <c:strRef>
              <c:f>'Cumul_deaths - LNorm'!$L$7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LNorm'!$L$8:$L$130</c:f>
              <c:numCache>
                <c:formatCode>General</c:formatCode>
                <c:ptCount val="123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  <c:pt idx="50">
                  <c:v>11142</c:v>
                </c:pt>
                <c:pt idx="51">
                  <c:v>11377</c:v>
                </c:pt>
                <c:pt idx="52">
                  <c:v>11608</c:v>
                </c:pt>
                <c:pt idx="53">
                  <c:v>11851</c:v>
                </c:pt>
                <c:pt idx="54">
                  <c:v>12050</c:v>
                </c:pt>
                <c:pt idx="55">
                  <c:v>12213</c:v>
                </c:pt>
                <c:pt idx="56">
                  <c:v>12376</c:v>
                </c:pt>
                <c:pt idx="57">
                  <c:v>12579</c:v>
                </c:pt>
                <c:pt idx="58">
                  <c:v>12740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97-44AA-A96B-8DCC64E76E94}"/>
            </c:ext>
          </c:extLst>
        </c:ser>
        <c:ser>
          <c:idx val="8"/>
          <c:order val="9"/>
          <c:tx>
            <c:strRef>
              <c:f>'Cumul_deaths - LNorm'!$R$7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LNorm'!$R$8:$R$130</c:f>
              <c:numCache>
                <c:formatCode>0</c:formatCode>
                <c:ptCount val="12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  <c:pt idx="50">
                  <c:v>9925</c:v>
                </c:pt>
                <c:pt idx="51">
                  <c:v>10268</c:v>
                </c:pt>
                <c:pt idx="52">
                  <c:v>10562</c:v>
                </c:pt>
                <c:pt idx="53">
                  <c:v>10894</c:v>
                </c:pt>
                <c:pt idx="54">
                  <c:v>11177</c:v>
                </c:pt>
                <c:pt idx="55">
                  <c:v>11447</c:v>
                </c:pt>
                <c:pt idx="56">
                  <c:v>11738</c:v>
                </c:pt>
                <c:pt idx="57">
                  <c:v>12069</c:v>
                </c:pt>
                <c:pt idx="58">
                  <c:v>12345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LNorm'!$J$7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LNorm'!$J$8:$J$130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320.13303431914983</c:v>
                      </c:pt>
                      <c:pt idx="1">
                        <c:v>320.13303435604365</c:v>
                      </c:pt>
                      <c:pt idx="2">
                        <c:v>320.13305439035753</c:v>
                      </c:pt>
                      <c:pt idx="3">
                        <c:v>320.13406454525858</c:v>
                      </c:pt>
                      <c:pt idx="4">
                        <c:v>320.1492004674962</c:v>
                      </c:pt>
                      <c:pt idx="5">
                        <c:v>320.25927242753971</c:v>
                      </c:pt>
                      <c:pt idx="6">
                        <c:v>320.75981421446204</c:v>
                      </c:pt>
                      <c:pt idx="7">
                        <c:v>322.40698997926353</c:v>
                      </c:pt>
                      <c:pt idx="8">
                        <c:v>326.70122686723107</c:v>
                      </c:pt>
                      <c:pt idx="9">
                        <c:v>336.11144516328773</c:v>
                      </c:pt>
                      <c:pt idx="10">
                        <c:v>354.16060672149399</c:v>
                      </c:pt>
                      <c:pt idx="11">
                        <c:v>385.34249049815992</c:v>
                      </c:pt>
                      <c:pt idx="12">
                        <c:v>434.88875894097646</c:v>
                      </c:pt>
                      <c:pt idx="13">
                        <c:v>508.43631896259041</c:v>
                      </c:pt>
                      <c:pt idx="14">
                        <c:v>611.65461986587388</c:v>
                      </c:pt>
                      <c:pt idx="15">
                        <c:v>749.88630112250348</c:v>
                      </c:pt>
                      <c:pt idx="16">
                        <c:v>927.84010237731115</c:v>
                      </c:pt>
                      <c:pt idx="17">
                        <c:v>1149.3584508524177</c:v>
                      </c:pt>
                      <c:pt idx="18">
                        <c:v>1417.267540606148</c:v>
                      </c:pt>
                      <c:pt idx="19">
                        <c:v>1733.3067661580467</c:v>
                      </c:pt>
                      <c:pt idx="20">
                        <c:v>2098.127358585446</c:v>
                      </c:pt>
                      <c:pt idx="21">
                        <c:v>2511.3464828909678</c:v>
                      </c:pt>
                      <c:pt idx="22">
                        <c:v>2971.6420624153529</c:v>
                      </c:pt>
                      <c:pt idx="23">
                        <c:v>3476.8743481546389</c:v>
                      </c:pt>
                      <c:pt idx="24">
                        <c:v>4024.2220207614137</c:v>
                      </c:pt>
                      <c:pt idx="25">
                        <c:v>4610.3228478383962</c:v>
                      </c:pt>
                      <c:pt idx="26">
                        <c:v>5231.4112373531634</c:v>
                      </c:pt>
                      <c:pt idx="27">
                        <c:v>5883.4471921239501</c:v>
                      </c:pt>
                      <c:pt idx="28">
                        <c:v>6562.233052302171</c:v>
                      </c:pt>
                      <c:pt idx="29">
                        <c:v>7263.5159612665448</c:v>
                      </c:pt>
                      <c:pt idx="30">
                        <c:v>7983.0752036088588</c:v>
                      </c:pt>
                      <c:pt idx="31">
                        <c:v>8716.7944692503734</c:v>
                      </c:pt>
                      <c:pt idx="32">
                        <c:v>9460.7197370138474</c:v>
                      </c:pt>
                      <c:pt idx="33">
                        <c:v>10211.103890894317</c:v>
                      </c:pt>
                      <c:pt idx="34">
                        <c:v>10964.439428474843</c:v>
                      </c:pt>
                      <c:pt idx="35">
                        <c:v>11717.480734727245</c:v>
                      </c:pt>
                      <c:pt idx="36">
                        <c:v>12467.257411274251</c:v>
                      </c:pt>
                      <c:pt idx="37">
                        <c:v>13211.080100287383</c:v>
                      </c:pt>
                      <c:pt idx="38">
                        <c:v>13946.540146825044</c:v>
                      </c:pt>
                      <c:pt idx="39">
                        <c:v>14671.504321543465</c:v>
                      </c:pt>
                      <c:pt idx="40">
                        <c:v>15384.1056907777</c:v>
                      </c:pt>
                      <c:pt idx="41">
                        <c:v>16082.731582706851</c:v>
                      </c:pt>
                      <c:pt idx="42">
                        <c:v>16766.009463427694</c:v>
                      </c:pt>
                      <c:pt idx="43">
                        <c:v>17432.791409688882</c:v>
                      </c:pt>
                      <c:pt idx="44">
                        <c:v>18082.137748454334</c:v>
                      </c:pt>
                      <c:pt idx="45">
                        <c:v>18713.300328741541</c:v>
                      </c:pt>
                      <c:pt idx="46">
                        <c:v>19325.705798762672</c:v>
                      </c:pt>
                      <c:pt idx="47">
                        <c:v>19918.939181085698</c:v>
                      </c:pt>
                      <c:pt idx="48">
                        <c:v>20492.72796970922</c:v>
                      </c:pt>
                      <c:pt idx="49">
                        <c:v>21046.926914733376</c:v>
                      </c:pt>
                      <c:pt idx="50">
                        <c:v>21581.503611694709</c:v>
                      </c:pt>
                      <c:pt idx="51">
                        <c:v>22096.524972556079</c:v>
                      </c:pt>
                      <c:pt idx="52">
                        <c:v>22592.144622745131</c:v>
                      </c:pt>
                      <c:pt idx="53">
                        <c:v>23068.591242513376</c:v>
                      </c:pt>
                      <c:pt idx="54">
                        <c:v>23526.157850305506</c:v>
                      </c:pt>
                      <c:pt idx="55">
                        <c:v>23965.192009935894</c:v>
                      </c:pt>
                      <c:pt idx="56">
                        <c:v>24386.086931405473</c:v>
                      </c:pt>
                      <c:pt idx="57">
                        <c:v>24789.273426486794</c:v>
                      </c:pt>
                      <c:pt idx="58">
                        <c:v>25175.212674173366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C697-44AA-A96B-8DCC64E76E94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LNorm'!$K$7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LNorm'!$K$8:$K$130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109.62023248420405</c:v>
                      </c:pt>
                      <c:pt idx="16">
                        <c:v>287.57403373901172</c:v>
                      </c:pt>
                      <c:pt idx="17">
                        <c:v>509.09238221411829</c:v>
                      </c:pt>
                      <c:pt idx="18">
                        <c:v>777.00147196784872</c:v>
                      </c:pt>
                      <c:pt idx="19">
                        <c:v>1093.040697519747</c:v>
                      </c:pt>
                      <c:pt idx="20">
                        <c:v>1457.8612899471464</c:v>
                      </c:pt>
                      <c:pt idx="21">
                        <c:v>1871.0804142526681</c:v>
                      </c:pt>
                      <c:pt idx="22">
                        <c:v>2331.3759937770533</c:v>
                      </c:pt>
                      <c:pt idx="23">
                        <c:v>2836.6082795163393</c:v>
                      </c:pt>
                      <c:pt idx="24">
                        <c:v>3383.955952123114</c:v>
                      </c:pt>
                      <c:pt idx="25">
                        <c:v>3970.056779200097</c:v>
                      </c:pt>
                      <c:pt idx="26">
                        <c:v>4591.1451687148647</c:v>
                      </c:pt>
                      <c:pt idx="27">
                        <c:v>5243.1811234856514</c:v>
                      </c:pt>
                      <c:pt idx="28">
                        <c:v>5921.9669836638723</c:v>
                      </c:pt>
                      <c:pt idx="29">
                        <c:v>6623.249892628246</c:v>
                      </c:pt>
                      <c:pt idx="30">
                        <c:v>7342.8091349705601</c:v>
                      </c:pt>
                      <c:pt idx="31">
                        <c:v>8076.5284006120746</c:v>
                      </c:pt>
                      <c:pt idx="32">
                        <c:v>8820.4536683755487</c:v>
                      </c:pt>
                      <c:pt idx="33">
                        <c:v>9570.8378222560186</c:v>
                      </c:pt>
                      <c:pt idx="34">
                        <c:v>10324.173359836544</c:v>
                      </c:pt>
                      <c:pt idx="35">
                        <c:v>11077.214666088947</c:v>
                      </c:pt>
                      <c:pt idx="36">
                        <c:v>11826.991342635953</c:v>
                      </c:pt>
                      <c:pt idx="37">
                        <c:v>12570.814031649084</c:v>
                      </c:pt>
                      <c:pt idx="38">
                        <c:v>13306.274078186745</c:v>
                      </c:pt>
                      <c:pt idx="39">
                        <c:v>14031.238252905167</c:v>
                      </c:pt>
                      <c:pt idx="40">
                        <c:v>14743.839622139401</c:v>
                      </c:pt>
                      <c:pt idx="41">
                        <c:v>15442.465514068552</c:v>
                      </c:pt>
                      <c:pt idx="42">
                        <c:v>16125.743394789393</c:v>
                      </c:pt>
                      <c:pt idx="43">
                        <c:v>16792.525341050579</c:v>
                      </c:pt>
                      <c:pt idx="44">
                        <c:v>17441.871679816031</c:v>
                      </c:pt>
                      <c:pt idx="45">
                        <c:v>18073.034260103239</c:v>
                      </c:pt>
                      <c:pt idx="46">
                        <c:v>18685.43973012437</c:v>
                      </c:pt>
                      <c:pt idx="47">
                        <c:v>19278.673112447395</c:v>
                      </c:pt>
                      <c:pt idx="48">
                        <c:v>19852.461901070918</c:v>
                      </c:pt>
                      <c:pt idx="49">
                        <c:v>20406.660846095074</c:v>
                      </c:pt>
                      <c:pt idx="50">
                        <c:v>20941.237543056406</c:v>
                      </c:pt>
                      <c:pt idx="51">
                        <c:v>21456.258903917776</c:v>
                      </c:pt>
                      <c:pt idx="52">
                        <c:v>21951.878554106828</c:v>
                      </c:pt>
                      <c:pt idx="53">
                        <c:v>22428.325173875073</c:v>
                      </c:pt>
                      <c:pt idx="54">
                        <c:v>22885.891781667204</c:v>
                      </c:pt>
                      <c:pt idx="55">
                        <c:v>23324.925941297592</c:v>
                      </c:pt>
                      <c:pt idx="56">
                        <c:v>23745.82086276717</c:v>
                      </c:pt>
                      <c:pt idx="57">
                        <c:v>24149.007357848492</c:v>
                      </c:pt>
                      <c:pt idx="58">
                        <c:v>24534.946605535064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697-44AA-A96B-8DCC64E76E94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LNorm'!$Y$47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LNorm'!$Z$47</c:f>
              <c:numCache>
                <c:formatCode>0.0000</c:formatCode>
                <c:ptCount val="1"/>
                <c:pt idx="0">
                  <c:v>0.99874062785511375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C-4955-90C7-28A2A72B4F8F}"/>
            </c:ext>
          </c:extLst>
        </c:ser>
        <c:ser>
          <c:idx val="1"/>
          <c:order val="1"/>
          <c:tx>
            <c:strRef>
              <c:f>'Cumul_deaths - LNorm'!$Y$49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LNorm'!$Z$49</c:f>
              <c:numCache>
                <c:formatCode>0</c:formatCode>
                <c:ptCount val="1"/>
                <c:pt idx="0">
                  <c:v>950.24427756109151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C-4955-90C7-28A2A72B4F8F}"/>
            </c:ext>
          </c:extLst>
        </c:ser>
        <c:ser>
          <c:idx val="2"/>
          <c:order val="2"/>
          <c:tx>
            <c:strRef>
              <c:f>'Cumul_deaths - LNorm'!$Y$41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LNorm'!$Z$41</c:f>
              <c:numCache>
                <c:formatCode>0</c:formatCode>
                <c:ptCount val="1"/>
                <c:pt idx="0">
                  <c:v>26000.000256193827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C-4955-90C7-28A2A72B4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LNorm'!$Y$14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LNorm'!$Z$14</c:f>
              <c:numCache>
                <c:formatCode>0.0000</c:formatCode>
                <c:ptCount val="1"/>
                <c:pt idx="0">
                  <c:v>0.99984906754656033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7-44A2-93CB-C7C5AE6406C5}"/>
            </c:ext>
          </c:extLst>
        </c:ser>
        <c:ser>
          <c:idx val="2"/>
          <c:order val="1"/>
          <c:tx>
            <c:strRef>
              <c:f>'Cumul_deaths - LNorm'!$Y$16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LNorm'!$Z$16</c:f>
              <c:numCache>
                <c:formatCode>0</c:formatCode>
                <c:ptCount val="1"/>
                <c:pt idx="0">
                  <c:v>320.13303431914971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7-44A2-93CB-C7C5AE6406C5}"/>
            </c:ext>
          </c:extLst>
        </c:ser>
        <c:ser>
          <c:idx val="3"/>
          <c:order val="2"/>
          <c:tx>
            <c:strRef>
              <c:f>'Cumul_deaths - LNorm'!$Y$17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LNorm'!$Z$17</c:f>
              <c:numCache>
                <c:formatCode>0</c:formatCode>
                <c:ptCount val="1"/>
                <c:pt idx="0">
                  <c:v>32513.960015901815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D7-44A2-93CB-C7C5AE640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v>region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EB0-44ED-B123-0E8474071D67}"/>
            </c:ext>
          </c:extLst>
        </c:ser>
        <c:ser>
          <c:idx val="2"/>
          <c:order val="1"/>
          <c:tx>
            <c:strRef>
              <c:f>'Cumul_deaths - LNorm'!$Y$25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LNorm'!$Z$25</c:f>
              <c:numCache>
                <c:formatCode>0.0000</c:formatCode>
                <c:ptCount val="1"/>
                <c:pt idx="0">
                  <c:v>0.99976854763043033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0-44ED-B123-0E8474071D67}"/>
            </c:ext>
          </c:extLst>
        </c:ser>
        <c:ser>
          <c:idx val="3"/>
          <c:order val="2"/>
          <c:tx>
            <c:strRef>
              <c:f>'Cumul_deaths - LNorm'!$Y$27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LNorm'!$Z$27</c:f>
              <c:numCache>
                <c:formatCode>0</c:formatCode>
                <c:ptCount val="1"/>
                <c:pt idx="0">
                  <c:v>219.79710908499436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0-44ED-B123-0E8474071D67}"/>
            </c:ext>
          </c:extLst>
        </c:ser>
        <c:ser>
          <c:idx val="4"/>
          <c:order val="3"/>
          <c:tx>
            <c:strRef>
              <c:f>'Cumul_deaths - LNorm'!$Y$19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LNorm'!$Z$19</c:f>
              <c:numCache>
                <c:formatCode>0</c:formatCode>
                <c:ptCount val="1"/>
                <c:pt idx="0">
                  <c:v>14999.999976124256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B0-44ED-B123-0E8474071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LNorm'!$Y$36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LNorm'!$Z$36</c:f>
              <c:numCache>
                <c:formatCode>0.0000</c:formatCode>
                <c:ptCount val="1"/>
                <c:pt idx="0">
                  <c:v>0.99987462502998359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B-4E01-9349-76E014C47FA1}"/>
            </c:ext>
          </c:extLst>
        </c:ser>
        <c:ser>
          <c:idx val="3"/>
          <c:order val="2"/>
          <c:tx>
            <c:strRef>
              <c:f>'Cumul_deaths - LNorm'!$Y$38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LNorm'!$Z$38</c:f>
              <c:numCache>
                <c:formatCode>0</c:formatCode>
                <c:ptCount val="1"/>
                <c:pt idx="0">
                  <c:v>138.48571377474096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B-4E01-9349-76E014C47FA1}"/>
            </c:ext>
          </c:extLst>
        </c:ser>
        <c:ser>
          <c:idx val="4"/>
          <c:order val="3"/>
          <c:tx>
            <c:strRef>
              <c:f>'Cumul_deaths - LNorm'!$Y$30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LNorm'!$Z$30</c:f>
              <c:numCache>
                <c:formatCode>0</c:formatCode>
                <c:ptCount val="1"/>
                <c:pt idx="0">
                  <c:v>17513.960039777561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B-4E01-9349-76E014C47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v>outside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Lit>
                    <c:ptCount val="1"/>
                    <c:pt idx="0">
                      <c:v>rest of Italy</c:v>
                    </c:pt>
                  </c:strLit>
                </c:cat>
                <c: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3-447B-4E01-9349-76E014C47FA1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70C0"/>
                </a:solidFill>
              </a:rPr>
              <a:t>Italy - Daily new deaths - Lognormal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LNorm'!$E$7</c:f>
              <c:strCache>
                <c:ptCount val="1"/>
                <c:pt idx="0">
                  <c:v>Italy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LNorm'!$E$8:$E$130</c:f>
              <c:numCache>
                <c:formatCode>General</c:formatCode>
                <c:ptCount val="123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1-49D9-8412-5154FB7D0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LNorm'!$I$8:$I$130</c:f>
              <c:numCache>
                <c:formatCode>General</c:formatCode>
                <c:ptCount val="123"/>
                <c:pt idx="0">
                  <c:v>1.994643832724956E-19</c:v>
                </c:pt>
                <c:pt idx="1">
                  <c:v>1.0285718979359761E-11</c:v>
                </c:pt>
                <c:pt idx="2">
                  <c:v>5.4744448732722947E-8</c:v>
                </c:pt>
                <c:pt idx="3">
                  <c:v>1.0727400275898543E-5</c:v>
                </c:pt>
                <c:pt idx="4">
                  <c:v>4.0500826778753379E-4</c:v>
                </c:pt>
                <c:pt idx="5">
                  <c:v>5.8292060799140554E-3</c:v>
                </c:pt>
                <c:pt idx="6">
                  <c:v>4.5015646431430148E-2</c:v>
                </c:pt>
                <c:pt idx="7">
                  <c:v>0.22627931352648295</c:v>
                </c:pt>
                <c:pt idx="8">
                  <c:v>0.83374270336809919</c:v>
                </c:pt>
                <c:pt idx="9">
                  <c:v>2.4335082506158314</c:v>
                </c:pt>
                <c:pt idx="10">
                  <c:v>5.9338751854068255</c:v>
                </c:pt>
                <c:pt idx="11">
                  <c:v>12.553628338172226</c:v>
                </c:pt>
                <c:pt idx="12">
                  <c:v>23.689849648791476</c:v>
                </c:pt>
                <c:pt idx="13">
                  <c:v>40.716106606059206</c:v>
                </c:pt>
                <c:pt idx="14">
                  <c:v>64.763386590910756</c:v>
                </c:pt>
                <c:pt idx="15">
                  <c:v>96.535211938548031</c:v>
                </c:pt>
                <c:pt idx="16">
                  <c:v>136.19182354957368</c:v>
                </c:pt>
                <c:pt idx="17">
                  <c:v>183.31643159928666</c:v>
                </c:pt>
                <c:pt idx="18">
                  <c:v>236.95740092469643</c:v>
                </c:pt>
                <c:pt idx="19">
                  <c:v>295.7278952725668</c:v>
                </c:pt>
                <c:pt idx="20">
                  <c:v>357.93947101712985</c:v>
                </c:pt>
                <c:pt idx="21">
                  <c:v>421.74685756677758</c:v>
                </c:pt>
                <c:pt idx="22">
                  <c:v>485.28545592887212</c:v>
                </c:pt>
                <c:pt idx="23">
                  <c:v>546.78886226223699</c:v>
                </c:pt>
                <c:pt idx="24">
                  <c:v>604.67947145629853</c:v>
                </c:pt>
                <c:pt idx="25">
                  <c:v>657.63005074500302</c:v>
                </c:pt>
                <c:pt idx="26">
                  <c:v>704.59772465852859</c:v>
                </c:pt>
                <c:pt idx="27">
                  <c:v>744.83406312153375</c:v>
                </c:pt>
                <c:pt idx="28">
                  <c:v>777.87609715298436</c:v>
                </c:pt>
                <c:pt idx="29">
                  <c:v>803.52336736043446</c:v>
                </c:pt>
                <c:pt idx="30">
                  <c:v>821.80581194861452</c:v>
                </c:pt>
                <c:pt idx="31">
                  <c:v>832.9466608542466</c:v>
                </c:pt>
                <c:pt idx="32">
                  <c:v>837.32370614384263</c:v>
                </c:pt>
                <c:pt idx="33">
                  <c:v>835.43149719707299</c:v>
                </c:pt>
                <c:pt idx="34">
                  <c:v>827.84624616918211</c:v>
                </c:pt>
                <c:pt idx="35">
                  <c:v>815.19457088681338</c:v>
                </c:pt>
                <c:pt idx="36">
                  <c:v>798.12666742611009</c:v>
                </c:pt>
                <c:pt idx="37">
                  <c:v>777.29409360201453</c:v>
                </c:pt>
                <c:pt idx="38">
                  <c:v>753.33204688453247</c:v>
                </c:pt>
                <c:pt idx="39">
                  <c:v>726.84581961949607</c:v>
                </c:pt>
                <c:pt idx="40">
                  <c:v>698.40099269123448</c:v>
                </c:pt>
                <c:pt idx="41">
                  <c:v>668.51686816077427</c:v>
                </c:pt>
                <c:pt idx="42">
                  <c:v>637.66262594784325</c:v>
                </c:pt>
                <c:pt idx="43">
                  <c:v>606.2557057003238</c:v>
                </c:pt>
                <c:pt idx="44">
                  <c:v>574.66195157915615</c:v>
                </c:pt>
                <c:pt idx="45">
                  <c:v>543.1971061946582</c:v>
                </c:pt>
                <c:pt idx="46">
                  <c:v>512.12929394723665</c:v>
                </c:pt>
                <c:pt idx="47">
                  <c:v>481.68218896791575</c:v>
                </c:pt>
                <c:pt idx="48">
                  <c:v>452.03861561904068</c:v>
                </c:pt>
                <c:pt idx="49">
                  <c:v>423.34437815492868</c:v>
                </c:pt>
                <c:pt idx="50">
                  <c:v>395.71215957777201</c:v>
                </c:pt>
                <c:pt idx="51">
                  <c:v>369.22536750776328</c:v>
                </c:pt>
                <c:pt idx="52">
                  <c:v>343.94183700874839</c:v>
                </c:pt>
                <c:pt idx="53">
                  <c:v>319.89732704984795</c:v>
                </c:pt>
                <c:pt idx="54">
                  <c:v>297.10876909198242</c:v>
                </c:pt>
                <c:pt idx="55">
                  <c:v>275.57724370939781</c:v>
                </c:pt>
                <c:pt idx="56">
                  <c:v>255.29067476545455</c:v>
                </c:pt>
                <c:pt idx="57">
                  <c:v>236.22624102638673</c:v>
                </c:pt>
                <c:pt idx="58">
                  <c:v>218.35251275036853</c:v>
                </c:pt>
                <c:pt idx="59">
                  <c:v>201.6313262176956</c:v>
                </c:pt>
                <c:pt idx="60">
                  <c:v>186.01941280149413</c:v>
                </c:pt>
                <c:pt idx="61">
                  <c:v>171.46980139027764</c:v>
                </c:pt>
                <c:pt idx="62">
                  <c:v>157.93301408132115</c:v>
                </c:pt>
                <c:pt idx="63">
                  <c:v>145.35807533314184</c:v>
                </c:pt>
                <c:pt idx="64">
                  <c:v>133.69335441531138</c:v>
                </c:pt>
                <c:pt idx="65">
                  <c:v>122.88726020224027</c:v>
                </c:pt>
                <c:pt idx="66">
                  <c:v>112.88880626659363</c:v>
                </c:pt>
                <c:pt idx="67">
                  <c:v>103.64806294945431</c:v>
                </c:pt>
                <c:pt idx="68">
                  <c:v>95.116511704648843</c:v>
                </c:pt>
                <c:pt idx="69">
                  <c:v>87.247315599219021</c:v>
                </c:pt>
                <c:pt idx="70">
                  <c:v>79.995518449207395</c:v>
                </c:pt>
                <c:pt idx="71">
                  <c:v>73.318183714229264</c:v>
                </c:pt>
                <c:pt idx="72">
                  <c:v>67.174482989427162</c:v>
                </c:pt>
                <c:pt idx="73">
                  <c:v>61.525742734364464</c:v>
                </c:pt>
                <c:pt idx="74">
                  <c:v>56.335456773798533</c:v>
                </c:pt>
                <c:pt idx="75">
                  <c:v>51.569271098541236</c:v>
                </c:pt>
                <c:pt idx="76">
                  <c:v>47.194946585750714</c:v>
                </c:pt>
                <c:pt idx="77">
                  <c:v>43.182304444141508</c:v>
                </c:pt>
                <c:pt idx="78">
                  <c:v>39.503158466307362</c:v>
                </c:pt>
                <c:pt idx="79">
                  <c:v>36.131237531823814</c:v>
                </c:pt>
                <c:pt idx="80">
                  <c:v>33.042101244670718</c:v>
                </c:pt>
                <c:pt idx="81">
                  <c:v>30.213051100073578</c:v>
                </c:pt>
                <c:pt idx="82">
                  <c:v>27.623039152345775</c:v>
                </c:pt>
                <c:pt idx="83">
                  <c:v>25.252575790144487</c:v>
                </c:pt>
                <c:pt idx="84">
                  <c:v>23.083637912405862</c:v>
                </c:pt>
                <c:pt idx="85">
                  <c:v>21.099578531204656</c:v>
                </c:pt>
                <c:pt idx="86">
                  <c:v>19.285038601363304</c:v>
                </c:pt>
                <c:pt idx="87">
                  <c:v>17.625861685819821</c:v>
                </c:pt>
                <c:pt idx="88">
                  <c:v>16.109011905936139</c:v>
                </c:pt>
                <c:pt idx="89">
                  <c:v>14.722495493007385</c:v>
                </c:pt>
                <c:pt idx="90">
                  <c:v>13.455286147508343</c:v>
                </c:pt>
                <c:pt idx="91">
                  <c:v>12.297254322818615</c:v>
                </c:pt>
                <c:pt idx="92">
                  <c:v>11.239100477415207</c:v>
                </c:pt>
                <c:pt idx="93">
                  <c:v>10.272292281254559</c:v>
                </c:pt>
                <c:pt idx="94">
                  <c:v>9.3890057160739495</c:v>
                </c:pt>
                <c:pt idx="95">
                  <c:v>8.5820699736761163</c:v>
                </c:pt>
                <c:pt idx="96">
                  <c:v>7.8449160292473588</c:v>
                </c:pt>
                <c:pt idx="97">
                  <c:v>7.1715287469504947</c:v>
                </c:pt>
                <c:pt idx="98">
                  <c:v>6.5564023611771542</c:v>
                </c:pt>
                <c:pt idx="99">
                  <c:v>5.9944991678773007</c:v>
                </c:pt>
                <c:pt idx="100">
                  <c:v>5.4812112553982653</c:v>
                </c:pt>
                <c:pt idx="101">
                  <c:v>5.0123251024820821</c:v>
                </c:pt>
                <c:pt idx="102">
                  <c:v>4.5839888718462865</c:v>
                </c:pt>
                <c:pt idx="103">
                  <c:v>4.1926822305495977</c:v>
                </c:pt>
                <c:pt idx="104">
                  <c:v>3.8351885326670465</c:v>
                </c:pt>
                <c:pt idx="105">
                  <c:v>3.5085692052844748</c:v>
                </c:pt>
                <c:pt idx="106">
                  <c:v>3.210140185150145</c:v>
                </c:pt>
                <c:pt idx="107">
                  <c:v>2.9374502602339567</c:v>
                </c:pt>
                <c:pt idx="108">
                  <c:v>2.6882611777276839</c:v>
                </c:pt>
                <c:pt idx="109">
                  <c:v>2.4605293874987844</c:v>
                </c:pt>
                <c:pt idx="110">
                  <c:v>2.2523892975514723</c:v>
                </c:pt>
                <c:pt idx="111">
                  <c:v>2.0621379255361232</c:v>
                </c:pt>
                <c:pt idx="112">
                  <c:v>1.888220837703797</c:v>
                </c:pt>
                <c:pt idx="113">
                  <c:v>1.7292192738537202</c:v>
                </c:pt>
                <c:pt idx="114">
                  <c:v>1.5838383637252722</c:v>
                </c:pt>
                <c:pt idx="115">
                  <c:v>1.4508963469045761</c:v>
                </c:pt>
                <c:pt idx="116">
                  <c:v>1.3293147146250819</c:v>
                </c:pt>
                <c:pt idx="117">
                  <c:v>1.2181091978290914</c:v>
                </c:pt>
                <c:pt idx="118">
                  <c:v>1.1163815315133623</c:v>
                </c:pt>
                <c:pt idx="119">
                  <c:v>1.0233119307075398</c:v>
                </c:pt>
                <c:pt idx="120">
                  <c:v>0.93815221843047081</c:v>
                </c:pt>
                <c:pt idx="121">
                  <c:v>0.86021955064491762</c:v>
                </c:pt>
                <c:pt idx="122">
                  <c:v>0.78889068759402547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51-49D9-8412-5154FB7D0D89}"/>
            </c:ext>
          </c:extLst>
        </c:ser>
        <c:ser>
          <c:idx val="4"/>
          <c:order val="2"/>
          <c:tx>
            <c:strRef>
              <c:f>'New_deaths - LNorm'!$H$7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LNorm'!$H$8:$H$130</c:f>
              <c:numCache>
                <c:formatCode>General</c:formatCode>
                <c:ptCount val="123"/>
                <c:pt idx="0">
                  <c:v>2.0603810778509684E-12</c:v>
                </c:pt>
                <c:pt idx="1">
                  <c:v>3.0655825895760415E-7</c:v>
                </c:pt>
                <c:pt idx="2">
                  <c:v>9.6702156677681188E-5</c:v>
                </c:pt>
                <c:pt idx="3">
                  <c:v>3.3294093919139954E-3</c:v>
                </c:pt>
                <c:pt idx="4">
                  <c:v>3.7991821276706562E-2</c:v>
                </c:pt>
                <c:pt idx="5">
                  <c:v>0.22714633564141576</c:v>
                </c:pt>
                <c:pt idx="6">
                  <c:v>0.89498113114790478</c:v>
                </c:pt>
                <c:pt idx="7">
                  <c:v>2.6455029345088334</c:v>
                </c:pt>
                <c:pt idx="8">
                  <c:v>6.3529613830601068</c:v>
                </c:pt>
                <c:pt idx="9">
                  <c:v>13.056076397439057</c:v>
                </c:pt>
                <c:pt idx="10">
                  <c:v>23.795220207408324</c:v>
                </c:pt>
                <c:pt idx="11">
                  <c:v>39.446183482166234</c:v>
                </c:pt>
                <c:pt idx="12">
                  <c:v>60.592179915801211</c:v>
                </c:pt>
                <c:pt idx="13">
                  <c:v>87.453930800429589</c:v>
                </c:pt>
                <c:pt idx="14">
                  <c:v>119.87828154229183</c:v>
                </c:pt>
                <c:pt idx="15">
                  <c:v>157.37376150836417</c:v>
                </c:pt>
                <c:pt idx="16">
                  <c:v>199.17673512959965</c:v>
                </c:pt>
                <c:pt idx="17">
                  <c:v>244.33214471952397</c:v>
                </c:pt>
                <c:pt idx="18">
                  <c:v>291.77592285928506</c:v>
                </c:pt>
                <c:pt idx="19">
                  <c:v>340.41012937084997</c:v>
                </c:pt>
                <c:pt idx="20">
                  <c:v>389.1656355627332</c:v>
                </c:pt>
                <c:pt idx="21">
                  <c:v>437.05021153461649</c:v>
                </c:pt>
                <c:pt idx="22">
                  <c:v>483.18203053515617</c:v>
                </c:pt>
                <c:pt idx="23">
                  <c:v>526.80995859683981</c:v>
                </c:pt>
                <c:pt idx="24">
                  <c:v>567.32270902754681</c:v>
                </c:pt>
                <c:pt idx="25">
                  <c:v>604.24918874617549</c:v>
                </c:pt>
                <c:pt idx="26">
                  <c:v>637.25230693104845</c:v>
                </c:pt>
                <c:pt idx="27">
                  <c:v>666.11828296707426</c:v>
                </c:pt>
                <c:pt idx="28">
                  <c:v>690.74317255393362</c:v>
                </c:pt>
                <c:pt idx="29">
                  <c:v>711.1179901425545</c:v>
                </c:pt>
                <c:pt idx="30">
                  <c:v>727.31348085526008</c:v>
                </c:pt>
                <c:pt idx="31">
                  <c:v>739.46530658260042</c:v>
                </c:pt>
                <c:pt idx="32">
                  <c:v>747.76016801565356</c:v>
                </c:pt>
                <c:pt idx="33">
                  <c:v>752.42318835336368</c:v>
                </c:pt>
                <c:pt idx="34">
                  <c:v>753.70673225916744</c:v>
                </c:pt>
                <c:pt idx="35">
                  <c:v>751.88071999418321</c:v>
                </c:pt>
                <c:pt idx="36">
                  <c:v>747.22441533705887</c:v>
                </c:pt>
                <c:pt idx="37">
                  <c:v>740.01961074296037</c:v>
                </c:pt>
                <c:pt idx="38">
                  <c:v>730.54509853104912</c:v>
                </c:pt>
                <c:pt idx="39">
                  <c:v>719.07229779332749</c:v>
                </c:pt>
                <c:pt idx="40">
                  <c:v>705.86189906795789</c:v>
                </c:pt>
                <c:pt idx="41">
                  <c:v>691.16138928034104</c:v>
                </c:pt>
                <c:pt idx="42">
                  <c:v>675.20332539667811</c:v>
                </c:pt>
                <c:pt idx="43">
                  <c:v>658.2042346390449</c:v>
                </c:pt>
                <c:pt idx="44">
                  <c:v>640.36403046812529</c:v>
                </c:pt>
                <c:pt idx="45">
                  <c:v>621.86584575115376</c:v>
                </c:pt>
                <c:pt idx="46">
                  <c:v>602.87619682519426</c:v>
                </c:pt>
                <c:pt idx="47">
                  <c:v>583.5454040181055</c:v>
                </c:pt>
                <c:pt idx="48">
                  <c:v>564.0082052704081</c:v>
                </c:pt>
                <c:pt idx="49">
                  <c:v>544.3845096206295</c:v>
                </c:pt>
                <c:pt idx="50">
                  <c:v>524.78024638651266</c:v>
                </c:pt>
                <c:pt idx="51">
                  <c:v>505.28827387748669</c:v>
                </c:pt>
                <c:pt idx="52">
                  <c:v>485.98931844148484</c:v>
                </c:pt>
                <c:pt idx="53">
                  <c:v>466.95292064306921</c:v>
                </c:pt>
                <c:pt idx="54">
                  <c:v>448.23837046969413</c:v>
                </c:pt>
                <c:pt idx="55">
                  <c:v>429.89561775704408</c:v>
                </c:pt>
                <c:pt idx="56">
                  <c:v>411.96614760326941</c:v>
                </c:pt>
                <c:pt idx="57">
                  <c:v>394.48381349413035</c:v>
                </c:pt>
                <c:pt idx="58">
                  <c:v>377.47562327009769</c:v>
                </c:pt>
                <c:pt idx="59">
                  <c:v>360.96247500953729</c:v>
                </c:pt>
                <c:pt idx="60">
                  <c:v>344.95984144897739</c:v>
                </c:pt>
                <c:pt idx="61">
                  <c:v>329.47840277449694</c:v>
                </c:pt>
                <c:pt idx="62">
                  <c:v>314.52462855212264</c:v>
                </c:pt>
                <c:pt idx="63">
                  <c:v>300.10131026777094</c:v>
                </c:pt>
                <c:pt idx="64">
                  <c:v>286.20804645975306</c:v>
                </c:pt>
                <c:pt idx="65">
                  <c:v>272.84168278458799</c:v>
                </c:pt>
                <c:pt idx="66">
                  <c:v>259.99670958976537</c:v>
                </c:pt>
                <c:pt idx="67">
                  <c:v>247.66561970046456</c:v>
                </c:pt>
                <c:pt idx="68">
                  <c:v>235.8392291821946</c:v>
                </c:pt>
                <c:pt idx="69">
                  <c:v>224.50696383551175</c:v>
                </c:pt>
                <c:pt idx="70">
                  <c:v>213.6571141269132</c:v>
                </c:pt>
                <c:pt idx="71">
                  <c:v>203.27706117358002</c:v>
                </c:pt>
                <c:pt idx="72">
                  <c:v>193.35347628858574</c:v>
                </c:pt>
                <c:pt idx="73">
                  <c:v>183.87249646527232</c:v>
                </c:pt>
                <c:pt idx="74">
                  <c:v>174.81987804100555</c:v>
                </c:pt>
                <c:pt idx="75">
                  <c:v>166.18113063632546</c:v>
                </c:pt>
                <c:pt idx="76">
                  <c:v>157.94163331956022</c:v>
                </c:pt>
                <c:pt idx="77">
                  <c:v>150.08673480208739</c:v>
                </c:pt>
                <c:pt idx="78">
                  <c:v>142.60183932797278</c:v>
                </c:pt>
                <c:pt idx="79">
                  <c:v>135.47247978521671</c:v>
                </c:pt>
                <c:pt idx="80">
                  <c:v>128.68437943548037</c:v>
                </c:pt>
                <c:pt idx="81">
                  <c:v>122.22350353574166</c:v>
                </c:pt>
                <c:pt idx="82">
                  <c:v>116.07610200922646</c:v>
                </c:pt>
                <c:pt idx="83">
                  <c:v>110.22874421450435</c:v>
                </c:pt>
                <c:pt idx="84">
                  <c:v>104.66834676074603</c:v>
                </c:pt>
                <c:pt idx="85">
                  <c:v>99.382195223829726</c:v>
                </c:pt>
                <c:pt idx="86">
                  <c:v>94.357960531930445</c:v>
                </c:pt>
                <c:pt idx="87">
                  <c:v>89.583710710266189</c:v>
                </c:pt>
                <c:pt idx="88">
                  <c:v>85.047918602353448</c:v>
                </c:pt>
                <c:pt idx="89">
                  <c:v>80.739466119172477</c:v>
                </c:pt>
                <c:pt idx="90">
                  <c:v>76.647645507620396</c:v>
                </c:pt>
                <c:pt idx="91">
                  <c:v>72.762158075133058</c:v>
                </c:pt>
                <c:pt idx="92">
                  <c:v>69.073110758043526</c:v>
                </c:pt>
                <c:pt idx="93">
                  <c:v>65.571010876661347</c:v>
                </c:pt>
                <c:pt idx="94">
                  <c:v>62.246759379886591</c:v>
                </c:pt>
                <c:pt idx="95">
                  <c:v>59.091642846017201</c:v>
                </c:pt>
                <c:pt idx="96">
                  <c:v>56.097324473942152</c:v>
                </c:pt>
                <c:pt idx="97">
                  <c:v>53.255834269819957</c:v>
                </c:pt>
                <c:pt idx="98">
                  <c:v>50.559558608308976</c:v>
                </c:pt>
                <c:pt idx="99">
                  <c:v>48.001229324165926</c:v>
                </c:pt>
                <c:pt idx="100">
                  <c:v>45.573912469313655</c:v>
                </c:pt>
                <c:pt idx="101">
                  <c:v>43.270996852027643</c:v>
                </c:pt>
                <c:pt idx="102">
                  <c:v>41.086182458525975</c:v>
                </c:pt>
                <c:pt idx="103">
                  <c:v>39.013468842719917</c:v>
                </c:pt>
                <c:pt idx="104">
                  <c:v>37.047143557035255</c:v>
                </c:pt>
                <c:pt idx="105">
                  <c:v>35.181770685875463</c:v>
                </c:pt>
                <c:pt idx="106">
                  <c:v>33.412179533293973</c:v>
                </c:pt>
                <c:pt idx="107">
                  <c:v>31.733453507655479</c:v>
                </c:pt>
                <c:pt idx="108">
                  <c:v>30.140919238354847</c:v>
                </c:pt>
                <c:pt idx="109">
                  <c:v>28.630135952910777</c:v>
                </c:pt>
                <c:pt idx="110">
                  <c:v>27.196885136869071</c:v>
                </c:pt>
                <c:pt idx="111">
                  <c:v>25.837160493818224</c:v>
                </c:pt>
                <c:pt idx="112">
                  <c:v>24.547158218384311</c:v>
                </c:pt>
                <c:pt idx="113">
                  <c:v>23.323267591226333</c:v>
                </c:pt>
                <c:pt idx="114">
                  <c:v>22.162061901750011</c:v>
                </c:pt>
                <c:pt idx="115">
                  <c:v>21.060289701427553</c:v>
                </c:pt>
                <c:pt idx="116">
                  <c:v>20.014866388194992</c:v>
                </c:pt>
                <c:pt idx="117">
                  <c:v>19.022866120356383</c:v>
                </c:pt>
                <c:pt idx="118">
                  <c:v>18.081514056701625</c:v>
                </c:pt>
                <c:pt idx="119">
                  <c:v>17.188178918112659</c:v>
                </c:pt>
                <c:pt idx="120">
                  <c:v>16.340365864745834</c:v>
                </c:pt>
                <c:pt idx="121">
                  <c:v>15.535709681913783</c:v>
                </c:pt>
                <c:pt idx="122">
                  <c:v>14.771968267013531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16-4C85-88A1-3BDD4ABBDFBF}"/>
            </c:ext>
          </c:extLst>
        </c:ser>
        <c:ser>
          <c:idx val="3"/>
          <c:order val="3"/>
          <c:tx>
            <c:strRef>
              <c:f>'New_deaths - LNorm'!$L$7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LNorm'!$L$8:$L$130</c:f>
              <c:numCache>
                <c:formatCode>General</c:formatCode>
                <c:ptCount val="123"/>
                <c:pt idx="0">
                  <c:v>229.24278957393298</c:v>
                </c:pt>
                <c:pt idx="1">
                  <c:v>229.24278957394327</c:v>
                </c:pt>
                <c:pt idx="2">
                  <c:v>229.24278962867743</c:v>
                </c:pt>
                <c:pt idx="3">
                  <c:v>229.24280030133326</c:v>
                </c:pt>
                <c:pt idx="4">
                  <c:v>229.24319458220077</c:v>
                </c:pt>
                <c:pt idx="5">
                  <c:v>229.24861878001289</c:v>
                </c:pt>
                <c:pt idx="6">
                  <c:v>229.28780522036442</c:v>
                </c:pt>
                <c:pt idx="7">
                  <c:v>229.46906888745946</c:v>
                </c:pt>
                <c:pt idx="8">
                  <c:v>230.07653227730108</c:v>
                </c:pt>
                <c:pt idx="9">
                  <c:v>231.67629782454881</c:v>
                </c:pt>
                <c:pt idx="10">
                  <c:v>235.17666475933981</c:v>
                </c:pt>
                <c:pt idx="11">
                  <c:v>241.7964179121052</c:v>
                </c:pt>
                <c:pt idx="12">
                  <c:v>252.93263922272445</c:v>
                </c:pt>
                <c:pt idx="13">
                  <c:v>269.95889617999217</c:v>
                </c:pt>
                <c:pt idx="14">
                  <c:v>294.00617616484374</c:v>
                </c:pt>
                <c:pt idx="15">
                  <c:v>325.77800151248101</c:v>
                </c:pt>
                <c:pt idx="16">
                  <c:v>365.43461312350667</c:v>
                </c:pt>
                <c:pt idx="17">
                  <c:v>412.55922117321961</c:v>
                </c:pt>
                <c:pt idx="18">
                  <c:v>466.20019049862941</c:v>
                </c:pt>
                <c:pt idx="19">
                  <c:v>524.97068484649981</c:v>
                </c:pt>
                <c:pt idx="20">
                  <c:v>587.1822605910628</c:v>
                </c:pt>
                <c:pt idx="21">
                  <c:v>650.98964714071053</c:v>
                </c:pt>
                <c:pt idx="22">
                  <c:v>714.52824550280513</c:v>
                </c:pt>
                <c:pt idx="23">
                  <c:v>776.03165183617</c:v>
                </c:pt>
                <c:pt idx="24">
                  <c:v>833.92226103023154</c:v>
                </c:pt>
                <c:pt idx="25">
                  <c:v>886.87284031893603</c:v>
                </c:pt>
                <c:pt idx="26">
                  <c:v>933.8405142324616</c:v>
                </c:pt>
                <c:pt idx="27">
                  <c:v>974.07685269546675</c:v>
                </c:pt>
                <c:pt idx="28">
                  <c:v>1007.1188867269174</c:v>
                </c:pt>
                <c:pt idx="29">
                  <c:v>1032.7661569343675</c:v>
                </c:pt>
                <c:pt idx="30">
                  <c:v>1051.0486015225474</c:v>
                </c:pt>
                <c:pt idx="31">
                  <c:v>1062.1894504281795</c:v>
                </c:pt>
                <c:pt idx="32">
                  <c:v>1066.5664957177755</c:v>
                </c:pt>
                <c:pt idx="33">
                  <c:v>1064.6742867710059</c:v>
                </c:pt>
                <c:pt idx="34">
                  <c:v>1057.0890357431151</c:v>
                </c:pt>
                <c:pt idx="35">
                  <c:v>1044.4373604607463</c:v>
                </c:pt>
                <c:pt idx="36">
                  <c:v>1027.369457000043</c:v>
                </c:pt>
                <c:pt idx="37">
                  <c:v>1006.5368831759475</c:v>
                </c:pt>
                <c:pt idx="38">
                  <c:v>982.57483645846548</c:v>
                </c:pt>
                <c:pt idx="39">
                  <c:v>956.08860919342908</c:v>
                </c:pt>
                <c:pt idx="40">
                  <c:v>927.64378226516749</c:v>
                </c:pt>
                <c:pt idx="41">
                  <c:v>897.75965773470728</c:v>
                </c:pt>
                <c:pt idx="42">
                  <c:v>866.90541552177626</c:v>
                </c:pt>
                <c:pt idx="43">
                  <c:v>835.49849527425681</c:v>
                </c:pt>
                <c:pt idx="44">
                  <c:v>803.90474115308916</c:v>
                </c:pt>
                <c:pt idx="45">
                  <c:v>772.43989576859121</c:v>
                </c:pt>
                <c:pt idx="46">
                  <c:v>741.37208352116966</c:v>
                </c:pt>
                <c:pt idx="47">
                  <c:v>710.92497854184876</c:v>
                </c:pt>
                <c:pt idx="48">
                  <c:v>681.28140519297369</c:v>
                </c:pt>
                <c:pt idx="49">
                  <c:v>652.58716772886169</c:v>
                </c:pt>
                <c:pt idx="50">
                  <c:v>624.95494915170502</c:v>
                </c:pt>
                <c:pt idx="51">
                  <c:v>598.46815708169629</c:v>
                </c:pt>
                <c:pt idx="52">
                  <c:v>573.1846265826814</c:v>
                </c:pt>
                <c:pt idx="53">
                  <c:v>549.14011662378095</c:v>
                </c:pt>
                <c:pt idx="54">
                  <c:v>526.35155866591538</c:v>
                </c:pt>
                <c:pt idx="55">
                  <c:v>504.82003328333076</c:v>
                </c:pt>
                <c:pt idx="56">
                  <c:v>484.53346433938754</c:v>
                </c:pt>
                <c:pt idx="57">
                  <c:v>465.46903060031968</c:v>
                </c:pt>
                <c:pt idx="58">
                  <c:v>447.59530232430154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351-49D9-8412-5154FB7D0D89}"/>
            </c:ext>
          </c:extLst>
        </c:ser>
        <c:ser>
          <c:idx val="2"/>
          <c:order val="4"/>
          <c:tx>
            <c:strRef>
              <c:f>'New_deaths - LNorm'!$M$7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LNorm'!$M$8:$M$130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7.7146113507634482</c:v>
                </c:pt>
                <c:pt idx="19">
                  <c:v>66.485105698633816</c:v>
                </c:pt>
                <c:pt idx="20">
                  <c:v>128.69668144319687</c:v>
                </c:pt>
                <c:pt idx="21">
                  <c:v>192.5040679928446</c:v>
                </c:pt>
                <c:pt idx="22">
                  <c:v>256.04266635493912</c:v>
                </c:pt>
                <c:pt idx="23">
                  <c:v>317.54607268830398</c:v>
                </c:pt>
                <c:pt idx="24">
                  <c:v>375.43668188236552</c:v>
                </c:pt>
                <c:pt idx="25">
                  <c:v>428.38726117107001</c:v>
                </c:pt>
                <c:pt idx="26">
                  <c:v>475.35493508459558</c:v>
                </c:pt>
                <c:pt idx="27">
                  <c:v>515.59127354760074</c:v>
                </c:pt>
                <c:pt idx="28">
                  <c:v>548.63330757905135</c:v>
                </c:pt>
                <c:pt idx="29">
                  <c:v>574.28057778650145</c:v>
                </c:pt>
                <c:pt idx="30">
                  <c:v>592.56302237468151</c:v>
                </c:pt>
                <c:pt idx="31">
                  <c:v>603.70387128031359</c:v>
                </c:pt>
                <c:pt idx="32">
                  <c:v>608.08091656990962</c:v>
                </c:pt>
                <c:pt idx="33">
                  <c:v>606.18870762313998</c:v>
                </c:pt>
                <c:pt idx="34">
                  <c:v>598.6034565952491</c:v>
                </c:pt>
                <c:pt idx="35">
                  <c:v>585.95178131288037</c:v>
                </c:pt>
                <c:pt idx="36">
                  <c:v>568.88387785217708</c:v>
                </c:pt>
                <c:pt idx="37">
                  <c:v>548.05130402808152</c:v>
                </c:pt>
                <c:pt idx="38">
                  <c:v>524.08925731059946</c:v>
                </c:pt>
                <c:pt idx="39">
                  <c:v>497.60303004556306</c:v>
                </c:pt>
                <c:pt idx="40">
                  <c:v>469.15820311730147</c:v>
                </c:pt>
                <c:pt idx="41">
                  <c:v>439.27407858684126</c:v>
                </c:pt>
                <c:pt idx="42">
                  <c:v>408.41983637391024</c:v>
                </c:pt>
                <c:pt idx="43">
                  <c:v>377.01291612639079</c:v>
                </c:pt>
                <c:pt idx="44">
                  <c:v>345.41916200522314</c:v>
                </c:pt>
                <c:pt idx="45">
                  <c:v>313.95431662072519</c:v>
                </c:pt>
                <c:pt idx="46">
                  <c:v>282.88650437330364</c:v>
                </c:pt>
                <c:pt idx="47">
                  <c:v>252.43939939398277</c:v>
                </c:pt>
                <c:pt idx="48">
                  <c:v>222.7958260451077</c:v>
                </c:pt>
                <c:pt idx="49">
                  <c:v>194.1015885809957</c:v>
                </c:pt>
                <c:pt idx="50">
                  <c:v>166.46937000383903</c:v>
                </c:pt>
                <c:pt idx="51">
                  <c:v>139.9825779338303</c:v>
                </c:pt>
                <c:pt idx="52">
                  <c:v>114.69904743481541</c:v>
                </c:pt>
                <c:pt idx="53">
                  <c:v>90.654537475914964</c:v>
                </c:pt>
                <c:pt idx="54">
                  <c:v>67.865979518049443</c:v>
                </c:pt>
                <c:pt idx="55">
                  <c:v>46.334454135464824</c:v>
                </c:pt>
                <c:pt idx="56">
                  <c:v>26.047885191521573</c:v>
                </c:pt>
                <c:pt idx="57">
                  <c:v>6.9834514524537497</c:v>
                </c:pt>
                <c:pt idx="5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351-49D9-8412-5154FB7D0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24-feb (Day1)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FF0000"/>
                </a:solidFill>
              </a:rPr>
              <a:t>Lombardy </a:t>
            </a:r>
            <a:r>
              <a:rPr lang="it-IT" sz="1400" b="0" i="0" u="none" strike="noStrike" baseline="0">
                <a:solidFill>
                  <a:srgbClr val="FF0000"/>
                </a:solidFill>
                <a:effectLst/>
              </a:rPr>
              <a:t>- Daily new deaths - Lognormal model</a:t>
            </a:r>
            <a:endParaRPr lang="it-IT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LNorm'!$O$7</c:f>
              <c:strCache>
                <c:ptCount val="1"/>
                <c:pt idx="0">
                  <c:v>Lombardy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LNorm'!$O$8:$O$130</c:f>
              <c:numCache>
                <c:formatCode>General</c:formatCode>
                <c:ptCount val="123"/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  <c:pt idx="41">
                  <c:v>249</c:v>
                </c:pt>
                <c:pt idx="42">
                  <c:v>297</c:v>
                </c:pt>
                <c:pt idx="43">
                  <c:v>282</c:v>
                </c:pt>
                <c:pt idx="44">
                  <c:v>238</c:v>
                </c:pt>
                <c:pt idx="45">
                  <c:v>300</c:v>
                </c:pt>
                <c:pt idx="46">
                  <c:v>216</c:v>
                </c:pt>
                <c:pt idx="47">
                  <c:v>273</c:v>
                </c:pt>
                <c:pt idx="48">
                  <c:v>110</c:v>
                </c:pt>
                <c:pt idx="49">
                  <c:v>280</c:v>
                </c:pt>
                <c:pt idx="50">
                  <c:v>241</c:v>
                </c:pt>
                <c:pt idx="51">
                  <c:v>235</c:v>
                </c:pt>
                <c:pt idx="52">
                  <c:v>231</c:v>
                </c:pt>
                <c:pt idx="53">
                  <c:v>243</c:v>
                </c:pt>
                <c:pt idx="54">
                  <c:v>199</c:v>
                </c:pt>
                <c:pt idx="55">
                  <c:v>163</c:v>
                </c:pt>
                <c:pt idx="56">
                  <c:v>163</c:v>
                </c:pt>
                <c:pt idx="57">
                  <c:v>203</c:v>
                </c:pt>
                <c:pt idx="58">
                  <c:v>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4-42C3-AEA3-0FCF0C9EE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LNorm'!$R$7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LNorm'!$R$8:$R$130</c:f>
              <c:numCache>
                <c:formatCode>General</c:formatCode>
                <c:ptCount val="123"/>
                <c:pt idx="0">
                  <c:v>1.6043849309380462E-12</c:v>
                </c:pt>
                <c:pt idx="1">
                  <c:v>2.4715807437411222E-7</c:v>
                </c:pt>
                <c:pt idx="2">
                  <c:v>7.8103940233068033E-5</c:v>
                </c:pt>
                <c:pt idx="3">
                  <c:v>2.6717241182926989E-3</c:v>
                </c:pt>
                <c:pt idx="4">
                  <c:v>3.0190558635937538E-2</c:v>
                </c:pt>
                <c:pt idx="5">
                  <c:v>0.17845598157094808</c:v>
                </c:pt>
                <c:pt idx="6">
                  <c:v>0.69450961035597292</c:v>
                </c:pt>
                <c:pt idx="7">
                  <c:v>2.0265578159770854</c:v>
                </c:pt>
                <c:pt idx="8">
                  <c:v>4.8022538395250915</c:v>
                </c:pt>
                <c:pt idx="9">
                  <c:v>9.7360319565158697</c:v>
                </c:pt>
                <c:pt idx="10">
                  <c:v>17.501442613772433</c:v>
                </c:pt>
                <c:pt idx="11">
                  <c:v>28.611449092577335</c:v>
                </c:pt>
                <c:pt idx="12">
                  <c:v>43.336435234482018</c:v>
                </c:pt>
                <c:pt idx="13">
                  <c:v>61.670807924056909</c:v>
                </c:pt>
                <c:pt idx="14">
                  <c:v>83.344068430864382</c:v>
                </c:pt>
                <c:pt idx="15">
                  <c:v>107.8641101456838</c:v>
                </c:pt>
                <c:pt idx="16">
                  <c:v>134.57839462858956</c:v>
                </c:pt>
                <c:pt idx="17">
                  <c:v>162.74033837506386</c:v>
                </c:pt>
                <c:pt idx="18">
                  <c:v>191.57161190519227</c:v>
                </c:pt>
                <c:pt idx="19">
                  <c:v>220.31466762205912</c:v>
                </c:pt>
                <c:pt idx="20">
                  <c:v>248.2728968466985</c:v>
                </c:pt>
                <c:pt idx="21">
                  <c:v>274.83808130659384</c:v>
                </c:pt>
                <c:pt idx="22">
                  <c:v>299.5062524342963</c:v>
                </c:pt>
                <c:pt idx="23">
                  <c:v>321.88384341065421</c:v>
                </c:pt>
                <c:pt idx="24">
                  <c:v>341.68629536575514</c:v>
                </c:pt>
                <c:pt idx="25">
                  <c:v>358.73123112778705</c:v>
                </c:pt>
                <c:pt idx="26">
                  <c:v>372.92807522296982</c:v>
                </c:pt>
                <c:pt idx="27">
                  <c:v>384.26567788633099</c:v>
                </c:pt>
                <c:pt idx="28">
                  <c:v>392.79916045631137</c:v>
                </c:pt>
                <c:pt idx="29">
                  <c:v>398.63687991824418</c:v>
                </c:pt>
                <c:pt idx="30">
                  <c:v>401.9281324775593</c:v>
                </c:pt>
                <c:pt idx="31">
                  <c:v>402.85198787350237</c:v>
                </c:pt>
                <c:pt idx="32">
                  <c:v>401.60746764425471</c:v>
                </c:pt>
                <c:pt idx="33">
                  <c:v>398.40514719636894</c:v>
                </c:pt>
                <c:pt idx="34">
                  <c:v>393.46016670531475</c:v>
                </c:pt>
                <c:pt idx="35">
                  <c:v>386.98657240855869</c:v>
                </c:pt>
                <c:pt idx="36">
                  <c:v>379.19287090388616</c:v>
                </c:pt>
                <c:pt idx="37">
                  <c:v>370.27865857410325</c:v>
                </c:pt>
                <c:pt idx="38">
                  <c:v>360.43218113084077</c:v>
                </c:pt>
                <c:pt idx="39">
                  <c:v>349.82868039069899</c:v>
                </c:pt>
                <c:pt idx="40">
                  <c:v>338.62939355464033</c:v>
                </c:pt>
                <c:pt idx="41">
                  <c:v>326.98108202683233</c:v>
                </c:pt>
                <c:pt idx="42">
                  <c:v>315.015980401945</c:v>
                </c:pt>
                <c:pt idx="43">
                  <c:v>302.85207041110687</c:v>
                </c:pt>
                <c:pt idx="44">
                  <c:v>290.59359849322385</c:v>
                </c:pt>
                <c:pt idx="45">
                  <c:v>278.33176870524426</c:v>
                </c:pt>
                <c:pt idx="46">
                  <c:v>266.14555458483397</c:v>
                </c:pt>
                <c:pt idx="47">
                  <c:v>254.10258417797016</c:v>
                </c:pt>
                <c:pt idx="48">
                  <c:v>242.26006170177826</c:v>
                </c:pt>
                <c:pt idx="49">
                  <c:v>230.66569726465713</c:v>
                </c:pt>
                <c:pt idx="50">
                  <c:v>219.3586227939534</c:v>
                </c:pt>
                <c:pt idx="51">
                  <c:v>208.37027793529114</c:v>
                </c:pt>
                <c:pt idx="52">
                  <c:v>197.72525430899105</c:v>
                </c:pt>
                <c:pt idx="53">
                  <c:v>187.44209026176114</c:v>
                </c:pt>
                <c:pt idx="54">
                  <c:v>177.53401125620027</c:v>
                </c:pt>
                <c:pt idx="55">
                  <c:v>168.00961340858566</c:v>
                </c:pt>
                <c:pt idx="56">
                  <c:v>158.87348951878249</c:v>
                </c:pt>
                <c:pt idx="57">
                  <c:v>150.12679832555443</c:v>
                </c:pt>
                <c:pt idx="58">
                  <c:v>141.76777874543095</c:v>
                </c:pt>
                <c:pt idx="59">
                  <c:v>133.79221158215927</c:v>
                </c:pt>
                <c:pt idx="60">
                  <c:v>126.19383168505657</c:v>
                </c:pt>
                <c:pt idx="61">
                  <c:v>118.9646938376868</c:v>
                </c:pt>
                <c:pt idx="62">
                  <c:v>112.09549581431025</c:v>
                </c:pt>
                <c:pt idx="63">
                  <c:v>105.57586208471679</c:v>
                </c:pt>
                <c:pt idx="64">
                  <c:v>99.394591606200862</c:v>
                </c:pt>
                <c:pt idx="65">
                  <c:v>93.539873037313868</c:v>
                </c:pt>
                <c:pt idx="66">
                  <c:v>87.999470559874297</c:v>
                </c:pt>
                <c:pt idx="67">
                  <c:v>82.760883318034502</c:v>
                </c:pt>
                <c:pt idx="68">
                  <c:v>77.811481287407048</c:v>
                </c:pt>
                <c:pt idx="69">
                  <c:v>73.138620182200384</c:v>
                </c:pt>
                <c:pt idx="70">
                  <c:v>68.729737800757647</c:v>
                </c:pt>
                <c:pt idx="71">
                  <c:v>64.572434004868214</c:v>
                </c:pt>
                <c:pt idx="72">
                  <c:v>60.654536329442003</c:v>
                </c:pt>
                <c:pt idx="73">
                  <c:v>56.964153029153692</c:v>
                </c:pt>
                <c:pt idx="74">
                  <c:v>53.48971518923819</c:v>
                </c:pt>
                <c:pt idx="75">
                  <c:v>50.220009359761008</c:v>
                </c:pt>
                <c:pt idx="76">
                  <c:v>47.144202016964009</c:v>
                </c:pt>
                <c:pt idx="77">
                  <c:v>44.251857011790207</c:v>
                </c:pt>
                <c:pt idx="78">
                  <c:v>41.53294703429858</c:v>
                </c:pt>
                <c:pt idx="79">
                  <c:v>38.977860002986759</c:v>
                </c:pt>
                <c:pt idx="80">
                  <c:v>36.577401179532707</c:v>
                </c:pt>
                <c:pt idx="81">
                  <c:v>34.322791711533974</c:v>
                </c:pt>
                <c:pt idx="82">
                  <c:v>32.205664217757771</c:v>
                </c:pt>
                <c:pt idx="83">
                  <c:v>30.218055951540236</c:v>
                </c:pt>
                <c:pt idx="84">
                  <c:v>28.35240000753512</c:v>
                </c:pt>
                <c:pt idx="85">
                  <c:v>26.601514974339977</c:v>
                </c:pt>
                <c:pt idx="86">
                  <c:v>24.958593379904325</c:v>
                </c:pt>
                <c:pt idx="87">
                  <c:v>23.417189227429056</c:v>
                </c:pt>
                <c:pt idx="88">
                  <c:v>21.971204876052226</c:v>
                </c:pt>
                <c:pt idx="89">
                  <c:v>20.614877482433318</c:v>
                </c:pt>
                <c:pt idx="90">
                  <c:v>19.342765185845121</c:v>
                </c:pt>
                <c:pt idx="91">
                  <c:v>18.149733190070034</c:v>
                </c:pt>
                <c:pt idx="92">
                  <c:v>17.030939869830185</c:v>
                </c:pt>
                <c:pt idx="93">
                  <c:v>15.981823007236285</c:v>
                </c:pt>
                <c:pt idx="94">
                  <c:v>14.998086244451498</c:v>
                </c:pt>
                <c:pt idx="95">
                  <c:v>14.075685822092021</c:v>
                </c:pt>
                <c:pt idx="96">
                  <c:v>13.210817658518554</c:v>
                </c:pt>
                <c:pt idx="97">
                  <c:v>12.399904812841632</c:v>
                </c:pt>
                <c:pt idx="98">
                  <c:v>11.639585363920174</c:v>
                </c:pt>
                <c:pt idx="99">
                  <c:v>10.926700728655824</c:v>
                </c:pt>
                <c:pt idx="100">
                  <c:v>10.258284435284677</c:v>
                </c:pt>
                <c:pt idx="101">
                  <c:v>9.6315513609595982</c:v>
                </c:pt>
                <c:pt idx="102">
                  <c:v>9.043887437557558</c:v>
                </c:pt>
                <c:pt idx="103">
                  <c:v>8.492839825189165</c:v>
                </c:pt>
                <c:pt idx="104">
                  <c:v>7.9761075492161817</c:v>
                </c:pt>
                <c:pt idx="105">
                  <c:v>7.4915325935936128</c:v>
                </c:pt>
                <c:pt idx="106">
                  <c:v>7.0370914409428282</c:v>
                </c:pt>
                <c:pt idx="107">
                  <c:v>6.6108870478580153</c:v>
                </c:pt>
                <c:pt idx="108">
                  <c:v>6.2111412424724186</c:v>
                </c:pt>
                <c:pt idx="109">
                  <c:v>5.8361875301998021</c:v>
                </c:pt>
                <c:pt idx="110">
                  <c:v>5.4844642927698075</c:v>
                </c:pt>
                <c:pt idx="111">
                  <c:v>5.1545083651368495</c:v>
                </c:pt>
                <c:pt idx="112">
                  <c:v>4.8449489745294283</c:v>
                </c:pt>
                <c:pt idx="113">
                  <c:v>4.5545020257730808</c:v>
                </c:pt>
                <c:pt idx="114">
                  <c:v>4.2819647170425768</c:v>
                </c:pt>
                <c:pt idx="115">
                  <c:v>4.0262104703460864</c:v>
                </c:pt>
                <c:pt idx="116">
                  <c:v>3.7861841612919731</c:v>
                </c:pt>
                <c:pt idx="117">
                  <c:v>3.5608976330202102</c:v>
                </c:pt>
                <c:pt idx="118">
                  <c:v>3.3494254795753093</c:v>
                </c:pt>
                <c:pt idx="119">
                  <c:v>3.1509010844428436</c:v>
                </c:pt>
                <c:pt idx="120">
                  <c:v>2.9645129004537814</c:v>
                </c:pt>
                <c:pt idx="121">
                  <c:v>2.7895009577701062</c:v>
                </c:pt>
                <c:pt idx="122">
                  <c:v>2.6251535871912748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74-42C3-AEA3-0FCF0C9EED54}"/>
            </c:ext>
          </c:extLst>
        </c:ser>
        <c:ser>
          <c:idx val="2"/>
          <c:order val="2"/>
          <c:tx>
            <c:strRef>
              <c:f>'New_deaths - LNorm'!$T$7</c:f>
              <c:strCache>
                <c:ptCount val="1"/>
                <c:pt idx="0">
                  <c:v>Upper CI_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LNorm'!$T$8:$T$130</c:f>
              <c:numCache>
                <c:formatCode>General</c:formatCode>
                <c:ptCount val="123"/>
                <c:pt idx="0">
                  <c:v>119.14801347930334</c:v>
                </c:pt>
                <c:pt idx="1">
                  <c:v>119.14801372645981</c:v>
                </c:pt>
                <c:pt idx="2">
                  <c:v>119.14809158324198</c:v>
                </c:pt>
                <c:pt idx="3">
                  <c:v>119.15068520342003</c:v>
                </c:pt>
                <c:pt idx="4">
                  <c:v>119.17820403793768</c:v>
                </c:pt>
                <c:pt idx="5">
                  <c:v>119.32646946087269</c:v>
                </c:pt>
                <c:pt idx="6">
                  <c:v>119.84252308965772</c:v>
                </c:pt>
                <c:pt idx="7">
                  <c:v>121.17457129527882</c:v>
                </c:pt>
                <c:pt idx="8">
                  <c:v>123.95026731882683</c:v>
                </c:pt>
                <c:pt idx="9">
                  <c:v>128.8840454358176</c:v>
                </c:pt>
                <c:pt idx="10">
                  <c:v>136.64945609307418</c:v>
                </c:pt>
                <c:pt idx="11">
                  <c:v>147.75946257187908</c:v>
                </c:pt>
                <c:pt idx="12">
                  <c:v>162.48444871378376</c:v>
                </c:pt>
                <c:pt idx="13">
                  <c:v>180.81882140335864</c:v>
                </c:pt>
                <c:pt idx="14">
                  <c:v>202.49208191016612</c:v>
                </c:pt>
                <c:pt idx="15">
                  <c:v>227.01212362498552</c:v>
                </c:pt>
                <c:pt idx="16">
                  <c:v>253.7264081078913</c:v>
                </c:pt>
                <c:pt idx="17">
                  <c:v>281.88835185436562</c:v>
                </c:pt>
                <c:pt idx="18">
                  <c:v>310.71962538449401</c:v>
                </c:pt>
                <c:pt idx="19">
                  <c:v>339.46268110136089</c:v>
                </c:pt>
                <c:pt idx="20">
                  <c:v>367.42091032600024</c:v>
                </c:pt>
                <c:pt idx="21">
                  <c:v>393.9860947858956</c:v>
                </c:pt>
                <c:pt idx="22">
                  <c:v>418.65426591359801</c:v>
                </c:pt>
                <c:pt idx="23">
                  <c:v>441.03185688995598</c:v>
                </c:pt>
                <c:pt idx="24">
                  <c:v>460.83430884505685</c:v>
                </c:pt>
                <c:pt idx="25">
                  <c:v>477.87924460708882</c:v>
                </c:pt>
                <c:pt idx="26">
                  <c:v>492.07608870227159</c:v>
                </c:pt>
                <c:pt idx="27">
                  <c:v>503.41369136563276</c:v>
                </c:pt>
                <c:pt idx="28">
                  <c:v>511.94717393561314</c:v>
                </c:pt>
                <c:pt idx="29">
                  <c:v>517.78489339754594</c:v>
                </c:pt>
                <c:pt idx="30">
                  <c:v>521.07614595686107</c:v>
                </c:pt>
                <c:pt idx="31">
                  <c:v>522.00000135280413</c:v>
                </c:pt>
                <c:pt idx="32">
                  <c:v>520.75548112355648</c:v>
                </c:pt>
                <c:pt idx="33">
                  <c:v>517.55316067567071</c:v>
                </c:pt>
                <c:pt idx="34">
                  <c:v>512.60818018461646</c:v>
                </c:pt>
                <c:pt idx="35">
                  <c:v>506.13458588786045</c:v>
                </c:pt>
                <c:pt idx="36">
                  <c:v>498.34088438318793</c:v>
                </c:pt>
                <c:pt idx="37">
                  <c:v>489.42667205340501</c:v>
                </c:pt>
                <c:pt idx="38">
                  <c:v>479.58019461014248</c:v>
                </c:pt>
                <c:pt idx="39">
                  <c:v>468.97669387000076</c:v>
                </c:pt>
                <c:pt idx="40">
                  <c:v>457.77740703394204</c:v>
                </c:pt>
                <c:pt idx="41">
                  <c:v>446.12909550613404</c:v>
                </c:pt>
                <c:pt idx="42">
                  <c:v>434.16399388124671</c:v>
                </c:pt>
                <c:pt idx="43">
                  <c:v>422.00008389040863</c:v>
                </c:pt>
                <c:pt idx="44">
                  <c:v>409.74161197252556</c:v>
                </c:pt>
                <c:pt idx="45">
                  <c:v>397.47978218454602</c:v>
                </c:pt>
                <c:pt idx="46">
                  <c:v>385.29356806413568</c:v>
                </c:pt>
                <c:pt idx="47">
                  <c:v>373.2505976572719</c:v>
                </c:pt>
                <c:pt idx="48">
                  <c:v>361.40807518107999</c:v>
                </c:pt>
                <c:pt idx="49">
                  <c:v>349.81371074395884</c:v>
                </c:pt>
                <c:pt idx="50">
                  <c:v>338.50663627325514</c:v>
                </c:pt>
                <c:pt idx="51">
                  <c:v>327.51829141459291</c:v>
                </c:pt>
                <c:pt idx="52">
                  <c:v>316.87326778829276</c:v>
                </c:pt>
                <c:pt idx="53">
                  <c:v>306.59010374106288</c:v>
                </c:pt>
                <c:pt idx="54">
                  <c:v>296.68202473550201</c:v>
                </c:pt>
                <c:pt idx="55">
                  <c:v>287.15762688788743</c:v>
                </c:pt>
                <c:pt idx="56">
                  <c:v>278.0215029980842</c:v>
                </c:pt>
                <c:pt idx="57">
                  <c:v>269.2748118048562</c:v>
                </c:pt>
                <c:pt idx="58">
                  <c:v>260.91579222473268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C74-42C3-AEA3-0FCF0C9EED54}"/>
            </c:ext>
          </c:extLst>
        </c:ser>
        <c:ser>
          <c:idx val="3"/>
          <c:order val="3"/>
          <c:tx>
            <c:strRef>
              <c:f>'New_deaths - LNorm'!$U$7</c:f>
              <c:strCache>
                <c:ptCount val="1"/>
                <c:pt idx="0">
                  <c:v>Lower CI_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LNorm'!$U$8:$U$130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15.430381149287825</c:v>
                </c:pt>
                <c:pt idx="17">
                  <c:v>43.592324895762118</c:v>
                </c:pt>
                <c:pt idx="18">
                  <c:v>72.423598425890532</c:v>
                </c:pt>
                <c:pt idx="19">
                  <c:v>101.16665414275738</c:v>
                </c:pt>
                <c:pt idx="20">
                  <c:v>129.12488336739676</c:v>
                </c:pt>
                <c:pt idx="21">
                  <c:v>155.6900678272921</c:v>
                </c:pt>
                <c:pt idx="22">
                  <c:v>180.35823895499456</c:v>
                </c:pt>
                <c:pt idx="23">
                  <c:v>202.73582993135247</c:v>
                </c:pt>
                <c:pt idx="24">
                  <c:v>222.5382818864534</c:v>
                </c:pt>
                <c:pt idx="25">
                  <c:v>239.58321764848532</c:v>
                </c:pt>
                <c:pt idx="26">
                  <c:v>253.78006174366809</c:v>
                </c:pt>
                <c:pt idx="27">
                  <c:v>265.11766440702922</c:v>
                </c:pt>
                <c:pt idx="28">
                  <c:v>273.6511469770096</c:v>
                </c:pt>
                <c:pt idx="29">
                  <c:v>279.48886643894241</c:v>
                </c:pt>
                <c:pt idx="30">
                  <c:v>282.78011899825754</c:v>
                </c:pt>
                <c:pt idx="31">
                  <c:v>283.7039743942006</c:v>
                </c:pt>
                <c:pt idx="32">
                  <c:v>282.45945416495294</c:v>
                </c:pt>
                <c:pt idx="33">
                  <c:v>279.25713371706718</c:v>
                </c:pt>
                <c:pt idx="34">
                  <c:v>274.31215322601304</c:v>
                </c:pt>
                <c:pt idx="35">
                  <c:v>267.83855892925692</c:v>
                </c:pt>
                <c:pt idx="36">
                  <c:v>260.04485742458439</c:v>
                </c:pt>
                <c:pt idx="37">
                  <c:v>251.13064509480151</c:v>
                </c:pt>
                <c:pt idx="38">
                  <c:v>241.28416765153904</c:v>
                </c:pt>
                <c:pt idx="39">
                  <c:v>230.68066691139725</c:v>
                </c:pt>
                <c:pt idx="40">
                  <c:v>219.48138007533859</c:v>
                </c:pt>
                <c:pt idx="41">
                  <c:v>207.83306854753059</c:v>
                </c:pt>
                <c:pt idx="42">
                  <c:v>195.86796692264326</c:v>
                </c:pt>
                <c:pt idx="43">
                  <c:v>183.70405693180513</c:v>
                </c:pt>
                <c:pt idx="44">
                  <c:v>171.44558501392211</c:v>
                </c:pt>
                <c:pt idx="45">
                  <c:v>159.18375522594252</c:v>
                </c:pt>
                <c:pt idx="46">
                  <c:v>146.99754110553224</c:v>
                </c:pt>
                <c:pt idx="47">
                  <c:v>134.95457069866842</c:v>
                </c:pt>
                <c:pt idx="48">
                  <c:v>123.11204822247652</c:v>
                </c:pt>
                <c:pt idx="49">
                  <c:v>111.51768378535539</c:v>
                </c:pt>
                <c:pt idx="50">
                  <c:v>100.21060931465166</c:v>
                </c:pt>
                <c:pt idx="51">
                  <c:v>89.222264455989404</c:v>
                </c:pt>
                <c:pt idx="52">
                  <c:v>78.577240829689316</c:v>
                </c:pt>
                <c:pt idx="53">
                  <c:v>68.294076782459399</c:v>
                </c:pt>
                <c:pt idx="54">
                  <c:v>58.385997776898535</c:v>
                </c:pt>
                <c:pt idx="55">
                  <c:v>48.861599929283926</c:v>
                </c:pt>
                <c:pt idx="56">
                  <c:v>39.725476039480753</c:v>
                </c:pt>
                <c:pt idx="57">
                  <c:v>30.978784846252694</c:v>
                </c:pt>
                <c:pt idx="58">
                  <c:v>22.619765266129207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C74-42C3-AEA3-0FCF0C9EE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kern="1200" baseline="0">
                    <a:solidFill>
                      <a:srgbClr val="595959"/>
                    </a:solidFill>
                    <a:effectLst/>
                  </a:rPr>
                  <a:t>Days from 24-feb (Day1)</a:t>
                </a:r>
                <a:endParaRPr lang="it-IT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B050"/>
                </a:solidFill>
              </a:rPr>
              <a:t>rest of Italy </a:t>
            </a:r>
            <a:r>
              <a:rPr lang="it-IT" sz="1400" b="0" i="0" u="none" strike="noStrike" baseline="0">
                <a:solidFill>
                  <a:srgbClr val="00B050"/>
                </a:solidFill>
                <a:effectLst/>
              </a:rPr>
              <a:t>- Daily new deaths - Lognormal model</a:t>
            </a:r>
            <a:endParaRPr lang="it-IT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LNorm'!$W$7</c:f>
              <c:strCache>
                <c:ptCount val="1"/>
                <c:pt idx="0">
                  <c:v>rest of Italy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LNorm'!$W$8:$W$130</c:f>
              <c:numCache>
                <c:formatCode>0</c:formatCode>
                <c:ptCount val="123"/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  <c:pt idx="40">
                  <c:v>336</c:v>
                </c:pt>
                <c:pt idx="41">
                  <c:v>276</c:v>
                </c:pt>
                <c:pt idx="42">
                  <c:v>339</c:v>
                </c:pt>
                <c:pt idx="43">
                  <c:v>322</c:v>
                </c:pt>
                <c:pt idx="44">
                  <c:v>304</c:v>
                </c:pt>
                <c:pt idx="45">
                  <c:v>310</c:v>
                </c:pt>
                <c:pt idx="46">
                  <c:v>354</c:v>
                </c:pt>
                <c:pt idx="47">
                  <c:v>346</c:v>
                </c:pt>
                <c:pt idx="48">
                  <c:v>321</c:v>
                </c:pt>
                <c:pt idx="49">
                  <c:v>286</c:v>
                </c:pt>
                <c:pt idx="50">
                  <c:v>361</c:v>
                </c:pt>
                <c:pt idx="51">
                  <c:v>343</c:v>
                </c:pt>
                <c:pt idx="52">
                  <c:v>294</c:v>
                </c:pt>
                <c:pt idx="53">
                  <c:v>332</c:v>
                </c:pt>
                <c:pt idx="54">
                  <c:v>283</c:v>
                </c:pt>
                <c:pt idx="55">
                  <c:v>270</c:v>
                </c:pt>
                <c:pt idx="56">
                  <c:v>291</c:v>
                </c:pt>
                <c:pt idx="57">
                  <c:v>331</c:v>
                </c:pt>
                <c:pt idx="58">
                  <c:v>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F-43A6-8F85-1987D75DE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LNorm'!$Z$7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LNorm'!$Z$8:$Z$130</c:f>
              <c:numCache>
                <c:formatCode>General</c:formatCode>
                <c:ptCount val="123"/>
                <c:pt idx="0">
                  <c:v>4.5599614691292225E-13</c:v>
                </c:pt>
                <c:pt idx="1">
                  <c:v>5.9400184583491922E-8</c:v>
                </c:pt>
                <c:pt idx="2">
                  <c:v>1.8598216444613155E-5</c:v>
                </c:pt>
                <c:pt idx="3">
                  <c:v>6.5768527362129639E-4</c:v>
                </c:pt>
                <c:pt idx="4">
                  <c:v>7.8012626407690236E-3</c:v>
                </c:pt>
                <c:pt idx="5">
                  <c:v>4.8690354070467672E-2</c:v>
                </c:pt>
                <c:pt idx="6">
                  <c:v>0.20047152079193192</c:v>
                </c:pt>
                <c:pt idx="7">
                  <c:v>0.61894511853174805</c:v>
                </c:pt>
                <c:pt idx="8">
                  <c:v>1.5507075435350157</c:v>
                </c:pt>
                <c:pt idx="9">
                  <c:v>3.3200444409231875</c:v>
                </c:pt>
                <c:pt idx="10">
                  <c:v>6.293777593635892</c:v>
                </c:pt>
                <c:pt idx="11">
                  <c:v>10.834734389588899</c:v>
                </c:pt>
                <c:pt idx="12">
                  <c:v>17.255744681319193</c:v>
                </c:pt>
                <c:pt idx="13">
                  <c:v>25.783122876372683</c:v>
                </c:pt>
                <c:pt idx="14">
                  <c:v>36.534213111427455</c:v>
                </c:pt>
                <c:pt idx="15">
                  <c:v>49.509651362680373</c:v>
                </c:pt>
                <c:pt idx="16">
                  <c:v>64.598340501010071</c:v>
                </c:pt>
                <c:pt idx="17">
                  <c:v>81.59180634446011</c:v>
                </c:pt>
                <c:pt idx="18">
                  <c:v>100.20431095409278</c:v>
                </c:pt>
                <c:pt idx="19">
                  <c:v>120.09546174879087</c:v>
                </c:pt>
                <c:pt idx="20">
                  <c:v>140.89273871603473</c:v>
                </c:pt>
                <c:pt idx="21">
                  <c:v>162.21213022802266</c:v>
                </c:pt>
                <c:pt idx="22">
                  <c:v>183.6757781008599</c:v>
                </c:pt>
                <c:pt idx="23">
                  <c:v>204.92611518618563</c:v>
                </c:pt>
                <c:pt idx="24">
                  <c:v>225.63641366179166</c:v>
                </c:pt>
                <c:pt idx="25">
                  <c:v>245.51795761838846</c:v>
                </c:pt>
                <c:pt idx="26">
                  <c:v>264.32423170807857</c:v>
                </c:pt>
                <c:pt idx="27">
                  <c:v>281.85260508074333</c:v>
                </c:pt>
                <c:pt idx="28">
                  <c:v>297.94401209762225</c:v>
                </c:pt>
                <c:pt idx="29">
                  <c:v>312.48111022431033</c:v>
                </c:pt>
                <c:pt idx="30">
                  <c:v>325.38534837770078</c:v>
                </c:pt>
                <c:pt idx="31">
                  <c:v>336.61331870909805</c:v>
                </c:pt>
                <c:pt idx="32">
                  <c:v>346.15270037139891</c:v>
                </c:pt>
                <c:pt idx="33">
                  <c:v>354.01804115699468</c:v>
                </c:pt>
                <c:pt idx="34">
                  <c:v>360.24656555385275</c:v>
                </c:pt>
                <c:pt idx="35">
                  <c:v>364.89414758562458</c:v>
                </c:pt>
                <c:pt idx="36">
                  <c:v>368.03154443317277</c:v>
                </c:pt>
                <c:pt idx="37">
                  <c:v>369.74095216885718</c:v>
                </c:pt>
                <c:pt idx="38">
                  <c:v>370.11291740020835</c:v>
                </c:pt>
                <c:pt idx="39">
                  <c:v>369.2436174026285</c:v>
                </c:pt>
                <c:pt idx="40">
                  <c:v>367.23250551331762</c:v>
                </c:pt>
                <c:pt idx="41">
                  <c:v>364.18030725350872</c:v>
                </c:pt>
                <c:pt idx="42">
                  <c:v>360.18734499473311</c:v>
                </c:pt>
                <c:pt idx="43">
                  <c:v>355.35216422793809</c:v>
                </c:pt>
                <c:pt idx="44">
                  <c:v>349.77043197490144</c:v>
                </c:pt>
                <c:pt idx="45">
                  <c:v>343.5340770459095</c:v>
                </c:pt>
                <c:pt idx="46">
                  <c:v>336.73064224036028</c:v>
                </c:pt>
                <c:pt idx="47">
                  <c:v>329.44281984013531</c:v>
                </c:pt>
                <c:pt idx="48">
                  <c:v>321.74814356862981</c:v>
                </c:pt>
                <c:pt idx="49">
                  <c:v>313.71881235597237</c:v>
                </c:pt>
                <c:pt idx="50">
                  <c:v>305.42162359255929</c:v>
                </c:pt>
                <c:pt idx="51">
                  <c:v>296.91799594219555</c:v>
                </c:pt>
                <c:pt idx="52">
                  <c:v>288.26406413249379</c:v>
                </c:pt>
                <c:pt idx="53">
                  <c:v>279.5108303813081</c:v>
                </c:pt>
                <c:pt idx="54">
                  <c:v>270.70435921349383</c:v>
                </c:pt>
                <c:pt idx="55">
                  <c:v>261.88600434845841</c:v>
                </c:pt>
                <c:pt idx="56">
                  <c:v>253.09265808448691</c:v>
                </c:pt>
                <c:pt idx="57">
                  <c:v>244.35701516857594</c:v>
                </c:pt>
                <c:pt idx="58">
                  <c:v>235.70784452466674</c:v>
                </c:pt>
                <c:pt idx="59">
                  <c:v>227.17026342737802</c:v>
                </c:pt>
                <c:pt idx="60">
                  <c:v>218.76600976392083</c:v>
                </c:pt>
                <c:pt idx="61">
                  <c:v>210.51370893681013</c:v>
                </c:pt>
                <c:pt idx="62">
                  <c:v>202.42913273781241</c:v>
                </c:pt>
                <c:pt idx="63">
                  <c:v>194.52544818305418</c:v>
                </c:pt>
                <c:pt idx="64">
                  <c:v>186.81345485355223</c:v>
                </c:pt>
                <c:pt idx="65">
                  <c:v>179.30180974727409</c:v>
                </c:pt>
                <c:pt idx="66">
                  <c:v>171.99723902989109</c:v>
                </c:pt>
                <c:pt idx="67">
                  <c:v>164.90473638243006</c:v>
                </c:pt>
                <c:pt idx="68">
                  <c:v>158.02774789478755</c:v>
                </c:pt>
                <c:pt idx="69">
                  <c:v>151.36834365331137</c:v>
                </c:pt>
                <c:pt idx="70">
                  <c:v>144.92737632615555</c:v>
                </c:pt>
                <c:pt idx="71">
                  <c:v>138.70462716871182</c:v>
                </c:pt>
                <c:pt idx="72">
                  <c:v>132.69893995914373</c:v>
                </c:pt>
                <c:pt idx="73">
                  <c:v>126.90834343611863</c:v>
                </c:pt>
                <c:pt idx="74">
                  <c:v>121.33016285176737</c:v>
                </c:pt>
                <c:pt idx="75">
                  <c:v>115.96112127656446</c:v>
                </c:pt>
                <c:pt idx="76">
                  <c:v>110.79743130259621</c:v>
                </c:pt>
                <c:pt idx="77">
                  <c:v>105.83487779029717</c:v>
                </c:pt>
                <c:pt idx="78">
                  <c:v>101.06889229367421</c:v>
                </c:pt>
                <c:pt idx="79">
                  <c:v>96.494619782229961</c:v>
                </c:pt>
                <c:pt idx="80">
                  <c:v>92.106978255947666</c:v>
                </c:pt>
                <c:pt idx="81">
                  <c:v>87.900711824207676</c:v>
                </c:pt>
                <c:pt idx="82">
                  <c:v>83.870437791468689</c:v>
                </c:pt>
                <c:pt idx="83">
                  <c:v>80.010688262964109</c:v>
                </c:pt>
                <c:pt idx="84">
                  <c:v>76.315946753210909</c:v>
                </c:pt>
                <c:pt idx="85">
                  <c:v>72.780680249489748</c:v>
                </c:pt>
                <c:pt idx="86">
                  <c:v>69.399367152026116</c:v>
                </c:pt>
                <c:pt idx="87">
                  <c:v>66.16652148283714</c:v>
                </c:pt>
                <c:pt idx="88">
                  <c:v>63.076713726301222</c:v>
                </c:pt>
                <c:pt idx="89">
                  <c:v>60.124588636739162</c:v>
                </c:pt>
                <c:pt idx="90">
                  <c:v>57.304880321775279</c:v>
                </c:pt>
                <c:pt idx="91">
                  <c:v>54.612424885063021</c:v>
                </c:pt>
                <c:pt idx="92">
                  <c:v>52.042170888213342</c:v>
                </c:pt>
                <c:pt idx="93">
                  <c:v>49.589187869425068</c:v>
                </c:pt>
                <c:pt idx="94">
                  <c:v>47.248673135435091</c:v>
                </c:pt>
                <c:pt idx="95">
                  <c:v>45.015957023925182</c:v>
                </c:pt>
                <c:pt idx="96">
                  <c:v>42.886506815423594</c:v>
                </c:pt>
                <c:pt idx="97">
                  <c:v>40.855929456978323</c:v>
                </c:pt>
                <c:pt idx="98">
                  <c:v>38.9199732443888</c:v>
                </c:pt>
                <c:pt idx="99">
                  <c:v>37.074528595510102</c:v>
                </c:pt>
                <c:pt idx="100">
                  <c:v>35.315628034028975</c:v>
                </c:pt>
                <c:pt idx="101">
                  <c:v>33.639445491068045</c:v>
                </c:pt>
                <c:pt idx="102">
                  <c:v>32.042295020968417</c:v>
                </c:pt>
                <c:pt idx="103">
                  <c:v>30.520629017530748</c:v>
                </c:pt>
                <c:pt idx="104">
                  <c:v>29.071036007819071</c:v>
                </c:pt>
                <c:pt idx="105">
                  <c:v>27.690238092281849</c:v>
                </c:pt>
                <c:pt idx="106">
                  <c:v>26.375088092351142</c:v>
                </c:pt>
                <c:pt idx="107">
                  <c:v>25.122566459797465</c:v>
                </c:pt>
                <c:pt idx="108">
                  <c:v>23.929777995882429</c:v>
                </c:pt>
                <c:pt idx="109">
                  <c:v>22.793948422710976</c:v>
                </c:pt>
                <c:pt idx="110">
                  <c:v>21.712420844099263</c:v>
                </c:pt>
                <c:pt idx="111">
                  <c:v>20.682652128681376</c:v>
                </c:pt>
                <c:pt idx="112">
                  <c:v>19.702209243854881</c:v>
                </c:pt>
                <c:pt idx="113">
                  <c:v>18.768765565453251</c:v>
                </c:pt>
                <c:pt idx="114">
                  <c:v>17.880097184707434</c:v>
                </c:pt>
                <c:pt idx="115">
                  <c:v>17.034079231081467</c:v>
                </c:pt>
                <c:pt idx="116">
                  <c:v>16.228682226903018</c:v>
                </c:pt>
                <c:pt idx="117">
                  <c:v>15.461968487336172</c:v>
                </c:pt>
                <c:pt idx="118">
                  <c:v>14.732088577126316</c:v>
                </c:pt>
                <c:pt idx="119">
                  <c:v>14.037277833669815</c:v>
                </c:pt>
                <c:pt idx="120">
                  <c:v>13.375852964292053</c:v>
                </c:pt>
                <c:pt idx="121">
                  <c:v>12.746208724143678</c:v>
                </c:pt>
                <c:pt idx="122">
                  <c:v>12.146814679822256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8F-43A6-8F85-1987D75DEE3E}"/>
            </c:ext>
          </c:extLst>
        </c:ser>
        <c:ser>
          <c:idx val="2"/>
          <c:order val="2"/>
          <c:tx>
            <c:strRef>
              <c:f>'New_deaths - LNorm'!$AB$7</c:f>
              <c:strCache>
                <c:ptCount val="1"/>
                <c:pt idx="0">
                  <c:v>Upper CI__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LNorm'!$AB$8:$AB$130</c:f>
              <c:numCache>
                <c:formatCode>General</c:formatCode>
                <c:ptCount val="123"/>
                <c:pt idx="0">
                  <c:v>71.58803894083843</c:v>
                </c:pt>
                <c:pt idx="1">
                  <c:v>71.588039000238155</c:v>
                </c:pt>
                <c:pt idx="2">
                  <c:v>71.588057539054418</c:v>
                </c:pt>
                <c:pt idx="3">
                  <c:v>71.588696626111599</c:v>
                </c:pt>
                <c:pt idx="4">
                  <c:v>71.595840203478744</c:v>
                </c:pt>
                <c:pt idx="5">
                  <c:v>71.636729294908449</c:v>
                </c:pt>
                <c:pt idx="6">
                  <c:v>71.788510461629912</c:v>
                </c:pt>
                <c:pt idx="7">
                  <c:v>72.206984059369717</c:v>
                </c:pt>
                <c:pt idx="8">
                  <c:v>73.138746484372987</c:v>
                </c:pt>
                <c:pt idx="9">
                  <c:v>74.908083381761159</c:v>
                </c:pt>
                <c:pt idx="10">
                  <c:v>77.88181653447387</c:v>
                </c:pt>
                <c:pt idx="11">
                  <c:v>82.422773330426878</c:v>
                </c:pt>
                <c:pt idx="12">
                  <c:v>88.843783622157162</c:v>
                </c:pt>
                <c:pt idx="13">
                  <c:v>97.371161817210663</c:v>
                </c:pt>
                <c:pt idx="14">
                  <c:v>108.12225205226542</c:v>
                </c:pt>
                <c:pt idx="15">
                  <c:v>121.09769030351835</c:v>
                </c:pt>
                <c:pt idx="16">
                  <c:v>136.18637944184803</c:v>
                </c:pt>
                <c:pt idx="17">
                  <c:v>153.17984528529809</c:v>
                </c:pt>
                <c:pt idx="18">
                  <c:v>171.79234989493074</c:v>
                </c:pt>
                <c:pt idx="19">
                  <c:v>191.68350068962883</c:v>
                </c:pt>
                <c:pt idx="20">
                  <c:v>212.4807776568727</c:v>
                </c:pt>
                <c:pt idx="21">
                  <c:v>233.80016916886063</c:v>
                </c:pt>
                <c:pt idx="22">
                  <c:v>255.26381704169788</c:v>
                </c:pt>
                <c:pt idx="23">
                  <c:v>276.51415412702363</c:v>
                </c:pt>
                <c:pt idx="24">
                  <c:v>297.22445260262964</c:v>
                </c:pt>
                <c:pt idx="25">
                  <c:v>317.10599655922647</c:v>
                </c:pt>
                <c:pt idx="26">
                  <c:v>335.91227064891655</c:v>
                </c:pt>
                <c:pt idx="27">
                  <c:v>353.44064402158131</c:v>
                </c:pt>
                <c:pt idx="28">
                  <c:v>369.53205103846022</c:v>
                </c:pt>
                <c:pt idx="29">
                  <c:v>384.0691491651483</c:v>
                </c:pt>
                <c:pt idx="30">
                  <c:v>396.97338731853876</c:v>
                </c:pt>
                <c:pt idx="31">
                  <c:v>408.20135764993603</c:v>
                </c:pt>
                <c:pt idx="32">
                  <c:v>417.74073931223688</c:v>
                </c:pt>
                <c:pt idx="33">
                  <c:v>425.60608009783266</c:v>
                </c:pt>
                <c:pt idx="34">
                  <c:v>431.83460449469072</c:v>
                </c:pt>
                <c:pt idx="35">
                  <c:v>436.48218652646256</c:v>
                </c:pt>
                <c:pt idx="36">
                  <c:v>439.61958337401074</c:v>
                </c:pt>
                <c:pt idx="37">
                  <c:v>441.32899110969515</c:v>
                </c:pt>
                <c:pt idx="38">
                  <c:v>441.70095634104632</c:v>
                </c:pt>
                <c:pt idx="39">
                  <c:v>440.83165634346648</c:v>
                </c:pt>
                <c:pt idx="40">
                  <c:v>438.82054445415559</c:v>
                </c:pt>
                <c:pt idx="41">
                  <c:v>435.76834619434669</c:v>
                </c:pt>
                <c:pt idx="42">
                  <c:v>431.77538393557109</c:v>
                </c:pt>
                <c:pt idx="43">
                  <c:v>426.94020316877607</c:v>
                </c:pt>
                <c:pt idx="44">
                  <c:v>421.35847091573942</c:v>
                </c:pt>
                <c:pt idx="45">
                  <c:v>415.12211598674747</c:v>
                </c:pt>
                <c:pt idx="46">
                  <c:v>408.31868118119826</c:v>
                </c:pt>
                <c:pt idx="47">
                  <c:v>401.03085878097329</c:v>
                </c:pt>
                <c:pt idx="48">
                  <c:v>393.33618250946779</c:v>
                </c:pt>
                <c:pt idx="49">
                  <c:v>385.30685129681035</c:v>
                </c:pt>
                <c:pt idx="50">
                  <c:v>377.00966253339726</c:v>
                </c:pt>
                <c:pt idx="51">
                  <c:v>368.50603488303352</c:v>
                </c:pt>
                <c:pt idx="52">
                  <c:v>359.85210307333176</c:v>
                </c:pt>
                <c:pt idx="53">
                  <c:v>351.09886932214607</c:v>
                </c:pt>
                <c:pt idx="54">
                  <c:v>342.29239815433181</c:v>
                </c:pt>
                <c:pt idx="55">
                  <c:v>333.47404328929639</c:v>
                </c:pt>
                <c:pt idx="56">
                  <c:v>324.68069702532489</c:v>
                </c:pt>
                <c:pt idx="57">
                  <c:v>315.94505410941395</c:v>
                </c:pt>
                <c:pt idx="58">
                  <c:v>307.29588346550474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8F-43A6-8F85-1987D75DEE3E}"/>
            </c:ext>
          </c:extLst>
        </c:ser>
        <c:ser>
          <c:idx val="3"/>
          <c:order val="3"/>
          <c:tx>
            <c:strRef>
              <c:f>'New_deaths - LNorm'!$AC$7</c:f>
              <c:strCache>
                <c:ptCount val="1"/>
                <c:pt idx="0">
                  <c:v>Lower CI__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LNorm'!$AC$8:$AC$130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10.003767403622135</c:v>
                </c:pt>
                <c:pt idx="18">
                  <c:v>28.6162720132548</c:v>
                </c:pt>
                <c:pt idx="19">
                  <c:v>48.507422807952892</c:v>
                </c:pt>
                <c:pt idx="20">
                  <c:v>69.304699775196752</c:v>
                </c:pt>
                <c:pt idx="21">
                  <c:v>90.624091287184683</c:v>
                </c:pt>
                <c:pt idx="22">
                  <c:v>112.08773916002193</c:v>
                </c:pt>
                <c:pt idx="23">
                  <c:v>133.33807624534765</c:v>
                </c:pt>
                <c:pt idx="24">
                  <c:v>154.04837472095369</c:v>
                </c:pt>
                <c:pt idx="25">
                  <c:v>173.92991867755049</c:v>
                </c:pt>
                <c:pt idx="26">
                  <c:v>192.7361927672406</c:v>
                </c:pt>
                <c:pt idx="27">
                  <c:v>210.26456613990536</c:v>
                </c:pt>
                <c:pt idx="28">
                  <c:v>226.35597315678427</c:v>
                </c:pt>
                <c:pt idx="29">
                  <c:v>240.89307128347235</c:v>
                </c:pt>
                <c:pt idx="30">
                  <c:v>253.7973094368628</c:v>
                </c:pt>
                <c:pt idx="31">
                  <c:v>265.02527976826008</c:v>
                </c:pt>
                <c:pt idx="32">
                  <c:v>274.56466143056093</c:v>
                </c:pt>
                <c:pt idx="33">
                  <c:v>282.43000221615671</c:v>
                </c:pt>
                <c:pt idx="34">
                  <c:v>288.65852661301477</c:v>
                </c:pt>
                <c:pt idx="35">
                  <c:v>293.3061086447866</c:v>
                </c:pt>
                <c:pt idx="36">
                  <c:v>296.44350549233479</c:v>
                </c:pt>
                <c:pt idx="37">
                  <c:v>298.1529132280192</c:v>
                </c:pt>
                <c:pt idx="38">
                  <c:v>298.52487845937037</c:v>
                </c:pt>
                <c:pt idx="39">
                  <c:v>297.65557846179053</c:v>
                </c:pt>
                <c:pt idx="40">
                  <c:v>295.64446657247964</c:v>
                </c:pt>
                <c:pt idx="41">
                  <c:v>292.59226831267074</c:v>
                </c:pt>
                <c:pt idx="42">
                  <c:v>288.59930605389513</c:v>
                </c:pt>
                <c:pt idx="43">
                  <c:v>283.76412528710011</c:v>
                </c:pt>
                <c:pt idx="44">
                  <c:v>278.18239303406347</c:v>
                </c:pt>
                <c:pt idx="45">
                  <c:v>271.94603810507152</c:v>
                </c:pt>
                <c:pt idx="46">
                  <c:v>265.14260329952231</c:v>
                </c:pt>
                <c:pt idx="47">
                  <c:v>257.85478089929734</c:v>
                </c:pt>
                <c:pt idx="48">
                  <c:v>250.16010462779184</c:v>
                </c:pt>
                <c:pt idx="49">
                  <c:v>242.1307734151344</c:v>
                </c:pt>
                <c:pt idx="50">
                  <c:v>233.83358465172131</c:v>
                </c:pt>
                <c:pt idx="51">
                  <c:v>225.32995700135757</c:v>
                </c:pt>
                <c:pt idx="52">
                  <c:v>216.67602519165581</c:v>
                </c:pt>
                <c:pt idx="53">
                  <c:v>207.92279144047012</c:v>
                </c:pt>
                <c:pt idx="54">
                  <c:v>199.11632027265586</c:v>
                </c:pt>
                <c:pt idx="55">
                  <c:v>190.29796540762044</c:v>
                </c:pt>
                <c:pt idx="56">
                  <c:v>181.50461914364894</c:v>
                </c:pt>
                <c:pt idx="57">
                  <c:v>172.76897622773797</c:v>
                </c:pt>
                <c:pt idx="58">
                  <c:v>164.11980558382876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8F-43A6-8F85-1987D75DE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kern="1200" baseline="0">
                    <a:solidFill>
                      <a:srgbClr val="595959"/>
                    </a:solidFill>
                    <a:effectLst/>
                  </a:rPr>
                  <a:t>Days from 24-feb (Day1)</a:t>
                </a:r>
                <a:endParaRPr lang="it-IT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70C0"/>
                </a:solidFill>
              </a:rPr>
              <a:t>Italy - </a:t>
            </a:r>
            <a:r>
              <a:rPr lang="it-IT" sz="1400" b="0" i="0" u="none" strike="noStrike" baseline="0">
                <a:solidFill>
                  <a:srgbClr val="0070C0"/>
                </a:solidFill>
                <a:effectLst/>
              </a:rPr>
              <a:t>Accumulative deaths - Lognormal model</a:t>
            </a:r>
            <a:endParaRPr lang="it-IT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LNorm'!$D$7</c:f>
              <c:strCache>
                <c:ptCount val="1"/>
                <c:pt idx="0">
                  <c:v>Italy cumul.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LNorm'!$D$8:$D$130</c:f>
              <c:numCache>
                <c:formatCode>General</c:formatCode>
                <c:ptCount val="123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9-4763-8D31-F39940B2B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LNorm'!$G$7</c:f>
              <c:strCache>
                <c:ptCount val="1"/>
                <c:pt idx="0">
                  <c:v>Italy cumul.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LNorm'!$G$8:$G$130</c:f>
              <c:numCache>
                <c:formatCode>0.0000000000</c:formatCode>
                <c:ptCount val="123"/>
                <c:pt idx="0">
                  <c:v>6.7149122256497869E-21</c:v>
                </c:pt>
                <c:pt idx="1">
                  <c:v>8.5224305877687446E-13</c:v>
                </c:pt>
                <c:pt idx="2">
                  <c:v>7.8596021605024495E-9</c:v>
                </c:pt>
                <c:pt idx="3">
                  <c:v>2.3063039333087973E-6</c:v>
                </c:pt>
                <c:pt idx="4">
                  <c:v>1.2027748832253984E-4</c:v>
                </c:pt>
                <c:pt idx="5">
                  <c:v>2.2714672017694511E-3</c:v>
                </c:pt>
                <c:pt idx="6">
                  <c:v>2.2211162979490599E-2</c:v>
                </c:pt>
                <c:pt idx="7">
                  <c:v>0.13772771402073292</c:v>
                </c:pt>
                <c:pt idx="8">
                  <c:v>0.61364003481157581</c:v>
                </c:pt>
                <c:pt idx="9">
                  <c:v>2.1320480484178956</c:v>
                </c:pt>
                <c:pt idx="10">
                  <c:v>6.1105988386481052</c:v>
                </c:pt>
                <c:pt idx="11">
                  <c:v>15.037516169387148</c:v>
                </c:pt>
                <c:pt idx="12">
                  <c:v>32.723583839783821</c:v>
                </c:pt>
                <c:pt idx="13">
                  <c:v>64.383304984168021</c:v>
                </c:pt>
                <c:pt idx="14">
                  <c:v>116.50098376776548</c:v>
                </c:pt>
                <c:pt idx="15">
                  <c:v>196.49107565085549</c:v>
                </c:pt>
                <c:pt idx="16">
                  <c:v>312.20618413893664</c:v>
                </c:pt>
                <c:pt idx="17">
                  <c:v>471.37007458393191</c:v>
                </c:pt>
                <c:pt idx="18">
                  <c:v>681.01604800161465</c:v>
                </c:pt>
                <c:pt idx="19">
                  <c:v>946.99808315178439</c:v>
                </c:pt>
                <c:pt idx="20">
                  <c:v>1273.6205973441831</c:v>
                </c:pt>
                <c:pt idx="21">
                  <c:v>1663.4091492629568</c:v>
                </c:pt>
                <c:pt idx="22">
                  <c:v>2117.0235887570384</c:v>
                </c:pt>
                <c:pt idx="23">
                  <c:v>2633.2995268948448</c:v>
                </c:pt>
                <c:pt idx="24">
                  <c:v>3209.3942287112754</c:v>
                </c:pt>
                <c:pt idx="25">
                  <c:v>3841.0086018173238</c:v>
                </c:pt>
                <c:pt idx="26">
                  <c:v>4522.6567315189286</c:v>
                </c:pt>
                <c:pt idx="27">
                  <c:v>5247.95708245478</c:v>
                </c:pt>
                <c:pt idx="28">
                  <c:v>6009.9238275309008</c:v>
                </c:pt>
                <c:pt idx="29">
                  <c:v>6801.2417890732377</c:v>
                </c:pt>
                <c:pt idx="30">
                  <c:v>7614.5134707144825</c:v>
                </c:pt>
                <c:pt idx="31">
                  <c:v>8442.4711650988538</c:v>
                </c:pt>
                <c:pt idx="32">
                  <c:v>9278.1508976332971</c:v>
                </c:pt>
                <c:pt idx="33">
                  <c:v>10115.02792379468</c:v>
                </c:pt>
                <c:pt idx="34">
                  <c:v>10947.115657213044</c:v>
                </c:pt>
                <c:pt idx="35">
                  <c:v>11769.031352226537</c:v>
                </c:pt>
                <c:pt idx="36">
                  <c:v>12576.032713781846</c:v>
                </c:pt>
                <c:pt idx="37">
                  <c:v>13364.029984288829</c:v>
                </c:pt>
                <c:pt idx="38">
                  <c:v>14129.578080590658</c:v>
                </c:pt>
                <c:pt idx="39">
                  <c:v>14869.853130067524</c:v>
                </c:pt>
                <c:pt idx="40">
                  <c:v>15582.617371083983</c:v>
                </c:pt>
                <c:pt idx="41">
                  <c:v>16266.175909430931</c:v>
                </c:pt>
                <c:pt idx="42">
                  <c:v>16919.328312058449</c:v>
                </c:pt>
                <c:pt idx="43">
                  <c:v>17541.317510371748</c:v>
                </c:pt>
                <c:pt idx="44">
                  <c:v>18131.778003482588</c:v>
                </c:pt>
                <c:pt idx="45">
                  <c:v>18690.684913094963</c:v>
                </c:pt>
                <c:pt idx="46">
                  <c:v>19218.305054705084</c:v>
                </c:pt>
                <c:pt idx="47">
                  <c:v>19715.150857592751</c:v>
                </c:pt>
                <c:pt idx="48">
                  <c:v>20181.93768793613</c:v>
                </c:pt>
                <c:pt idx="49">
                  <c:v>20619.544902063069</c:v>
                </c:pt>
                <c:pt idx="50">
                  <c:v>21028.980775629043</c:v>
                </c:pt>
                <c:pt idx="51">
                  <c:v>21411.351313916479</c:v>
                </c:pt>
                <c:pt idx="52">
                  <c:v>21767.832842793458</c:v>
                </c:pt>
                <c:pt idx="53">
                  <c:v>22099.648203612731</c:v>
                </c:pt>
                <c:pt idx="54">
                  <c:v>22408.04632330544</c:v>
                </c:pt>
                <c:pt idx="55">
                  <c:v>22694.28489846551</c:v>
                </c:pt>
                <c:pt idx="56">
                  <c:v>22959.615915228875</c:v>
                </c:pt>
                <c:pt idx="57">
                  <c:v>23205.273721700763</c:v>
                </c:pt>
                <c:pt idx="58">
                  <c:v>23432.465373599523</c:v>
                </c:pt>
                <c:pt idx="59">
                  <c:v>23642.362984203788</c:v>
                </c:pt>
                <c:pt idx="60">
                  <c:v>23836.097824605622</c:v>
                </c:pt>
                <c:pt idx="61">
                  <c:v>24014.755938081678</c:v>
                </c:pt>
                <c:pt idx="62">
                  <c:v>24179.375051840354</c:v>
                </c:pt>
                <c:pt idx="63">
                  <c:v>24330.942589516031</c:v>
                </c:pt>
                <c:pt idx="64">
                  <c:v>24470.394607838731</c:v>
                </c:pt>
                <c:pt idx="65">
                  <c:v>24598.61550038015</c:v>
                </c:pt>
                <c:pt idx="66">
                  <c:v>24716.438329798169</c:v>
                </c:pt>
                <c:pt idx="67">
                  <c:v>24824.645667329863</c:v>
                </c:pt>
                <c:pt idx="68">
                  <c:v>24923.970834275813</c:v>
                </c:pt>
                <c:pt idx="69">
                  <c:v>25015.099454808984</c:v>
                </c:pt>
                <c:pt idx="70">
                  <c:v>25098.671242619148</c:v>
                </c:pt>
                <c:pt idx="71">
                  <c:v>25175.281955700331</c:v>
                </c:pt>
                <c:pt idx="72">
                  <c:v>25245.485464062989</c:v>
                </c:pt>
                <c:pt idx="73">
                  <c:v>25309.795884384141</c:v>
                </c:pt>
                <c:pt idx="74">
                  <c:v>25368.689743687883</c:v>
                </c:pt>
                <c:pt idx="75">
                  <c:v>25422.608141172062</c:v>
                </c:pt>
                <c:pt idx="76">
                  <c:v>25471.95888336256</c:v>
                </c:pt>
                <c:pt idx="77">
                  <c:v>25517.118572981355</c:v>
                </c:pt>
                <c:pt idx="78">
                  <c:v>25558.434636351041</c:v>
                </c:pt>
                <c:pt idx="79">
                  <c:v>25596.227277914542</c:v>
                </c:pt>
                <c:pt idx="80">
                  <c:v>25630.791353606222</c:v>
                </c:pt>
                <c:pt idx="81">
                  <c:v>25662.398157444073</c:v>
                </c:pt>
                <c:pt idx="82">
                  <c:v>25691.297117891081</c:v>
                </c:pt>
                <c:pt idx="83">
                  <c:v>25717.717402317983</c:v>
                </c:pt>
                <c:pt idx="84">
                  <c:v>25741.869429345697</c:v>
                </c:pt>
                <c:pt idx="85">
                  <c:v>25763.946290001615</c:v>
                </c:pt>
                <c:pt idx="86">
                  <c:v>25784.125079533951</c:v>
                </c:pt>
                <c:pt idx="87">
                  <c:v>25802.568142429911</c:v>
                </c:pt>
                <c:pt idx="88">
                  <c:v>25819.4242337102</c:v>
                </c:pt>
                <c:pt idx="89">
                  <c:v>25834.829599952984</c:v>
                </c:pt>
                <c:pt idx="90">
                  <c:v>25848.908983760033</c:v>
                </c:pt>
                <c:pt idx="91">
                  <c:v>25861.776555537897</c:v>
                </c:pt>
                <c:pt idx="92">
                  <c:v>25873.536776546018</c:v>
                </c:pt>
                <c:pt idx="93">
                  <c:v>25884.285197177374</c:v>
                </c:pt>
                <c:pt idx="94">
                  <c:v>25894.10919439916</c:v>
                </c:pt>
                <c:pt idx="95">
                  <c:v>25903.088652201975</c:v>
                </c:pt>
                <c:pt idx="96">
                  <c:v>25911.29658879598</c:v>
                </c:pt>
                <c:pt idx="97">
                  <c:v>25918.799734159093</c:v>
                </c:pt>
                <c:pt idx="98">
                  <c:v>25925.65906139206</c:v>
                </c:pt>
                <c:pt idx="99">
                  <c:v>25931.930275173927</c:v>
                </c:pt>
                <c:pt idx="100">
                  <c:v>25937.664260442871</c:v>
                </c:pt>
                <c:pt idx="101">
                  <c:v>25942.907494255873</c:v>
                </c:pt>
                <c:pt idx="102">
                  <c:v>25947.702423608338</c:v>
                </c:pt>
                <c:pt idx="103">
                  <c:v>25952.087811824626</c:v>
                </c:pt>
                <c:pt idx="104">
                  <c:v>25956.099055963587</c:v>
                </c:pt>
                <c:pt idx="105">
                  <c:v>25959.768477521426</c:v>
                </c:pt>
                <c:pt idx="106">
                  <c:v>25963.125588558338</c:v>
                </c:pt>
                <c:pt idx="107">
                  <c:v>25966.197335226083</c:v>
                </c:pt>
                <c:pt idx="108">
                  <c:v>25969.008320531579</c:v>
                </c:pt>
                <c:pt idx="109">
                  <c:v>25971.581008036828</c:v>
                </c:pt>
                <c:pt idx="110">
                  <c:v>25973.935908068263</c:v>
                </c:pt>
                <c:pt idx="111">
                  <c:v>25976.091747888935</c:v>
                </c:pt>
                <c:pt idx="112">
                  <c:v>25978.065627174688</c:v>
                </c:pt>
                <c:pt idx="113">
                  <c:v>25979.873160030442</c:v>
                </c:pt>
                <c:pt idx="114">
                  <c:v>25981.528604684747</c:v>
                </c:pt>
                <c:pt idx="115">
                  <c:v>25983.044981909541</c:v>
                </c:pt>
                <c:pt idx="116">
                  <c:v>25984.43418312732</c:v>
                </c:pt>
                <c:pt idx="117">
                  <c:v>25985.707069089291</c:v>
                </c:pt>
                <c:pt idx="118">
                  <c:v>25986.873559935331</c:v>
                </c:pt>
                <c:pt idx="119">
                  <c:v>25987.942717379297</c:v>
                </c:pt>
                <c:pt idx="120">
                  <c:v>25988.922819701056</c:v>
                </c:pt>
                <c:pt idx="121">
                  <c:v>25989.821430169381</c:v>
                </c:pt>
                <c:pt idx="122">
                  <c:v>25990.645459467025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29-4763-8D31-F39940B2BA58}"/>
            </c:ext>
          </c:extLst>
        </c:ser>
        <c:ser>
          <c:idx val="2"/>
          <c:order val="2"/>
          <c:tx>
            <c:strRef>
              <c:f>'Cumul_deaths - LNorm'!$F$7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LNorm'!$F$8:$F$130</c:f>
              <c:numCache>
                <c:formatCode>0</c:formatCode>
                <c:ptCount val="123"/>
                <c:pt idx="0">
                  <c:v>1.0135514969490604E-13</c:v>
                </c:pt>
                <c:pt idx="1">
                  <c:v>3.689391675968718E-8</c:v>
                </c:pt>
                <c:pt idx="2">
                  <c:v>2.0071207786278826E-5</c:v>
                </c:pt>
                <c:pt idx="3">
                  <c:v>1.0302261088555205E-3</c:v>
                </c:pt>
                <c:pt idx="4">
                  <c:v>1.6166148346495931E-2</c:v>
                </c:pt>
                <c:pt idx="5">
                  <c:v>0.12623810839000993</c:v>
                </c:pt>
                <c:pt idx="6">
                  <c:v>0.62677989531230527</c:v>
                </c:pt>
                <c:pt idx="7">
                  <c:v>2.2739556601138009</c:v>
                </c:pt>
                <c:pt idx="8">
                  <c:v>6.5681925480813312</c:v>
                </c:pt>
                <c:pt idx="9">
                  <c:v>15.978410844137995</c:v>
                </c:pt>
                <c:pt idx="10">
                  <c:v>34.02757240234429</c:v>
                </c:pt>
                <c:pt idx="11">
                  <c:v>65.209456179010232</c:v>
                </c:pt>
                <c:pt idx="12">
                  <c:v>114.75572462182677</c:v>
                </c:pt>
                <c:pt idx="13">
                  <c:v>188.30328464344069</c:v>
                </c:pt>
                <c:pt idx="14">
                  <c:v>291.52158554672411</c:v>
                </c:pt>
                <c:pt idx="15">
                  <c:v>429.75326680335377</c:v>
                </c:pt>
                <c:pt idx="16">
                  <c:v>607.70706805816144</c:v>
                </c:pt>
                <c:pt idx="17">
                  <c:v>829.225416533268</c:v>
                </c:pt>
                <c:pt idx="18">
                  <c:v>1097.1345062869984</c:v>
                </c:pt>
                <c:pt idx="19">
                  <c:v>1413.1737318388969</c:v>
                </c:pt>
                <c:pt idx="20">
                  <c:v>1777.9943242662962</c:v>
                </c:pt>
                <c:pt idx="21">
                  <c:v>2191.2134485718179</c:v>
                </c:pt>
                <c:pt idx="22">
                  <c:v>2651.5090280962031</c:v>
                </c:pt>
                <c:pt idx="23">
                  <c:v>3156.7413138354891</c:v>
                </c:pt>
                <c:pt idx="24">
                  <c:v>3704.0889864422638</c:v>
                </c:pt>
                <c:pt idx="25">
                  <c:v>4290.1898135192469</c:v>
                </c:pt>
                <c:pt idx="26">
                  <c:v>4911.278203034014</c:v>
                </c:pt>
                <c:pt idx="27">
                  <c:v>5563.3141578048007</c:v>
                </c:pt>
                <c:pt idx="28">
                  <c:v>6242.1000179830216</c:v>
                </c:pt>
                <c:pt idx="29">
                  <c:v>6943.3829269473954</c:v>
                </c:pt>
                <c:pt idx="30">
                  <c:v>7662.9421692897095</c:v>
                </c:pt>
                <c:pt idx="31">
                  <c:v>8396.661434931224</c:v>
                </c:pt>
                <c:pt idx="32">
                  <c:v>9140.586702694698</c:v>
                </c:pt>
                <c:pt idx="33">
                  <c:v>9890.970856575168</c:v>
                </c:pt>
                <c:pt idx="34">
                  <c:v>10644.306394155694</c:v>
                </c:pt>
                <c:pt idx="35">
                  <c:v>11397.347700408096</c:v>
                </c:pt>
                <c:pt idx="36">
                  <c:v>12147.124376955102</c:v>
                </c:pt>
                <c:pt idx="37">
                  <c:v>12890.947065968234</c:v>
                </c:pt>
                <c:pt idx="38">
                  <c:v>13626.407112505894</c:v>
                </c:pt>
                <c:pt idx="39">
                  <c:v>14351.371287224316</c:v>
                </c:pt>
                <c:pt idx="40">
                  <c:v>15063.972656458551</c:v>
                </c:pt>
                <c:pt idx="41">
                  <c:v>15762.598548387701</c:v>
                </c:pt>
                <c:pt idx="42">
                  <c:v>16445.876429108543</c:v>
                </c:pt>
                <c:pt idx="43">
                  <c:v>17112.65837536973</c:v>
                </c:pt>
                <c:pt idx="44">
                  <c:v>17762.004714135182</c:v>
                </c:pt>
                <c:pt idx="45">
                  <c:v>18393.16729442239</c:v>
                </c:pt>
                <c:pt idx="46">
                  <c:v>19005.572764443521</c:v>
                </c:pt>
                <c:pt idx="47">
                  <c:v>19598.806146766547</c:v>
                </c:pt>
                <c:pt idx="48">
                  <c:v>20172.594935390069</c:v>
                </c:pt>
                <c:pt idx="49">
                  <c:v>20726.793880414225</c:v>
                </c:pt>
                <c:pt idx="50">
                  <c:v>21261.370577375557</c:v>
                </c:pt>
                <c:pt idx="51">
                  <c:v>21776.391938236928</c:v>
                </c:pt>
                <c:pt idx="52">
                  <c:v>22272.011588425979</c:v>
                </c:pt>
                <c:pt idx="53">
                  <c:v>22748.458208194224</c:v>
                </c:pt>
                <c:pt idx="54">
                  <c:v>23206.024815986355</c:v>
                </c:pt>
                <c:pt idx="55">
                  <c:v>23645.058975616743</c:v>
                </c:pt>
                <c:pt idx="56">
                  <c:v>24065.953897086321</c:v>
                </c:pt>
                <c:pt idx="57">
                  <c:v>24469.140392167643</c:v>
                </c:pt>
                <c:pt idx="58">
                  <c:v>24855.079639854215</c:v>
                </c:pt>
                <c:pt idx="59">
                  <c:v>25224.256712908762</c:v>
                </c:pt>
                <c:pt idx="60">
                  <c:v>25577.174814623097</c:v>
                </c:pt>
                <c:pt idx="61">
                  <c:v>25914.35017415465</c:v>
                </c:pt>
                <c:pt idx="62">
                  <c:v>26236.307549127567</c:v>
                </c:pt>
                <c:pt idx="63">
                  <c:v>26543.57628532243</c:v>
                </c:pt>
                <c:pt idx="64">
                  <c:v>26836.686885019892</c:v>
                </c:pt>
                <c:pt idx="65">
                  <c:v>27116.168037737014</c:v>
                </c:pt>
                <c:pt idx="66">
                  <c:v>27382.544069561569</c:v>
                </c:pt>
                <c:pt idx="67">
                  <c:v>27636.332769937078</c:v>
                </c:pt>
                <c:pt idx="68">
                  <c:v>27878.043557491837</c:v>
                </c:pt>
                <c:pt idx="69">
                  <c:v>28108.175949268552</c:v>
                </c:pt>
                <c:pt idx="70">
                  <c:v>28327.218300444489</c:v>
                </c:pt>
                <c:pt idx="71">
                  <c:v>28535.646784295714</c:v>
                </c:pt>
                <c:pt idx="72">
                  <c:v>28733.924584722477</c:v>
                </c:pt>
                <c:pt idx="73">
                  <c:v>28922.5012760969</c:v>
                </c:pt>
                <c:pt idx="74">
                  <c:v>29101.812367503851</c:v>
                </c:pt>
                <c:pt idx="75">
                  <c:v>29272.278990614919</c:v>
                </c:pt>
                <c:pt idx="76">
                  <c:v>29434.307712457554</c:v>
                </c:pt>
                <c:pt idx="77">
                  <c:v>29588.290456219896</c:v>
                </c:pt>
                <c:pt idx="78">
                  <c:v>29734.604514965104</c:v>
                </c:pt>
                <c:pt idx="79">
                  <c:v>29873.612644724351</c:v>
                </c:pt>
                <c:pt idx="80">
                  <c:v>30005.663224899225</c:v>
                </c:pt>
                <c:pt idx="81">
                  <c:v>30131.09047523859</c:v>
                </c:pt>
                <c:pt idx="82">
                  <c:v>30250.214719869989</c:v>
                </c:pt>
                <c:pt idx="83">
                  <c:v>30363.342689967911</c:v>
                </c:pt>
                <c:pt idx="84">
                  <c:v>30470.767857639323</c:v>
                </c:pt>
                <c:pt idx="85">
                  <c:v>30572.7707945072</c:v>
                </c:pt>
                <c:pt idx="86">
                  <c:v>30669.619549284485</c:v>
                </c:pt>
                <c:pt idx="87">
                  <c:v>30761.570039358587</c:v>
                </c:pt>
                <c:pt idx="88">
                  <c:v>30848.866452060473</c:v>
                </c:pt>
                <c:pt idx="89">
                  <c:v>30931.741651875556</c:v>
                </c:pt>
                <c:pt idx="90">
                  <c:v>31010.417590374731</c:v>
                </c:pt>
                <c:pt idx="91">
                  <c:v>31085.105716107777</c:v>
                </c:pt>
                <c:pt idx="92">
                  <c:v>31156.007382112766</c:v>
                </c:pt>
                <c:pt idx="93">
                  <c:v>31223.314249060473</c:v>
                </c:pt>
                <c:pt idx="94">
                  <c:v>31287.208682374861</c:v>
                </c:pt>
                <c:pt idx="95">
                  <c:v>31347.864141955481</c:v>
                </c:pt>
                <c:pt idx="96">
                  <c:v>31405.4455633777</c:v>
                </c:pt>
                <c:pt idx="97">
                  <c:v>31460.109729665754</c:v>
                </c:pt>
                <c:pt idx="98">
                  <c:v>31512.00563292599</c:v>
                </c:pt>
                <c:pt idx="99">
                  <c:v>31561.274825294357</c:v>
                </c:pt>
                <c:pt idx="100">
                  <c:v>31608.051758797756</c:v>
                </c:pt>
                <c:pt idx="101">
                  <c:v>31652.464113854592</c:v>
                </c:pt>
                <c:pt idx="102">
                  <c:v>31694.633116247925</c:v>
                </c:pt>
                <c:pt idx="103">
                  <c:v>31734.673842497701</c:v>
                </c:pt>
                <c:pt idx="104">
                  <c:v>31772.6955136377</c:v>
                </c:pt>
                <c:pt idx="105">
                  <c:v>31808.801777469991</c:v>
                </c:pt>
                <c:pt idx="106">
                  <c:v>31843.090979425906</c:v>
                </c:pt>
                <c:pt idx="107">
                  <c:v>31875.656422210115</c:v>
                </c:pt>
                <c:pt idx="108">
                  <c:v>31906.586614442618</c:v>
                </c:pt>
                <c:pt idx="109">
                  <c:v>31935.96550854564</c:v>
                </c:pt>
                <c:pt idx="110">
                  <c:v>31963.87272814734</c:v>
                </c:pt>
                <c:pt idx="111">
                  <c:v>31990.383785294234</c:v>
                </c:pt>
                <c:pt idx="112">
                  <c:v>32015.570287779217</c:v>
                </c:pt>
                <c:pt idx="113">
                  <c:v>32039.500136902992</c:v>
                </c:pt>
                <c:pt idx="114">
                  <c:v>32062.237715993979</c:v>
                </c:pt>
                <c:pt idx="115">
                  <c:v>32083.84407001613</c:v>
                </c:pt>
                <c:pt idx="116">
                  <c:v>32104.377076595625</c:v>
                </c:pt>
                <c:pt idx="117">
                  <c:v>32123.891608796963</c:v>
                </c:pt>
                <c:pt idx="118">
                  <c:v>32142.439689976352</c:v>
                </c:pt>
                <c:pt idx="119">
                  <c:v>32160.070641036466</c:v>
                </c:pt>
                <c:pt idx="120">
                  <c:v>32176.831220401098</c:v>
                </c:pt>
                <c:pt idx="121">
                  <c:v>32192.765757021945</c:v>
                </c:pt>
                <c:pt idx="122">
                  <c:v>32207.916276722484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89-485B-94E8-12F79C292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FF0000"/>
                </a:solidFill>
              </a:rPr>
              <a:t>Lombardy - </a:t>
            </a:r>
            <a:r>
              <a:rPr lang="it-IT" sz="1400" b="0" i="0" u="none" strike="noStrike" baseline="0">
                <a:solidFill>
                  <a:srgbClr val="FF0000"/>
                </a:solidFill>
                <a:effectLst/>
              </a:rPr>
              <a:t>Accumulative deaths - Lognormal model</a:t>
            </a:r>
            <a:endParaRPr lang="it-IT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LNorm'!$N$7</c:f>
              <c:strCache>
                <c:ptCount val="1"/>
                <c:pt idx="0">
                  <c:v>Lombardy cumul.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LNorm'!$N$8:$N$130</c:f>
              <c:numCache>
                <c:formatCode>General</c:formatCode>
                <c:ptCount val="123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  <c:pt idx="50">
                  <c:v>11142</c:v>
                </c:pt>
                <c:pt idx="51">
                  <c:v>11377</c:v>
                </c:pt>
                <c:pt idx="52">
                  <c:v>11608</c:v>
                </c:pt>
                <c:pt idx="53">
                  <c:v>11851</c:v>
                </c:pt>
                <c:pt idx="54">
                  <c:v>12050</c:v>
                </c:pt>
                <c:pt idx="55">
                  <c:v>12213</c:v>
                </c:pt>
                <c:pt idx="56">
                  <c:v>12376</c:v>
                </c:pt>
                <c:pt idx="57">
                  <c:v>12579</c:v>
                </c:pt>
                <c:pt idx="58">
                  <c:v>12740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A-4D14-A7E2-A9B0B7DCB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LNorm'!$Q$7</c:f>
              <c:strCache>
                <c:ptCount val="1"/>
                <c:pt idx="0">
                  <c:v>Lombardy cumul.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LNorm'!$Q$8:$Q$130</c:f>
              <c:numCache>
                <c:formatCode>0</c:formatCode>
                <c:ptCount val="123"/>
                <c:pt idx="0">
                  <c:v>7.8580894067903539E-14</c:v>
                </c:pt>
                <c:pt idx="1">
                  <c:v>2.9701756303691575E-8</c:v>
                </c:pt>
                <c:pt idx="2">
                  <c:v>1.6217695201610483E-5</c:v>
                </c:pt>
                <c:pt idx="3">
                  <c:v>8.2847043199092414E-4</c:v>
                </c:pt>
                <c:pt idx="4">
                  <c:v>1.2895991913804881E-2</c:v>
                </c:pt>
                <c:pt idx="5">
                  <c:v>9.9738561521447222E-2</c:v>
                </c:pt>
                <c:pt idx="6">
                  <c:v>0.49006299816223559</c:v>
                </c:pt>
                <c:pt idx="7">
                  <c:v>1.7586605481015192</c:v>
                </c:pt>
                <c:pt idx="8">
                  <c:v>5.0233830678144296</c:v>
                </c:pt>
                <c:pt idx="9">
                  <c:v>12.082996983046794</c:v>
                </c:pt>
                <c:pt idx="10">
                  <c:v>25.441162838426159</c:v>
                </c:pt>
                <c:pt idx="11">
                  <c:v>48.203510219797678</c:v>
                </c:pt>
                <c:pt idx="12">
                  <c:v>83.872181073891952</c:v>
                </c:pt>
                <c:pt idx="13">
                  <c:v>136.08249590093126</c:v>
                </c:pt>
                <c:pt idx="14">
                  <c:v>208.3292450687064</c:v>
                </c:pt>
                <c:pt idx="15">
                  <c:v>303.72134856665798</c:v>
                </c:pt>
                <c:pt idx="16">
                  <c:v>424.78991839519915</c:v>
                </c:pt>
                <c:pt idx="17">
                  <c:v>573.36103008558632</c:v>
                </c:pt>
                <c:pt idx="18">
                  <c:v>750.49345734159601</c:v>
                </c:pt>
                <c:pt idx="19">
                  <c:v>956.47415376469405</c:v>
                </c:pt>
                <c:pt idx="20">
                  <c:v>1190.8601861559616</c:v>
                </c:pt>
                <c:pt idx="21">
                  <c:v>1452.5544279828835</c:v>
                </c:pt>
                <c:pt idx="22">
                  <c:v>1739.9027743389897</c:v>
                </c:pt>
                <c:pt idx="23">
                  <c:v>2050.8021878002378</c:v>
                </c:pt>
                <c:pt idx="24">
                  <c:v>2382.8109415010099</c:v>
                </c:pt>
                <c:pt idx="25">
                  <c:v>2733.25458387873</c:v>
                </c:pt>
                <c:pt idx="26">
                  <c:v>3099.3231563953636</c:v>
                </c:pt>
                <c:pt idx="27">
                  <c:v>3478.1569177160136</c:v>
                </c:pt>
                <c:pt idx="28">
                  <c:v>3866.9192149868513</c:v>
                </c:pt>
                <c:pt idx="29">
                  <c:v>4262.8561975774501</c:v>
                </c:pt>
                <c:pt idx="30">
                  <c:v>4663.343823509942</c:v>
                </c:pt>
                <c:pt idx="31">
                  <c:v>5065.9231103604361</c:v>
                </c:pt>
                <c:pt idx="32">
                  <c:v>5468.3248808817289</c:v>
                </c:pt>
                <c:pt idx="33">
                  <c:v>5868.4853966238779</c:v>
                </c:pt>
                <c:pt idx="34">
                  <c:v>6264.554302356757</c:v>
                </c:pt>
                <c:pt idx="35">
                  <c:v>6654.896255074249</c:v>
                </c:pt>
                <c:pt idx="36">
                  <c:v>7038.0875116700663</c:v>
                </c:pt>
                <c:pt idx="37">
                  <c:v>7412.9086204317928</c:v>
                </c:pt>
                <c:pt idx="38">
                  <c:v>7778.3342191288202</c:v>
                </c:pt>
                <c:pt idx="39">
                  <c:v>8133.5207978990029</c:v>
                </c:pt>
                <c:pt idx="40">
                  <c:v>8477.7931459399788</c:v>
                </c:pt>
                <c:pt idx="41">
                  <c:v>8810.6300719470382</c:v>
                </c:pt>
                <c:pt idx="42">
                  <c:v>9131.6498719793653</c:v>
                </c:pt>
                <c:pt idx="43">
                  <c:v>9440.5959161394767</c:v>
                </c:pt>
                <c:pt idx="44">
                  <c:v>9737.3226372297759</c:v>
                </c:pt>
                <c:pt idx="45">
                  <c:v>10021.782129825457</c:v>
                </c:pt>
                <c:pt idx="46">
                  <c:v>10294.011505970657</c:v>
                </c:pt>
                <c:pt idx="47">
                  <c:v>10554.121102729261</c:v>
                </c:pt>
                <c:pt idx="48">
                  <c:v>10802.283595774208</c:v>
                </c:pt>
                <c:pt idx="49">
                  <c:v>11038.724040751638</c:v>
                </c:pt>
                <c:pt idx="50">
                  <c:v>11263.710839039619</c:v>
                </c:pt>
                <c:pt idx="51">
                  <c:v>11477.547605566646</c:v>
                </c:pt>
                <c:pt idx="52">
                  <c:v>11680.565902507202</c:v>
                </c:pt>
                <c:pt idx="53">
                  <c:v>11873.118793000795</c:v>
                </c:pt>
                <c:pt idx="54">
                  <c:v>12055.575162738782</c:v>
                </c:pt>
                <c:pt idx="55">
                  <c:v>12228.314753638502</c:v>
                </c:pt>
                <c:pt idx="56">
                  <c:v>12391.723852291871</c:v>
                </c:pt>
                <c:pt idx="57">
                  <c:v>12546.191575947807</c:v>
                </c:pt>
                <c:pt idx="58">
                  <c:v>12692.106700060776</c:v>
                </c:pt>
                <c:pt idx="59">
                  <c:v>12829.854973582547</c:v>
                </c:pt>
                <c:pt idx="60">
                  <c:v>12959.816870924551</c:v>
                </c:pt>
                <c:pt idx="61">
                  <c:v>13082.365732661745</c:v>
                </c:pt>
                <c:pt idx="62">
                  <c:v>13197.866250419376</c:v>
                </c:pt>
                <c:pt idx="63">
                  <c:v>13306.673254850923</c:v>
                </c:pt>
                <c:pt idx="64">
                  <c:v>13409.130769081425</c:v>
                </c:pt>
                <c:pt idx="65">
                  <c:v>13505.571293381416</c:v>
                </c:pt>
                <c:pt idx="66">
                  <c:v>13596.315290100261</c:v>
                </c:pt>
                <c:pt idx="67">
                  <c:v>13681.670840987223</c:v>
                </c:pt>
                <c:pt idx="68">
                  <c:v>13761.933451940688</c:v>
                </c:pt>
                <c:pt idx="69">
                  <c:v>13837.385982936858</c:v>
                </c:pt>
                <c:pt idx="70">
                  <c:v>13908.298683393336</c:v>
                </c:pt>
                <c:pt idx="71">
                  <c:v>13974.929315520607</c:v>
                </c:pt>
                <c:pt idx="72">
                  <c:v>14037.523350309684</c:v>
                </c:pt>
                <c:pt idx="73">
                  <c:v>14096.314222705028</c:v>
                </c:pt>
                <c:pt idx="74">
                  <c:v>14151.523634227724</c:v>
                </c:pt>
                <c:pt idx="75">
                  <c:v>14203.36189285633</c:v>
                </c:pt>
                <c:pt idx="76">
                  <c:v>14252.028281352978</c:v>
                </c:pt>
                <c:pt idx="77">
                  <c:v>14297.711446453452</c:v>
                </c:pt>
                <c:pt idx="78">
                  <c:v>14340.589802433167</c:v>
                </c:pt>
                <c:pt idx="79">
                  <c:v>14380.831943528921</c:v>
                </c:pt>
                <c:pt idx="80">
                  <c:v>14418.597060550243</c:v>
                </c:pt>
                <c:pt idx="81">
                  <c:v>14454.035357764715</c:v>
                </c:pt>
                <c:pt idx="82">
                  <c:v>14487.288466799537</c:v>
                </c:pt>
                <c:pt idx="83">
                  <c:v>14518.489854875801</c:v>
                </c:pt>
                <c:pt idx="84">
                  <c:v>14547.765225191835</c:v>
                </c:pt>
                <c:pt idx="85">
                  <c:v>14575.232907705064</c:v>
                </c:pt>
                <c:pt idx="86">
                  <c:v>14601.004238936182</c:v>
                </c:pt>
                <c:pt idx="87">
                  <c:v>14625.183929740999</c:v>
                </c:pt>
                <c:pt idx="88">
                  <c:v>14647.870420271101</c:v>
                </c:pt>
                <c:pt idx="89">
                  <c:v>14669.156221579084</c:v>
                </c:pt>
                <c:pt idx="90">
                  <c:v>14689.128243523186</c:v>
                </c:pt>
                <c:pt idx="91">
                  <c:v>14707.868108793768</c:v>
                </c:pt>
                <c:pt idx="92">
                  <c:v>14725.452453024269</c:v>
                </c:pt>
                <c:pt idx="93">
                  <c:v>14741.953211065689</c:v>
                </c:pt>
                <c:pt idx="94">
                  <c:v>14757.437889599149</c:v>
                </c:pt>
                <c:pt idx="95">
                  <c:v>14771.969826338824</c:v>
                </c:pt>
                <c:pt idx="96">
                  <c:v>14785.608436139693</c:v>
                </c:pt>
                <c:pt idx="97">
                  <c:v>14798.409444373303</c:v>
                </c:pt>
                <c:pt idx="98">
                  <c:v>14810.425107972253</c:v>
                </c:pt>
                <c:pt idx="99">
                  <c:v>14821.704424571741</c:v>
                </c:pt>
                <c:pt idx="100">
                  <c:v>14832.293330195829</c:v>
                </c:pt>
                <c:pt idx="101">
                  <c:v>14842.234885948668</c:v>
                </c:pt>
                <c:pt idx="102">
                  <c:v>14851.569454177245</c:v>
                </c:pt>
                <c:pt idx="103">
                  <c:v>14860.334864574008</c:v>
                </c:pt>
                <c:pt idx="104">
                  <c:v>14868.566570685251</c:v>
                </c:pt>
                <c:pt idx="105">
                  <c:v>14876.29779728537</c:v>
                </c:pt>
                <c:pt idx="106">
                  <c:v>14883.55967906872</c:v>
                </c:pt>
                <c:pt idx="107">
                  <c:v>14890.381391100189</c:v>
                </c:pt>
                <c:pt idx="108">
                  <c:v>14896.790271453332</c:v>
                </c:pt>
                <c:pt idx="109">
                  <c:v>14902.811936451379</c:v>
                </c:pt>
                <c:pt idx="110">
                  <c:v>14908.470388911899</c:v>
                </c:pt>
                <c:pt idx="111">
                  <c:v>14913.788119780729</c:v>
                </c:pt>
                <c:pt idx="112">
                  <c:v>14918.7862035252</c:v>
                </c:pt>
                <c:pt idx="113">
                  <c:v>14923.484387640894</c:v>
                </c:pt>
                <c:pt idx="114">
                  <c:v>14927.901176610219</c:v>
                </c:pt>
                <c:pt idx="115">
                  <c:v>14932.053910635439</c:v>
                </c:pt>
                <c:pt idx="116">
                  <c:v>14935.958839453066</c:v>
                </c:pt>
                <c:pt idx="117">
                  <c:v>14939.631191521388</c:v>
                </c:pt>
                <c:pt idx="118">
                  <c:v>14943.085238857819</c:v>
                </c:pt>
                <c:pt idx="119">
                  <c:v>14946.334357788395</c:v>
                </c:pt>
                <c:pt idx="120">
                  <c:v>14949.39108585762</c:v>
                </c:pt>
                <c:pt idx="121">
                  <c:v>14952.267175133333</c:v>
                </c:pt>
                <c:pt idx="122">
                  <c:v>14954.97364212826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BA-4D14-A7E2-A9B0B7DCB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B050"/>
                </a:solidFill>
              </a:rPr>
              <a:t>rest of Italy - </a:t>
            </a:r>
            <a:r>
              <a:rPr lang="it-IT" sz="1400" b="0" i="0" u="none" strike="noStrike" baseline="0">
                <a:solidFill>
                  <a:srgbClr val="00B050"/>
                </a:solidFill>
                <a:effectLst/>
              </a:rPr>
              <a:t>Accumulative deaths - Lognormal model</a:t>
            </a:r>
            <a:endParaRPr lang="it-IT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LNorm'!$V$7</c:f>
              <c:strCache>
                <c:ptCount val="1"/>
                <c:pt idx="0">
                  <c:v>rest of Italy cum.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LNorm'!$V$8:$V$130</c:f>
              <c:numCache>
                <c:formatCode>0</c:formatCode>
                <c:ptCount val="12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  <c:pt idx="50">
                  <c:v>9925</c:v>
                </c:pt>
                <c:pt idx="51">
                  <c:v>10268</c:v>
                </c:pt>
                <c:pt idx="52">
                  <c:v>10562</c:v>
                </c:pt>
                <c:pt idx="53">
                  <c:v>10894</c:v>
                </c:pt>
                <c:pt idx="54">
                  <c:v>11177</c:v>
                </c:pt>
                <c:pt idx="55">
                  <c:v>11447</c:v>
                </c:pt>
                <c:pt idx="56">
                  <c:v>11738</c:v>
                </c:pt>
                <c:pt idx="57">
                  <c:v>12069</c:v>
                </c:pt>
                <c:pt idx="58">
                  <c:v>12345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0-476A-920C-762E1C600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LNorm'!$Y$7</c:f>
              <c:strCache>
                <c:ptCount val="1"/>
                <c:pt idx="0">
                  <c:v>rest of Italy cumul.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LNorm'!$Y$8:$Y$130</c:f>
              <c:numCache>
                <c:formatCode>0</c:formatCode>
                <c:ptCount val="123"/>
                <c:pt idx="0">
                  <c:v>2.2774255627002495E-14</c:v>
                </c:pt>
                <c:pt idx="1">
                  <c:v>7.1921604559956059E-9</c:v>
                </c:pt>
                <c:pt idx="2">
                  <c:v>3.8535125846683424E-6</c:v>
                </c:pt>
                <c:pt idx="3">
                  <c:v>2.017556768645964E-4</c:v>
                </c:pt>
                <c:pt idx="4">
                  <c:v>3.2701564326910485E-3</c:v>
                </c:pt>
                <c:pt idx="5">
                  <c:v>2.6499546868562714E-2</c:v>
                </c:pt>
                <c:pt idx="6">
                  <c:v>0.13671689715006971</c:v>
                </c:pt>
                <c:pt idx="7">
                  <c:v>0.51529511201228195</c:v>
                </c:pt>
                <c:pt idx="8">
                  <c:v>1.5448094802669017</c:v>
                </c:pt>
                <c:pt idx="9">
                  <c:v>3.8954138610912019</c:v>
                </c:pt>
                <c:pt idx="10">
                  <c:v>8.5864095639181297</c:v>
                </c:pt>
                <c:pt idx="11">
                  <c:v>17.005945959212557</c:v>
                </c:pt>
                <c:pt idx="12">
                  <c:v>30.883543547934824</c:v>
                </c:pt>
                <c:pt idx="13">
                  <c:v>52.220788742509427</c:v>
                </c:pt>
                <c:pt idx="14">
                  <c:v>83.192340478017726</c:v>
                </c:pt>
                <c:pt idx="15">
                  <c:v>126.03191823669579</c:v>
                </c:pt>
                <c:pt idx="16">
                  <c:v>182.91714966296232</c:v>
                </c:pt>
                <c:pt idx="17">
                  <c:v>255.86438644768168</c:v>
                </c:pt>
                <c:pt idx="18">
                  <c:v>346.64104894540247</c:v>
                </c:pt>
                <c:pt idx="19">
                  <c:v>456.6995780742028</c:v>
                </c:pt>
                <c:pt idx="20">
                  <c:v>587.13413811033445</c:v>
                </c:pt>
                <c:pt idx="21">
                  <c:v>738.65902058893437</c:v>
                </c:pt>
                <c:pt idx="22">
                  <c:v>911.60625375721361</c:v>
                </c:pt>
                <c:pt idx="23">
                  <c:v>1105.9391260352513</c:v>
                </c:pt>
                <c:pt idx="24">
                  <c:v>1321.2780449412539</c:v>
                </c:pt>
                <c:pt idx="25">
                  <c:v>1556.935229640517</c:v>
                </c:pt>
                <c:pt idx="26">
                  <c:v>1811.9550466386506</c:v>
                </c:pt>
                <c:pt idx="27">
                  <c:v>2085.1572400887871</c:v>
                </c:pt>
                <c:pt idx="28">
                  <c:v>2375.1808029961703</c:v>
                </c:pt>
                <c:pt idx="29">
                  <c:v>2680.5267293699458</c:v>
                </c:pt>
                <c:pt idx="30">
                  <c:v>2999.5983457797674</c:v>
                </c:pt>
                <c:pt idx="31">
                  <c:v>3330.7383245707879</c:v>
                </c:pt>
                <c:pt idx="32">
                  <c:v>3672.2618218129683</c:v>
                </c:pt>
                <c:pt idx="33">
                  <c:v>4022.4854599512905</c:v>
                </c:pt>
                <c:pt idx="34">
                  <c:v>4379.7520917989377</c:v>
                </c:pt>
                <c:pt idx="35">
                  <c:v>4742.451445333847</c:v>
                </c:pt>
                <c:pt idx="36">
                  <c:v>5109.0368652850357</c:v>
                </c:pt>
                <c:pt idx="37">
                  <c:v>5478.038445536441</c:v>
                </c:pt>
                <c:pt idx="38">
                  <c:v>5848.0728933770752</c:v>
                </c:pt>
                <c:pt idx="39">
                  <c:v>6217.850489325313</c:v>
                </c:pt>
                <c:pt idx="40">
                  <c:v>6586.1795105185711</c:v>
                </c:pt>
                <c:pt idx="41">
                  <c:v>6951.9684764406638</c:v>
                </c:pt>
                <c:pt idx="42">
                  <c:v>7314.2265571291782</c:v>
                </c:pt>
                <c:pt idx="43">
                  <c:v>7672.0624592302538</c:v>
                </c:pt>
                <c:pt idx="44">
                  <c:v>8024.6820769054066</c:v>
                </c:pt>
                <c:pt idx="45">
                  <c:v>8371.3851645969353</c:v>
                </c:pt>
                <c:pt idx="46">
                  <c:v>8711.5612584728642</c:v>
                </c:pt>
                <c:pt idx="47">
                  <c:v>9044.6850440372837</c:v>
                </c:pt>
                <c:pt idx="48">
                  <c:v>9370.3113396158606</c:v>
                </c:pt>
                <c:pt idx="49">
                  <c:v>9688.0698396625849</c:v>
                </c:pt>
                <c:pt idx="50">
                  <c:v>9997.6597383359367</c:v>
                </c:pt>
                <c:pt idx="51">
                  <c:v>10298.84433267028</c:v>
                </c:pt>
                <c:pt idx="52">
                  <c:v>10591.445685918776</c:v>
                </c:pt>
                <c:pt idx="53">
                  <c:v>10875.33941519343</c:v>
                </c:pt>
                <c:pt idx="54">
                  <c:v>11150.449653247575</c:v>
                </c:pt>
                <c:pt idx="55">
                  <c:v>11416.744221978241</c:v>
                </c:pt>
                <c:pt idx="56">
                  <c:v>11674.230044794451</c:v>
                </c:pt>
                <c:pt idx="57">
                  <c:v>11922.948816219836</c:v>
                </c:pt>
                <c:pt idx="58">
                  <c:v>12162.972939793439</c:v>
                </c:pt>
                <c:pt idx="59">
                  <c:v>12394.401739326213</c:v>
                </c:pt>
                <c:pt idx="60">
                  <c:v>12617.357943698547</c:v>
                </c:pt>
                <c:pt idx="61">
                  <c:v>12831.984441492903</c:v>
                </c:pt>
                <c:pt idx="62">
                  <c:v>13038.441298708191</c:v>
                </c:pt>
                <c:pt idx="63">
                  <c:v>13236.903030471507</c:v>
                </c:pt>
                <c:pt idx="64">
                  <c:v>13427.556115938467</c:v>
                </c:pt>
                <c:pt idx="65">
                  <c:v>13610.596744355598</c:v>
                </c:pt>
                <c:pt idx="66">
                  <c:v>13786.228779461306</c:v>
                </c:pt>
                <c:pt idx="67">
                  <c:v>13954.661928949854</c:v>
                </c:pt>
                <c:pt idx="68">
                  <c:v>14116.110105551152</c:v>
                </c:pt>
                <c:pt idx="69">
                  <c:v>14270.789966331697</c:v>
                </c:pt>
                <c:pt idx="70">
                  <c:v>14418.919617051155</c:v>
                </c:pt>
                <c:pt idx="71">
                  <c:v>14560.717468775107</c:v>
                </c:pt>
                <c:pt idx="72">
                  <c:v>14696.401234412793</c:v>
                </c:pt>
                <c:pt idx="73">
                  <c:v>14826.187053391872</c:v>
                </c:pt>
                <c:pt idx="74">
                  <c:v>14950.288733276127</c:v>
                </c:pt>
                <c:pt idx="75">
                  <c:v>15068.917097758587</c:v>
                </c:pt>
                <c:pt idx="76">
                  <c:v>15182.279431104576</c:v>
                </c:pt>
                <c:pt idx="77">
                  <c:v>15290.579009766445</c:v>
                </c:pt>
                <c:pt idx="78">
                  <c:v>15394.014712531936</c:v>
                </c:pt>
                <c:pt idx="79">
                  <c:v>15492.780701195428</c:v>
                </c:pt>
                <c:pt idx="80">
                  <c:v>15587.066164348984</c:v>
                </c:pt>
                <c:pt idx="81">
                  <c:v>15677.055117473876</c:v>
                </c:pt>
                <c:pt idx="82">
                  <c:v>15762.926253070453</c:v>
                </c:pt>
                <c:pt idx="83">
                  <c:v>15844.852835092111</c:v>
                </c:pt>
                <c:pt idx="84">
                  <c:v>15923.002632447486</c:v>
                </c:pt>
                <c:pt idx="85">
                  <c:v>15997.537886802136</c:v>
                </c:pt>
                <c:pt idx="86">
                  <c:v>16068.615310348303</c:v>
                </c:pt>
                <c:pt idx="87">
                  <c:v>16136.386109617586</c:v>
                </c:pt>
                <c:pt idx="88">
                  <c:v>16200.996031789373</c:v>
                </c:pt>
                <c:pt idx="89">
                  <c:v>16262.585430296474</c:v>
                </c:pt>
                <c:pt idx="90">
                  <c:v>16321.289346851547</c:v>
                </c:pt>
                <c:pt idx="91">
                  <c:v>16377.237607314011</c:v>
                </c:pt>
                <c:pt idx="92">
                  <c:v>16430.554929088499</c:v>
                </c:pt>
                <c:pt idx="93">
                  <c:v>16481.361037994786</c:v>
                </c:pt>
                <c:pt idx="94">
                  <c:v>16529.770792775711</c:v>
                </c:pt>
                <c:pt idx="95">
                  <c:v>16575.894315616657</c:v>
                </c:pt>
                <c:pt idx="96">
                  <c:v>16619.837127238006</c:v>
                </c:pt>
                <c:pt idx="97">
                  <c:v>16661.700285292452</c:v>
                </c:pt>
                <c:pt idx="98">
                  <c:v>16701.580524953737</c:v>
                </c:pt>
                <c:pt idx="99">
                  <c:v>16739.570400722616</c:v>
                </c:pt>
                <c:pt idx="100">
                  <c:v>16775.758428601926</c:v>
                </c:pt>
                <c:pt idx="101">
                  <c:v>16810.229227905926</c:v>
                </c:pt>
                <c:pt idx="102">
                  <c:v>16843.063662070683</c:v>
                </c:pt>
                <c:pt idx="103">
                  <c:v>16874.338977923693</c:v>
                </c:pt>
                <c:pt idx="104">
                  <c:v>16904.128942952451</c:v>
                </c:pt>
                <c:pt idx="105">
                  <c:v>16932.503980184621</c:v>
                </c:pt>
                <c:pt idx="106">
                  <c:v>16959.531300357186</c:v>
                </c:pt>
                <c:pt idx="107">
                  <c:v>16985.275031109926</c:v>
                </c:pt>
                <c:pt idx="108">
                  <c:v>17009.796342989284</c:v>
                </c:pt>
                <c:pt idx="109">
                  <c:v>17033.153572094263</c:v>
                </c:pt>
                <c:pt idx="110">
                  <c:v>17055.402339235443</c:v>
                </c:pt>
                <c:pt idx="111">
                  <c:v>17076.595665513505</c:v>
                </c:pt>
                <c:pt idx="112">
                  <c:v>17096.784084254017</c:v>
                </c:pt>
                <c:pt idx="113">
                  <c:v>17116.0157492621</c:v>
                </c:pt>
                <c:pt idx="114">
                  <c:v>17134.336539383759</c:v>
                </c:pt>
                <c:pt idx="115">
                  <c:v>17151.790159380693</c:v>
                </c:pt>
                <c:pt idx="116">
                  <c:v>17168.41823714256</c:v>
                </c:pt>
                <c:pt idx="117">
                  <c:v>17184.260417275575</c:v>
                </c:pt>
                <c:pt idx="118">
                  <c:v>17199.354451118532</c:v>
                </c:pt>
                <c:pt idx="119">
                  <c:v>17213.736283248072</c:v>
                </c:pt>
                <c:pt idx="120">
                  <c:v>17227.440134543478</c:v>
                </c:pt>
                <c:pt idx="121">
                  <c:v>17240.498581888613</c:v>
                </c:pt>
                <c:pt idx="122">
                  <c:v>17252.942634594223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80-476A-920C-762E1C600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70C0"/>
                </a:solidFill>
              </a:rPr>
              <a:t>Italy - </a:t>
            </a:r>
            <a:r>
              <a:rPr lang="it-IT">
                <a:solidFill>
                  <a:srgbClr val="FF0000"/>
                </a:solidFill>
              </a:rPr>
              <a:t>Lombardy</a:t>
            </a:r>
            <a:r>
              <a:rPr lang="it-IT">
                <a:solidFill>
                  <a:srgbClr val="0070C0"/>
                </a:solidFill>
              </a:rPr>
              <a:t> - </a:t>
            </a:r>
            <a:r>
              <a:rPr lang="it-IT">
                <a:solidFill>
                  <a:srgbClr val="00B050"/>
                </a:solidFill>
              </a:rPr>
              <a:t>rest of Italy - </a:t>
            </a:r>
            <a:r>
              <a:rPr lang="it-IT">
                <a:solidFill>
                  <a:sysClr val="windowText" lastClr="000000"/>
                </a:solidFill>
              </a:rPr>
              <a:t>Accumulative deaths - Lognormal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'New_deaths - LNorm'!$G$7</c:f>
              <c:strCache>
                <c:ptCount val="1"/>
                <c:pt idx="0">
                  <c:v>Italy cumul. Fit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LNorm'!$G$8:$G$130</c:f>
              <c:numCache>
                <c:formatCode>0.0000000000</c:formatCode>
                <c:ptCount val="123"/>
                <c:pt idx="0">
                  <c:v>6.7149122256497869E-21</c:v>
                </c:pt>
                <c:pt idx="1">
                  <c:v>8.5224305877687446E-13</c:v>
                </c:pt>
                <c:pt idx="2">
                  <c:v>7.8596021605024495E-9</c:v>
                </c:pt>
                <c:pt idx="3">
                  <c:v>2.3063039333087973E-6</c:v>
                </c:pt>
                <c:pt idx="4">
                  <c:v>1.2027748832253984E-4</c:v>
                </c:pt>
                <c:pt idx="5">
                  <c:v>2.2714672017694511E-3</c:v>
                </c:pt>
                <c:pt idx="6">
                  <c:v>2.2211162979490599E-2</c:v>
                </c:pt>
                <c:pt idx="7">
                  <c:v>0.13772771402073292</c:v>
                </c:pt>
                <c:pt idx="8">
                  <c:v>0.61364003481157581</c:v>
                </c:pt>
                <c:pt idx="9">
                  <c:v>2.1320480484178956</c:v>
                </c:pt>
                <c:pt idx="10">
                  <c:v>6.1105988386481052</c:v>
                </c:pt>
                <c:pt idx="11">
                  <c:v>15.037516169387148</c:v>
                </c:pt>
                <c:pt idx="12">
                  <c:v>32.723583839783821</c:v>
                </c:pt>
                <c:pt idx="13">
                  <c:v>64.383304984168021</c:v>
                </c:pt>
                <c:pt idx="14">
                  <c:v>116.50098376776548</c:v>
                </c:pt>
                <c:pt idx="15">
                  <c:v>196.49107565085549</c:v>
                </c:pt>
                <c:pt idx="16">
                  <c:v>312.20618413893664</c:v>
                </c:pt>
                <c:pt idx="17">
                  <c:v>471.37007458393191</c:v>
                </c:pt>
                <c:pt idx="18">
                  <c:v>681.01604800161465</c:v>
                </c:pt>
                <c:pt idx="19">
                  <c:v>946.99808315178439</c:v>
                </c:pt>
                <c:pt idx="20">
                  <c:v>1273.6205973441831</c:v>
                </c:pt>
                <c:pt idx="21">
                  <c:v>1663.4091492629568</c:v>
                </c:pt>
                <c:pt idx="22">
                  <c:v>2117.0235887570384</c:v>
                </c:pt>
                <c:pt idx="23">
                  <c:v>2633.2995268948448</c:v>
                </c:pt>
                <c:pt idx="24">
                  <c:v>3209.3942287112754</c:v>
                </c:pt>
                <c:pt idx="25">
                  <c:v>3841.0086018173238</c:v>
                </c:pt>
                <c:pt idx="26">
                  <c:v>4522.6567315189286</c:v>
                </c:pt>
                <c:pt idx="27">
                  <c:v>5247.95708245478</c:v>
                </c:pt>
                <c:pt idx="28">
                  <c:v>6009.9238275309008</c:v>
                </c:pt>
                <c:pt idx="29">
                  <c:v>6801.2417890732377</c:v>
                </c:pt>
                <c:pt idx="30">
                  <c:v>7614.5134707144825</c:v>
                </c:pt>
                <c:pt idx="31">
                  <c:v>8442.4711650988538</c:v>
                </c:pt>
                <c:pt idx="32">
                  <c:v>9278.1508976332971</c:v>
                </c:pt>
                <c:pt idx="33">
                  <c:v>10115.02792379468</c:v>
                </c:pt>
                <c:pt idx="34">
                  <c:v>10947.115657213044</c:v>
                </c:pt>
                <c:pt idx="35">
                  <c:v>11769.031352226537</c:v>
                </c:pt>
                <c:pt idx="36">
                  <c:v>12576.032713781846</c:v>
                </c:pt>
                <c:pt idx="37">
                  <c:v>13364.029984288829</c:v>
                </c:pt>
                <c:pt idx="38">
                  <c:v>14129.578080590658</c:v>
                </c:pt>
                <c:pt idx="39">
                  <c:v>14869.853130067524</c:v>
                </c:pt>
                <c:pt idx="40">
                  <c:v>15582.617371083983</c:v>
                </c:pt>
                <c:pt idx="41">
                  <c:v>16266.175909430931</c:v>
                </c:pt>
                <c:pt idx="42">
                  <c:v>16919.328312058449</c:v>
                </c:pt>
                <c:pt idx="43">
                  <c:v>17541.317510371748</c:v>
                </c:pt>
                <c:pt idx="44">
                  <c:v>18131.778003482588</c:v>
                </c:pt>
                <c:pt idx="45">
                  <c:v>18690.684913094963</c:v>
                </c:pt>
                <c:pt idx="46">
                  <c:v>19218.305054705084</c:v>
                </c:pt>
                <c:pt idx="47">
                  <c:v>19715.150857592751</c:v>
                </c:pt>
                <c:pt idx="48">
                  <c:v>20181.93768793613</c:v>
                </c:pt>
                <c:pt idx="49">
                  <c:v>20619.544902063069</c:v>
                </c:pt>
                <c:pt idx="50">
                  <c:v>21028.980775629043</c:v>
                </c:pt>
                <c:pt idx="51">
                  <c:v>21411.351313916479</c:v>
                </c:pt>
                <c:pt idx="52">
                  <c:v>21767.832842793458</c:v>
                </c:pt>
                <c:pt idx="53">
                  <c:v>22099.648203612731</c:v>
                </c:pt>
                <c:pt idx="54">
                  <c:v>22408.04632330544</c:v>
                </c:pt>
                <c:pt idx="55">
                  <c:v>22694.28489846551</c:v>
                </c:pt>
                <c:pt idx="56">
                  <c:v>22959.615915228875</c:v>
                </c:pt>
                <c:pt idx="57">
                  <c:v>23205.273721700763</c:v>
                </c:pt>
                <c:pt idx="58">
                  <c:v>23432.465373599523</c:v>
                </c:pt>
                <c:pt idx="59">
                  <c:v>23642.362984203788</c:v>
                </c:pt>
                <c:pt idx="60">
                  <c:v>23836.097824605622</c:v>
                </c:pt>
                <c:pt idx="61">
                  <c:v>24014.755938081678</c:v>
                </c:pt>
                <c:pt idx="62">
                  <c:v>24179.375051840354</c:v>
                </c:pt>
                <c:pt idx="63">
                  <c:v>24330.942589516031</c:v>
                </c:pt>
                <c:pt idx="64">
                  <c:v>24470.394607838731</c:v>
                </c:pt>
                <c:pt idx="65">
                  <c:v>24598.61550038015</c:v>
                </c:pt>
                <c:pt idx="66">
                  <c:v>24716.438329798169</c:v>
                </c:pt>
                <c:pt idx="67">
                  <c:v>24824.645667329863</c:v>
                </c:pt>
                <c:pt idx="68">
                  <c:v>24923.970834275813</c:v>
                </c:pt>
                <c:pt idx="69">
                  <c:v>25015.099454808984</c:v>
                </c:pt>
                <c:pt idx="70">
                  <c:v>25098.671242619148</c:v>
                </c:pt>
                <c:pt idx="71">
                  <c:v>25175.281955700331</c:v>
                </c:pt>
                <c:pt idx="72">
                  <c:v>25245.485464062989</c:v>
                </c:pt>
                <c:pt idx="73">
                  <c:v>25309.795884384141</c:v>
                </c:pt>
                <c:pt idx="74">
                  <c:v>25368.689743687883</c:v>
                </c:pt>
                <c:pt idx="75">
                  <c:v>25422.608141172062</c:v>
                </c:pt>
                <c:pt idx="76">
                  <c:v>25471.95888336256</c:v>
                </c:pt>
                <c:pt idx="77">
                  <c:v>25517.118572981355</c:v>
                </c:pt>
                <c:pt idx="78">
                  <c:v>25558.434636351041</c:v>
                </c:pt>
                <c:pt idx="79">
                  <c:v>25596.227277914542</c:v>
                </c:pt>
                <c:pt idx="80">
                  <c:v>25630.791353606222</c:v>
                </c:pt>
                <c:pt idx="81">
                  <c:v>25662.398157444073</c:v>
                </c:pt>
                <c:pt idx="82">
                  <c:v>25691.297117891081</c:v>
                </c:pt>
                <c:pt idx="83">
                  <c:v>25717.717402317983</c:v>
                </c:pt>
                <c:pt idx="84">
                  <c:v>25741.869429345697</c:v>
                </c:pt>
                <c:pt idx="85">
                  <c:v>25763.946290001615</c:v>
                </c:pt>
                <c:pt idx="86">
                  <c:v>25784.125079533951</c:v>
                </c:pt>
                <c:pt idx="87">
                  <c:v>25802.568142429911</c:v>
                </c:pt>
                <c:pt idx="88">
                  <c:v>25819.4242337102</c:v>
                </c:pt>
                <c:pt idx="89">
                  <c:v>25834.829599952984</c:v>
                </c:pt>
                <c:pt idx="90">
                  <c:v>25848.908983760033</c:v>
                </c:pt>
                <c:pt idx="91">
                  <c:v>25861.776555537897</c:v>
                </c:pt>
                <c:pt idx="92">
                  <c:v>25873.536776546018</c:v>
                </c:pt>
                <c:pt idx="93">
                  <c:v>25884.285197177374</c:v>
                </c:pt>
                <c:pt idx="94">
                  <c:v>25894.10919439916</c:v>
                </c:pt>
                <c:pt idx="95">
                  <c:v>25903.088652201975</c:v>
                </c:pt>
                <c:pt idx="96">
                  <c:v>25911.29658879598</c:v>
                </c:pt>
                <c:pt idx="97">
                  <c:v>25918.799734159093</c:v>
                </c:pt>
                <c:pt idx="98">
                  <c:v>25925.65906139206</c:v>
                </c:pt>
                <c:pt idx="99">
                  <c:v>25931.930275173927</c:v>
                </c:pt>
                <c:pt idx="100">
                  <c:v>25937.664260442871</c:v>
                </c:pt>
                <c:pt idx="101">
                  <c:v>25942.907494255873</c:v>
                </c:pt>
                <c:pt idx="102">
                  <c:v>25947.702423608338</c:v>
                </c:pt>
                <c:pt idx="103">
                  <c:v>25952.087811824626</c:v>
                </c:pt>
                <c:pt idx="104">
                  <c:v>25956.099055963587</c:v>
                </c:pt>
                <c:pt idx="105">
                  <c:v>25959.768477521426</c:v>
                </c:pt>
                <c:pt idx="106">
                  <c:v>25963.125588558338</c:v>
                </c:pt>
                <c:pt idx="107">
                  <c:v>25966.197335226083</c:v>
                </c:pt>
                <c:pt idx="108">
                  <c:v>25969.008320531579</c:v>
                </c:pt>
                <c:pt idx="109">
                  <c:v>25971.581008036828</c:v>
                </c:pt>
                <c:pt idx="110">
                  <c:v>25973.935908068263</c:v>
                </c:pt>
                <c:pt idx="111">
                  <c:v>25976.091747888935</c:v>
                </c:pt>
                <c:pt idx="112">
                  <c:v>25978.065627174688</c:v>
                </c:pt>
                <c:pt idx="113">
                  <c:v>25979.873160030442</c:v>
                </c:pt>
                <c:pt idx="114">
                  <c:v>25981.528604684747</c:v>
                </c:pt>
                <c:pt idx="115">
                  <c:v>25983.044981909541</c:v>
                </c:pt>
                <c:pt idx="116">
                  <c:v>25984.43418312732</c:v>
                </c:pt>
                <c:pt idx="117">
                  <c:v>25985.707069089291</c:v>
                </c:pt>
                <c:pt idx="118">
                  <c:v>25986.873559935331</c:v>
                </c:pt>
                <c:pt idx="119">
                  <c:v>25987.942717379297</c:v>
                </c:pt>
                <c:pt idx="120">
                  <c:v>25988.922819701056</c:v>
                </c:pt>
                <c:pt idx="121">
                  <c:v>25989.821430169381</c:v>
                </c:pt>
                <c:pt idx="122">
                  <c:v>25990.645459467025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63-405D-9D59-DBE97AB07DBF}"/>
            </c:ext>
          </c:extLst>
        </c:ser>
        <c:ser>
          <c:idx val="2"/>
          <c:order val="1"/>
          <c:tx>
            <c:strRef>
              <c:f>'New_deaths - LNorm'!$Q$7</c:f>
              <c:strCache>
                <c:ptCount val="1"/>
                <c:pt idx="0">
                  <c:v>Lombardy cumul. Fit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LNorm'!$Q$8:$Q$130</c:f>
              <c:numCache>
                <c:formatCode>0</c:formatCode>
                <c:ptCount val="123"/>
                <c:pt idx="0">
                  <c:v>7.8580894067903539E-14</c:v>
                </c:pt>
                <c:pt idx="1">
                  <c:v>2.9701756303691575E-8</c:v>
                </c:pt>
                <c:pt idx="2">
                  <c:v>1.6217695201610483E-5</c:v>
                </c:pt>
                <c:pt idx="3">
                  <c:v>8.2847043199092414E-4</c:v>
                </c:pt>
                <c:pt idx="4">
                  <c:v>1.2895991913804881E-2</c:v>
                </c:pt>
                <c:pt idx="5">
                  <c:v>9.9738561521447222E-2</c:v>
                </c:pt>
                <c:pt idx="6">
                  <c:v>0.49006299816223559</c:v>
                </c:pt>
                <c:pt idx="7">
                  <c:v>1.7586605481015192</c:v>
                </c:pt>
                <c:pt idx="8">
                  <c:v>5.0233830678144296</c:v>
                </c:pt>
                <c:pt idx="9">
                  <c:v>12.082996983046794</c:v>
                </c:pt>
                <c:pt idx="10">
                  <c:v>25.441162838426159</c:v>
                </c:pt>
                <c:pt idx="11">
                  <c:v>48.203510219797678</c:v>
                </c:pt>
                <c:pt idx="12">
                  <c:v>83.872181073891952</c:v>
                </c:pt>
                <c:pt idx="13">
                  <c:v>136.08249590093126</c:v>
                </c:pt>
                <c:pt idx="14">
                  <c:v>208.3292450687064</c:v>
                </c:pt>
                <c:pt idx="15">
                  <c:v>303.72134856665798</c:v>
                </c:pt>
                <c:pt idx="16">
                  <c:v>424.78991839519915</c:v>
                </c:pt>
                <c:pt idx="17">
                  <c:v>573.36103008558632</c:v>
                </c:pt>
                <c:pt idx="18">
                  <c:v>750.49345734159601</c:v>
                </c:pt>
                <c:pt idx="19">
                  <c:v>956.47415376469405</c:v>
                </c:pt>
                <c:pt idx="20">
                  <c:v>1190.8601861559616</c:v>
                </c:pt>
                <c:pt idx="21">
                  <c:v>1452.5544279828835</c:v>
                </c:pt>
                <c:pt idx="22">
                  <c:v>1739.9027743389897</c:v>
                </c:pt>
                <c:pt idx="23">
                  <c:v>2050.8021878002378</c:v>
                </c:pt>
                <c:pt idx="24">
                  <c:v>2382.8109415010099</c:v>
                </c:pt>
                <c:pt idx="25">
                  <c:v>2733.25458387873</c:v>
                </c:pt>
                <c:pt idx="26">
                  <c:v>3099.3231563953636</c:v>
                </c:pt>
                <c:pt idx="27">
                  <c:v>3478.1569177160136</c:v>
                </c:pt>
                <c:pt idx="28">
                  <c:v>3866.9192149868513</c:v>
                </c:pt>
                <c:pt idx="29">
                  <c:v>4262.8561975774501</c:v>
                </c:pt>
                <c:pt idx="30">
                  <c:v>4663.343823509942</c:v>
                </c:pt>
                <c:pt idx="31">
                  <c:v>5065.9231103604361</c:v>
                </c:pt>
                <c:pt idx="32">
                  <c:v>5468.3248808817289</c:v>
                </c:pt>
                <c:pt idx="33">
                  <c:v>5868.4853966238779</c:v>
                </c:pt>
                <c:pt idx="34">
                  <c:v>6264.554302356757</c:v>
                </c:pt>
                <c:pt idx="35">
                  <c:v>6654.896255074249</c:v>
                </c:pt>
                <c:pt idx="36">
                  <c:v>7038.0875116700663</c:v>
                </c:pt>
                <c:pt idx="37">
                  <c:v>7412.9086204317928</c:v>
                </c:pt>
                <c:pt idx="38">
                  <c:v>7778.3342191288202</c:v>
                </c:pt>
                <c:pt idx="39">
                  <c:v>8133.5207978990029</c:v>
                </c:pt>
                <c:pt idx="40">
                  <c:v>8477.7931459399788</c:v>
                </c:pt>
                <c:pt idx="41">
                  <c:v>8810.6300719470382</c:v>
                </c:pt>
                <c:pt idx="42">
                  <c:v>9131.6498719793653</c:v>
                </c:pt>
                <c:pt idx="43">
                  <c:v>9440.5959161394767</c:v>
                </c:pt>
                <c:pt idx="44">
                  <c:v>9737.3226372297759</c:v>
                </c:pt>
                <c:pt idx="45">
                  <c:v>10021.782129825457</c:v>
                </c:pt>
                <c:pt idx="46">
                  <c:v>10294.011505970657</c:v>
                </c:pt>
                <c:pt idx="47">
                  <c:v>10554.121102729261</c:v>
                </c:pt>
                <c:pt idx="48">
                  <c:v>10802.283595774208</c:v>
                </c:pt>
                <c:pt idx="49">
                  <c:v>11038.724040751638</c:v>
                </c:pt>
                <c:pt idx="50">
                  <c:v>11263.710839039619</c:v>
                </c:pt>
                <c:pt idx="51">
                  <c:v>11477.547605566646</c:v>
                </c:pt>
                <c:pt idx="52">
                  <c:v>11680.565902507202</c:v>
                </c:pt>
                <c:pt idx="53">
                  <c:v>11873.118793000795</c:v>
                </c:pt>
                <c:pt idx="54">
                  <c:v>12055.575162738782</c:v>
                </c:pt>
                <c:pt idx="55">
                  <c:v>12228.314753638502</c:v>
                </c:pt>
                <c:pt idx="56">
                  <c:v>12391.723852291871</c:v>
                </c:pt>
                <c:pt idx="57">
                  <c:v>12546.191575947807</c:v>
                </c:pt>
                <c:pt idx="58">
                  <c:v>12692.106700060776</c:v>
                </c:pt>
                <c:pt idx="59">
                  <c:v>12829.854973582547</c:v>
                </c:pt>
                <c:pt idx="60">
                  <c:v>12959.816870924551</c:v>
                </c:pt>
                <c:pt idx="61">
                  <c:v>13082.365732661745</c:v>
                </c:pt>
                <c:pt idx="62">
                  <c:v>13197.866250419376</c:v>
                </c:pt>
                <c:pt idx="63">
                  <c:v>13306.673254850923</c:v>
                </c:pt>
                <c:pt idx="64">
                  <c:v>13409.130769081425</c:v>
                </c:pt>
                <c:pt idx="65">
                  <c:v>13505.571293381416</c:v>
                </c:pt>
                <c:pt idx="66">
                  <c:v>13596.315290100261</c:v>
                </c:pt>
                <c:pt idx="67">
                  <c:v>13681.670840987223</c:v>
                </c:pt>
                <c:pt idx="68">
                  <c:v>13761.933451940688</c:v>
                </c:pt>
                <c:pt idx="69">
                  <c:v>13837.385982936858</c:v>
                </c:pt>
                <c:pt idx="70">
                  <c:v>13908.298683393336</c:v>
                </c:pt>
                <c:pt idx="71">
                  <c:v>13974.929315520607</c:v>
                </c:pt>
                <c:pt idx="72">
                  <c:v>14037.523350309684</c:v>
                </c:pt>
                <c:pt idx="73">
                  <c:v>14096.314222705028</c:v>
                </c:pt>
                <c:pt idx="74">
                  <c:v>14151.523634227724</c:v>
                </c:pt>
                <c:pt idx="75">
                  <c:v>14203.36189285633</c:v>
                </c:pt>
                <c:pt idx="76">
                  <c:v>14252.028281352978</c:v>
                </c:pt>
                <c:pt idx="77">
                  <c:v>14297.711446453452</c:v>
                </c:pt>
                <c:pt idx="78">
                  <c:v>14340.589802433167</c:v>
                </c:pt>
                <c:pt idx="79">
                  <c:v>14380.831943528921</c:v>
                </c:pt>
                <c:pt idx="80">
                  <c:v>14418.597060550243</c:v>
                </c:pt>
                <c:pt idx="81">
                  <c:v>14454.035357764715</c:v>
                </c:pt>
                <c:pt idx="82">
                  <c:v>14487.288466799537</c:v>
                </c:pt>
                <c:pt idx="83">
                  <c:v>14518.489854875801</c:v>
                </c:pt>
                <c:pt idx="84">
                  <c:v>14547.765225191835</c:v>
                </c:pt>
                <c:pt idx="85">
                  <c:v>14575.232907705064</c:v>
                </c:pt>
                <c:pt idx="86">
                  <c:v>14601.004238936182</c:v>
                </c:pt>
                <c:pt idx="87">
                  <c:v>14625.183929740999</c:v>
                </c:pt>
                <c:pt idx="88">
                  <c:v>14647.870420271101</c:v>
                </c:pt>
                <c:pt idx="89">
                  <c:v>14669.156221579084</c:v>
                </c:pt>
                <c:pt idx="90">
                  <c:v>14689.128243523186</c:v>
                </c:pt>
                <c:pt idx="91">
                  <c:v>14707.868108793768</c:v>
                </c:pt>
                <c:pt idx="92">
                  <c:v>14725.452453024269</c:v>
                </c:pt>
                <c:pt idx="93">
                  <c:v>14741.953211065689</c:v>
                </c:pt>
                <c:pt idx="94">
                  <c:v>14757.437889599149</c:v>
                </c:pt>
                <c:pt idx="95">
                  <c:v>14771.969826338824</c:v>
                </c:pt>
                <c:pt idx="96">
                  <c:v>14785.608436139693</c:v>
                </c:pt>
                <c:pt idx="97">
                  <c:v>14798.409444373303</c:v>
                </c:pt>
                <c:pt idx="98">
                  <c:v>14810.425107972253</c:v>
                </c:pt>
                <c:pt idx="99">
                  <c:v>14821.704424571741</c:v>
                </c:pt>
                <c:pt idx="100">
                  <c:v>14832.293330195829</c:v>
                </c:pt>
                <c:pt idx="101">
                  <c:v>14842.234885948668</c:v>
                </c:pt>
                <c:pt idx="102">
                  <c:v>14851.569454177245</c:v>
                </c:pt>
                <c:pt idx="103">
                  <c:v>14860.334864574008</c:v>
                </c:pt>
                <c:pt idx="104">
                  <c:v>14868.566570685251</c:v>
                </c:pt>
                <c:pt idx="105">
                  <c:v>14876.29779728537</c:v>
                </c:pt>
                <c:pt idx="106">
                  <c:v>14883.55967906872</c:v>
                </c:pt>
                <c:pt idx="107">
                  <c:v>14890.381391100189</c:v>
                </c:pt>
                <c:pt idx="108">
                  <c:v>14896.790271453332</c:v>
                </c:pt>
                <c:pt idx="109">
                  <c:v>14902.811936451379</c:v>
                </c:pt>
                <c:pt idx="110">
                  <c:v>14908.470388911899</c:v>
                </c:pt>
                <c:pt idx="111">
                  <c:v>14913.788119780729</c:v>
                </c:pt>
                <c:pt idx="112">
                  <c:v>14918.7862035252</c:v>
                </c:pt>
                <c:pt idx="113">
                  <c:v>14923.484387640894</c:v>
                </c:pt>
                <c:pt idx="114">
                  <c:v>14927.901176610219</c:v>
                </c:pt>
                <c:pt idx="115">
                  <c:v>14932.053910635439</c:v>
                </c:pt>
                <c:pt idx="116">
                  <c:v>14935.958839453066</c:v>
                </c:pt>
                <c:pt idx="117">
                  <c:v>14939.631191521388</c:v>
                </c:pt>
                <c:pt idx="118">
                  <c:v>14943.085238857819</c:v>
                </c:pt>
                <c:pt idx="119">
                  <c:v>14946.334357788395</c:v>
                </c:pt>
                <c:pt idx="120">
                  <c:v>14949.39108585762</c:v>
                </c:pt>
                <c:pt idx="121">
                  <c:v>14952.267175133333</c:v>
                </c:pt>
                <c:pt idx="122">
                  <c:v>14954.97364212826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63-405D-9D59-DBE97AB07DBF}"/>
            </c:ext>
          </c:extLst>
        </c:ser>
        <c:ser>
          <c:idx val="3"/>
          <c:order val="2"/>
          <c:tx>
            <c:strRef>
              <c:f>'New_deaths - LNorm'!$Y$7</c:f>
              <c:strCache>
                <c:ptCount val="1"/>
                <c:pt idx="0">
                  <c:v>rest of Italy cumul. Fit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LNorm'!$Y$8:$Y$130</c:f>
              <c:numCache>
                <c:formatCode>0</c:formatCode>
                <c:ptCount val="123"/>
                <c:pt idx="0">
                  <c:v>2.2774255627002495E-14</c:v>
                </c:pt>
                <c:pt idx="1">
                  <c:v>7.1921604559956059E-9</c:v>
                </c:pt>
                <c:pt idx="2">
                  <c:v>3.8535125846683424E-6</c:v>
                </c:pt>
                <c:pt idx="3">
                  <c:v>2.017556768645964E-4</c:v>
                </c:pt>
                <c:pt idx="4">
                  <c:v>3.2701564326910485E-3</c:v>
                </c:pt>
                <c:pt idx="5">
                  <c:v>2.6499546868562714E-2</c:v>
                </c:pt>
                <c:pt idx="6">
                  <c:v>0.13671689715006971</c:v>
                </c:pt>
                <c:pt idx="7">
                  <c:v>0.51529511201228195</c:v>
                </c:pt>
                <c:pt idx="8">
                  <c:v>1.5448094802669017</c:v>
                </c:pt>
                <c:pt idx="9">
                  <c:v>3.8954138610912019</c:v>
                </c:pt>
                <c:pt idx="10">
                  <c:v>8.5864095639181297</c:v>
                </c:pt>
                <c:pt idx="11">
                  <c:v>17.005945959212557</c:v>
                </c:pt>
                <c:pt idx="12">
                  <c:v>30.883543547934824</c:v>
                </c:pt>
                <c:pt idx="13">
                  <c:v>52.220788742509427</c:v>
                </c:pt>
                <c:pt idx="14">
                  <c:v>83.192340478017726</c:v>
                </c:pt>
                <c:pt idx="15">
                  <c:v>126.03191823669579</c:v>
                </c:pt>
                <c:pt idx="16">
                  <c:v>182.91714966296232</c:v>
                </c:pt>
                <c:pt idx="17">
                  <c:v>255.86438644768168</c:v>
                </c:pt>
                <c:pt idx="18">
                  <c:v>346.64104894540247</c:v>
                </c:pt>
                <c:pt idx="19">
                  <c:v>456.6995780742028</c:v>
                </c:pt>
                <c:pt idx="20">
                  <c:v>587.13413811033445</c:v>
                </c:pt>
                <c:pt idx="21">
                  <c:v>738.65902058893437</c:v>
                </c:pt>
                <c:pt idx="22">
                  <c:v>911.60625375721361</c:v>
                </c:pt>
                <c:pt idx="23">
                  <c:v>1105.9391260352513</c:v>
                </c:pt>
                <c:pt idx="24">
                  <c:v>1321.2780449412539</c:v>
                </c:pt>
                <c:pt idx="25">
                  <c:v>1556.935229640517</c:v>
                </c:pt>
                <c:pt idx="26">
                  <c:v>1811.9550466386506</c:v>
                </c:pt>
                <c:pt idx="27">
                  <c:v>2085.1572400887871</c:v>
                </c:pt>
                <c:pt idx="28">
                  <c:v>2375.1808029961703</c:v>
                </c:pt>
                <c:pt idx="29">
                  <c:v>2680.5267293699458</c:v>
                </c:pt>
                <c:pt idx="30">
                  <c:v>2999.5983457797674</c:v>
                </c:pt>
                <c:pt idx="31">
                  <c:v>3330.7383245707879</c:v>
                </c:pt>
                <c:pt idx="32">
                  <c:v>3672.2618218129683</c:v>
                </c:pt>
                <c:pt idx="33">
                  <c:v>4022.4854599512905</c:v>
                </c:pt>
                <c:pt idx="34">
                  <c:v>4379.7520917989377</c:v>
                </c:pt>
                <c:pt idx="35">
                  <c:v>4742.451445333847</c:v>
                </c:pt>
                <c:pt idx="36">
                  <c:v>5109.0368652850357</c:v>
                </c:pt>
                <c:pt idx="37">
                  <c:v>5478.038445536441</c:v>
                </c:pt>
                <c:pt idx="38">
                  <c:v>5848.0728933770752</c:v>
                </c:pt>
                <c:pt idx="39">
                  <c:v>6217.850489325313</c:v>
                </c:pt>
                <c:pt idx="40">
                  <c:v>6586.1795105185711</c:v>
                </c:pt>
                <c:pt idx="41">
                  <c:v>6951.9684764406638</c:v>
                </c:pt>
                <c:pt idx="42">
                  <c:v>7314.2265571291782</c:v>
                </c:pt>
                <c:pt idx="43">
                  <c:v>7672.0624592302538</c:v>
                </c:pt>
                <c:pt idx="44">
                  <c:v>8024.6820769054066</c:v>
                </c:pt>
                <c:pt idx="45">
                  <c:v>8371.3851645969353</c:v>
                </c:pt>
                <c:pt idx="46">
                  <c:v>8711.5612584728642</c:v>
                </c:pt>
                <c:pt idx="47">
                  <c:v>9044.6850440372837</c:v>
                </c:pt>
                <c:pt idx="48">
                  <c:v>9370.3113396158606</c:v>
                </c:pt>
                <c:pt idx="49">
                  <c:v>9688.0698396625849</c:v>
                </c:pt>
                <c:pt idx="50">
                  <c:v>9997.6597383359367</c:v>
                </c:pt>
                <c:pt idx="51">
                  <c:v>10298.84433267028</c:v>
                </c:pt>
                <c:pt idx="52">
                  <c:v>10591.445685918776</c:v>
                </c:pt>
                <c:pt idx="53">
                  <c:v>10875.33941519343</c:v>
                </c:pt>
                <c:pt idx="54">
                  <c:v>11150.449653247575</c:v>
                </c:pt>
                <c:pt idx="55">
                  <c:v>11416.744221978241</c:v>
                </c:pt>
                <c:pt idx="56">
                  <c:v>11674.230044794451</c:v>
                </c:pt>
                <c:pt idx="57">
                  <c:v>11922.948816219836</c:v>
                </c:pt>
                <c:pt idx="58">
                  <c:v>12162.972939793439</c:v>
                </c:pt>
                <c:pt idx="59">
                  <c:v>12394.401739326213</c:v>
                </c:pt>
                <c:pt idx="60">
                  <c:v>12617.357943698547</c:v>
                </c:pt>
                <c:pt idx="61">
                  <c:v>12831.984441492903</c:v>
                </c:pt>
                <c:pt idx="62">
                  <c:v>13038.441298708191</c:v>
                </c:pt>
                <c:pt idx="63">
                  <c:v>13236.903030471507</c:v>
                </c:pt>
                <c:pt idx="64">
                  <c:v>13427.556115938467</c:v>
                </c:pt>
                <c:pt idx="65">
                  <c:v>13610.596744355598</c:v>
                </c:pt>
                <c:pt idx="66">
                  <c:v>13786.228779461306</c:v>
                </c:pt>
                <c:pt idx="67">
                  <c:v>13954.661928949854</c:v>
                </c:pt>
                <c:pt idx="68">
                  <c:v>14116.110105551152</c:v>
                </c:pt>
                <c:pt idx="69">
                  <c:v>14270.789966331697</c:v>
                </c:pt>
                <c:pt idx="70">
                  <c:v>14418.919617051155</c:v>
                </c:pt>
                <c:pt idx="71">
                  <c:v>14560.717468775107</c:v>
                </c:pt>
                <c:pt idx="72">
                  <c:v>14696.401234412793</c:v>
                </c:pt>
                <c:pt idx="73">
                  <c:v>14826.187053391872</c:v>
                </c:pt>
                <c:pt idx="74">
                  <c:v>14950.288733276127</c:v>
                </c:pt>
                <c:pt idx="75">
                  <c:v>15068.917097758587</c:v>
                </c:pt>
                <c:pt idx="76">
                  <c:v>15182.279431104576</c:v>
                </c:pt>
                <c:pt idx="77">
                  <c:v>15290.579009766445</c:v>
                </c:pt>
                <c:pt idx="78">
                  <c:v>15394.014712531936</c:v>
                </c:pt>
                <c:pt idx="79">
                  <c:v>15492.780701195428</c:v>
                </c:pt>
                <c:pt idx="80">
                  <c:v>15587.066164348984</c:v>
                </c:pt>
                <c:pt idx="81">
                  <c:v>15677.055117473876</c:v>
                </c:pt>
                <c:pt idx="82">
                  <c:v>15762.926253070453</c:v>
                </c:pt>
                <c:pt idx="83">
                  <c:v>15844.852835092111</c:v>
                </c:pt>
                <c:pt idx="84">
                  <c:v>15923.002632447486</c:v>
                </c:pt>
                <c:pt idx="85">
                  <c:v>15997.537886802136</c:v>
                </c:pt>
                <c:pt idx="86">
                  <c:v>16068.615310348303</c:v>
                </c:pt>
                <c:pt idx="87">
                  <c:v>16136.386109617586</c:v>
                </c:pt>
                <c:pt idx="88">
                  <c:v>16200.996031789373</c:v>
                </c:pt>
                <c:pt idx="89">
                  <c:v>16262.585430296474</c:v>
                </c:pt>
                <c:pt idx="90">
                  <c:v>16321.289346851547</c:v>
                </c:pt>
                <c:pt idx="91">
                  <c:v>16377.237607314011</c:v>
                </c:pt>
                <c:pt idx="92">
                  <c:v>16430.554929088499</c:v>
                </c:pt>
                <c:pt idx="93">
                  <c:v>16481.361037994786</c:v>
                </c:pt>
                <c:pt idx="94">
                  <c:v>16529.770792775711</c:v>
                </c:pt>
                <c:pt idx="95">
                  <c:v>16575.894315616657</c:v>
                </c:pt>
                <c:pt idx="96">
                  <c:v>16619.837127238006</c:v>
                </c:pt>
                <c:pt idx="97">
                  <c:v>16661.700285292452</c:v>
                </c:pt>
                <c:pt idx="98">
                  <c:v>16701.580524953737</c:v>
                </c:pt>
                <c:pt idx="99">
                  <c:v>16739.570400722616</c:v>
                </c:pt>
                <c:pt idx="100">
                  <c:v>16775.758428601926</c:v>
                </c:pt>
                <c:pt idx="101">
                  <c:v>16810.229227905926</c:v>
                </c:pt>
                <c:pt idx="102">
                  <c:v>16843.063662070683</c:v>
                </c:pt>
                <c:pt idx="103">
                  <c:v>16874.338977923693</c:v>
                </c:pt>
                <c:pt idx="104">
                  <c:v>16904.128942952451</c:v>
                </c:pt>
                <c:pt idx="105">
                  <c:v>16932.503980184621</c:v>
                </c:pt>
                <c:pt idx="106">
                  <c:v>16959.531300357186</c:v>
                </c:pt>
                <c:pt idx="107">
                  <c:v>16985.275031109926</c:v>
                </c:pt>
                <c:pt idx="108">
                  <c:v>17009.796342989284</c:v>
                </c:pt>
                <c:pt idx="109">
                  <c:v>17033.153572094263</c:v>
                </c:pt>
                <c:pt idx="110">
                  <c:v>17055.402339235443</c:v>
                </c:pt>
                <c:pt idx="111">
                  <c:v>17076.595665513505</c:v>
                </c:pt>
                <c:pt idx="112">
                  <c:v>17096.784084254017</c:v>
                </c:pt>
                <c:pt idx="113">
                  <c:v>17116.0157492621</c:v>
                </c:pt>
                <c:pt idx="114">
                  <c:v>17134.336539383759</c:v>
                </c:pt>
                <c:pt idx="115">
                  <c:v>17151.790159380693</c:v>
                </c:pt>
                <c:pt idx="116">
                  <c:v>17168.41823714256</c:v>
                </c:pt>
                <c:pt idx="117">
                  <c:v>17184.260417275575</c:v>
                </c:pt>
                <c:pt idx="118">
                  <c:v>17199.354451118532</c:v>
                </c:pt>
                <c:pt idx="119">
                  <c:v>17213.736283248072</c:v>
                </c:pt>
                <c:pt idx="120">
                  <c:v>17227.440134543478</c:v>
                </c:pt>
                <c:pt idx="121">
                  <c:v>17240.498581888613</c:v>
                </c:pt>
                <c:pt idx="122">
                  <c:v>17252.942634594223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63-405D-9D59-DBE97AB07DBF}"/>
            </c:ext>
          </c:extLst>
        </c:ser>
        <c:ser>
          <c:idx val="0"/>
          <c:order val="3"/>
          <c:tx>
            <c:strRef>
              <c:f>'Cumul_deaths - LNorm'!$F$7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LNorm'!$F$8:$F$130</c:f>
              <c:numCache>
                <c:formatCode>0</c:formatCode>
                <c:ptCount val="123"/>
                <c:pt idx="0">
                  <c:v>1.0135514969490604E-13</c:v>
                </c:pt>
                <c:pt idx="1">
                  <c:v>3.689391675968718E-8</c:v>
                </c:pt>
                <c:pt idx="2">
                  <c:v>2.0071207786278826E-5</c:v>
                </c:pt>
                <c:pt idx="3">
                  <c:v>1.0302261088555205E-3</c:v>
                </c:pt>
                <c:pt idx="4">
                  <c:v>1.6166148346495931E-2</c:v>
                </c:pt>
                <c:pt idx="5">
                  <c:v>0.12623810839000993</c:v>
                </c:pt>
                <c:pt idx="6">
                  <c:v>0.62677989531230527</c:v>
                </c:pt>
                <c:pt idx="7">
                  <c:v>2.2739556601138009</c:v>
                </c:pt>
                <c:pt idx="8">
                  <c:v>6.5681925480813312</c:v>
                </c:pt>
                <c:pt idx="9">
                  <c:v>15.978410844137995</c:v>
                </c:pt>
                <c:pt idx="10">
                  <c:v>34.02757240234429</c:v>
                </c:pt>
                <c:pt idx="11">
                  <c:v>65.209456179010232</c:v>
                </c:pt>
                <c:pt idx="12">
                  <c:v>114.75572462182677</c:v>
                </c:pt>
                <c:pt idx="13">
                  <c:v>188.30328464344069</c:v>
                </c:pt>
                <c:pt idx="14">
                  <c:v>291.52158554672411</c:v>
                </c:pt>
                <c:pt idx="15">
                  <c:v>429.75326680335377</c:v>
                </c:pt>
                <c:pt idx="16">
                  <c:v>607.70706805816144</c:v>
                </c:pt>
                <c:pt idx="17">
                  <c:v>829.225416533268</c:v>
                </c:pt>
                <c:pt idx="18">
                  <c:v>1097.1345062869984</c:v>
                </c:pt>
                <c:pt idx="19">
                  <c:v>1413.1737318388969</c:v>
                </c:pt>
                <c:pt idx="20">
                  <c:v>1777.9943242662962</c:v>
                </c:pt>
                <c:pt idx="21">
                  <c:v>2191.2134485718179</c:v>
                </c:pt>
                <c:pt idx="22">
                  <c:v>2651.5090280962031</c:v>
                </c:pt>
                <c:pt idx="23">
                  <c:v>3156.7413138354891</c:v>
                </c:pt>
                <c:pt idx="24">
                  <c:v>3704.0889864422638</c:v>
                </c:pt>
                <c:pt idx="25">
                  <c:v>4290.1898135192469</c:v>
                </c:pt>
                <c:pt idx="26">
                  <c:v>4911.278203034014</c:v>
                </c:pt>
                <c:pt idx="27">
                  <c:v>5563.3141578048007</c:v>
                </c:pt>
                <c:pt idx="28">
                  <c:v>6242.1000179830216</c:v>
                </c:pt>
                <c:pt idx="29">
                  <c:v>6943.3829269473954</c:v>
                </c:pt>
                <c:pt idx="30">
                  <c:v>7662.9421692897095</c:v>
                </c:pt>
                <c:pt idx="31">
                  <c:v>8396.661434931224</c:v>
                </c:pt>
                <c:pt idx="32">
                  <c:v>9140.586702694698</c:v>
                </c:pt>
                <c:pt idx="33">
                  <c:v>9890.970856575168</c:v>
                </c:pt>
                <c:pt idx="34">
                  <c:v>10644.306394155694</c:v>
                </c:pt>
                <c:pt idx="35">
                  <c:v>11397.347700408096</c:v>
                </c:pt>
                <c:pt idx="36">
                  <c:v>12147.124376955102</c:v>
                </c:pt>
                <c:pt idx="37">
                  <c:v>12890.947065968234</c:v>
                </c:pt>
                <c:pt idx="38">
                  <c:v>13626.407112505894</c:v>
                </c:pt>
                <c:pt idx="39">
                  <c:v>14351.371287224316</c:v>
                </c:pt>
                <c:pt idx="40">
                  <c:v>15063.972656458551</c:v>
                </c:pt>
                <c:pt idx="41">
                  <c:v>15762.598548387701</c:v>
                </c:pt>
                <c:pt idx="42">
                  <c:v>16445.876429108543</c:v>
                </c:pt>
                <c:pt idx="43">
                  <c:v>17112.65837536973</c:v>
                </c:pt>
                <c:pt idx="44">
                  <c:v>17762.004714135182</c:v>
                </c:pt>
                <c:pt idx="45">
                  <c:v>18393.16729442239</c:v>
                </c:pt>
                <c:pt idx="46">
                  <c:v>19005.572764443521</c:v>
                </c:pt>
                <c:pt idx="47">
                  <c:v>19598.806146766547</c:v>
                </c:pt>
                <c:pt idx="48">
                  <c:v>20172.594935390069</c:v>
                </c:pt>
                <c:pt idx="49">
                  <c:v>20726.793880414225</c:v>
                </c:pt>
                <c:pt idx="50">
                  <c:v>21261.370577375557</c:v>
                </c:pt>
                <c:pt idx="51">
                  <c:v>21776.391938236928</c:v>
                </c:pt>
                <c:pt idx="52">
                  <c:v>22272.011588425979</c:v>
                </c:pt>
                <c:pt idx="53">
                  <c:v>22748.458208194224</c:v>
                </c:pt>
                <c:pt idx="54">
                  <c:v>23206.024815986355</c:v>
                </c:pt>
                <c:pt idx="55">
                  <c:v>23645.058975616743</c:v>
                </c:pt>
                <c:pt idx="56">
                  <c:v>24065.953897086321</c:v>
                </c:pt>
                <c:pt idx="57">
                  <c:v>24469.140392167643</c:v>
                </c:pt>
                <c:pt idx="58">
                  <c:v>24855.079639854215</c:v>
                </c:pt>
                <c:pt idx="59">
                  <c:v>25224.256712908762</c:v>
                </c:pt>
                <c:pt idx="60">
                  <c:v>25577.174814623097</c:v>
                </c:pt>
                <c:pt idx="61">
                  <c:v>25914.35017415465</c:v>
                </c:pt>
                <c:pt idx="62">
                  <c:v>26236.307549127567</c:v>
                </c:pt>
                <c:pt idx="63">
                  <c:v>26543.57628532243</c:v>
                </c:pt>
                <c:pt idx="64">
                  <c:v>26836.686885019892</c:v>
                </c:pt>
                <c:pt idx="65">
                  <c:v>27116.168037737014</c:v>
                </c:pt>
                <c:pt idx="66">
                  <c:v>27382.544069561569</c:v>
                </c:pt>
                <c:pt idx="67">
                  <c:v>27636.332769937078</c:v>
                </c:pt>
                <c:pt idx="68">
                  <c:v>27878.043557491837</c:v>
                </c:pt>
                <c:pt idx="69">
                  <c:v>28108.175949268552</c:v>
                </c:pt>
                <c:pt idx="70">
                  <c:v>28327.218300444489</c:v>
                </c:pt>
                <c:pt idx="71">
                  <c:v>28535.646784295714</c:v>
                </c:pt>
                <c:pt idx="72">
                  <c:v>28733.924584722477</c:v>
                </c:pt>
                <c:pt idx="73">
                  <c:v>28922.5012760969</c:v>
                </c:pt>
                <c:pt idx="74">
                  <c:v>29101.812367503851</c:v>
                </c:pt>
                <c:pt idx="75">
                  <c:v>29272.278990614919</c:v>
                </c:pt>
                <c:pt idx="76">
                  <c:v>29434.307712457554</c:v>
                </c:pt>
                <c:pt idx="77">
                  <c:v>29588.290456219896</c:v>
                </c:pt>
                <c:pt idx="78">
                  <c:v>29734.604514965104</c:v>
                </c:pt>
                <c:pt idx="79">
                  <c:v>29873.612644724351</c:v>
                </c:pt>
                <c:pt idx="80">
                  <c:v>30005.663224899225</c:v>
                </c:pt>
                <c:pt idx="81">
                  <c:v>30131.09047523859</c:v>
                </c:pt>
                <c:pt idx="82">
                  <c:v>30250.214719869989</c:v>
                </c:pt>
                <c:pt idx="83">
                  <c:v>30363.342689967911</c:v>
                </c:pt>
                <c:pt idx="84">
                  <c:v>30470.767857639323</c:v>
                </c:pt>
                <c:pt idx="85">
                  <c:v>30572.7707945072</c:v>
                </c:pt>
                <c:pt idx="86">
                  <c:v>30669.619549284485</c:v>
                </c:pt>
                <c:pt idx="87">
                  <c:v>30761.570039358587</c:v>
                </c:pt>
                <c:pt idx="88">
                  <c:v>30848.866452060473</c:v>
                </c:pt>
                <c:pt idx="89">
                  <c:v>30931.741651875556</c:v>
                </c:pt>
                <c:pt idx="90">
                  <c:v>31010.417590374731</c:v>
                </c:pt>
                <c:pt idx="91">
                  <c:v>31085.105716107777</c:v>
                </c:pt>
                <c:pt idx="92">
                  <c:v>31156.007382112766</c:v>
                </c:pt>
                <c:pt idx="93">
                  <c:v>31223.314249060473</c:v>
                </c:pt>
                <c:pt idx="94">
                  <c:v>31287.208682374861</c:v>
                </c:pt>
                <c:pt idx="95">
                  <c:v>31347.864141955481</c:v>
                </c:pt>
                <c:pt idx="96">
                  <c:v>31405.4455633777</c:v>
                </c:pt>
                <c:pt idx="97">
                  <c:v>31460.109729665754</c:v>
                </c:pt>
                <c:pt idx="98">
                  <c:v>31512.00563292599</c:v>
                </c:pt>
                <c:pt idx="99">
                  <c:v>31561.274825294357</c:v>
                </c:pt>
                <c:pt idx="100">
                  <c:v>31608.051758797756</c:v>
                </c:pt>
                <c:pt idx="101">
                  <c:v>31652.464113854592</c:v>
                </c:pt>
                <c:pt idx="102">
                  <c:v>31694.633116247925</c:v>
                </c:pt>
                <c:pt idx="103">
                  <c:v>31734.673842497701</c:v>
                </c:pt>
                <c:pt idx="104">
                  <c:v>31772.6955136377</c:v>
                </c:pt>
                <c:pt idx="105">
                  <c:v>31808.801777469991</c:v>
                </c:pt>
                <c:pt idx="106">
                  <c:v>31843.090979425906</c:v>
                </c:pt>
                <c:pt idx="107">
                  <c:v>31875.656422210115</c:v>
                </c:pt>
                <c:pt idx="108">
                  <c:v>31906.586614442618</c:v>
                </c:pt>
                <c:pt idx="109">
                  <c:v>31935.96550854564</c:v>
                </c:pt>
                <c:pt idx="110">
                  <c:v>31963.87272814734</c:v>
                </c:pt>
                <c:pt idx="111">
                  <c:v>31990.383785294234</c:v>
                </c:pt>
                <c:pt idx="112">
                  <c:v>32015.570287779217</c:v>
                </c:pt>
                <c:pt idx="113">
                  <c:v>32039.500136902992</c:v>
                </c:pt>
                <c:pt idx="114">
                  <c:v>32062.237715993979</c:v>
                </c:pt>
                <c:pt idx="115">
                  <c:v>32083.84407001613</c:v>
                </c:pt>
                <c:pt idx="116">
                  <c:v>32104.377076595625</c:v>
                </c:pt>
                <c:pt idx="117">
                  <c:v>32123.891608796963</c:v>
                </c:pt>
                <c:pt idx="118">
                  <c:v>32142.439689976352</c:v>
                </c:pt>
                <c:pt idx="119">
                  <c:v>32160.070641036466</c:v>
                </c:pt>
                <c:pt idx="120">
                  <c:v>32176.831220401098</c:v>
                </c:pt>
                <c:pt idx="121">
                  <c:v>32192.765757021945</c:v>
                </c:pt>
                <c:pt idx="122">
                  <c:v>32207.916276722484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92-410A-840D-E91A2B46B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169521</xdr:colOff>
      <xdr:row>6</xdr:row>
      <xdr:rowOff>41564</xdr:rowOff>
    </xdr:from>
    <xdr:to>
      <xdr:col>34</xdr:col>
      <xdr:colOff>318655</xdr:colOff>
      <xdr:row>33</xdr:row>
      <xdr:rowOff>103220</xdr:rowOff>
    </xdr:to>
    <xdr:grpSp>
      <xdr:nvGrpSpPr>
        <xdr:cNvPr id="18" name="Gruppo 17">
          <a:extLst>
            <a:ext uri="{FF2B5EF4-FFF2-40B4-BE49-F238E27FC236}">
              <a16:creationId xmlns:a16="http://schemas.microsoft.com/office/drawing/2014/main" id="{FFFBC6BA-ED3A-4608-B163-D971E7E2FD60}"/>
            </a:ext>
          </a:extLst>
        </xdr:cNvPr>
        <xdr:cNvGrpSpPr/>
      </xdr:nvGrpSpPr>
      <xdr:grpSpPr>
        <a:xfrm>
          <a:off x="26160648" y="1496291"/>
          <a:ext cx="7020989" cy="5201693"/>
          <a:chOff x="20014549" y="1156187"/>
          <a:chExt cx="6940476" cy="5496709"/>
        </a:xfrm>
      </xdr:grpSpPr>
      <xdr:grpSp>
        <xdr:nvGrpSpPr>
          <xdr:cNvPr id="20" name="Gruppo 19">
            <a:extLst>
              <a:ext uri="{FF2B5EF4-FFF2-40B4-BE49-F238E27FC236}">
                <a16:creationId xmlns:a16="http://schemas.microsoft.com/office/drawing/2014/main" id="{D91AE2C4-84F3-4CC7-B2EE-B12DCA61AB8C}"/>
              </a:ext>
            </a:extLst>
          </xdr:cNvPr>
          <xdr:cNvGrpSpPr/>
        </xdr:nvGrpSpPr>
        <xdr:grpSpPr>
          <a:xfrm>
            <a:off x="20014549" y="1156187"/>
            <a:ext cx="6940476" cy="5496709"/>
            <a:chOff x="20014549" y="1156187"/>
            <a:chExt cx="6940476" cy="5496709"/>
          </a:xfrm>
        </xdr:grpSpPr>
        <xdr:graphicFrame macro="">
          <xdr:nvGraphicFramePr>
            <xdr:cNvPr id="27" name="Grafico 26">
              <a:extLst>
                <a:ext uri="{FF2B5EF4-FFF2-40B4-BE49-F238E27FC236}">
                  <a16:creationId xmlns:a16="http://schemas.microsoft.com/office/drawing/2014/main" id="{38B53E38-C601-499A-9729-C04B6CFC3C31}"/>
                </a:ext>
              </a:extLst>
            </xdr:cNvPr>
            <xdr:cNvGraphicFramePr/>
          </xdr:nvGraphicFramePr>
          <xdr:xfrm>
            <a:off x="20014549" y="1156187"/>
            <a:ext cx="6940476" cy="549670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23" name="Grafico 22">
              <a:extLst>
                <a:ext uri="{FF2B5EF4-FFF2-40B4-BE49-F238E27FC236}">
                  <a16:creationId xmlns:a16="http://schemas.microsoft.com/office/drawing/2014/main" id="{0773C989-B32E-45DF-88F2-56558ADFBF4E}"/>
                </a:ext>
              </a:extLst>
            </xdr:cNvPr>
            <xdr:cNvGraphicFramePr>
              <a:graphicFrameLocks/>
            </xdr:cNvGraphicFramePr>
          </xdr:nvGraphicFramePr>
          <xdr:xfrm>
            <a:off x="20935463" y="2195626"/>
            <a:ext cx="1567600" cy="8606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24" name="Grafico 23">
              <a:extLst>
                <a:ext uri="{FF2B5EF4-FFF2-40B4-BE49-F238E27FC236}">
                  <a16:creationId xmlns:a16="http://schemas.microsoft.com/office/drawing/2014/main" id="{CE59E760-D0BE-4F09-91BF-D748A2E71E66}"/>
                </a:ext>
              </a:extLst>
            </xdr:cNvPr>
            <xdr:cNvGraphicFramePr>
              <a:graphicFrameLocks/>
            </xdr:cNvGraphicFramePr>
          </xdr:nvGraphicFramePr>
          <xdr:xfrm>
            <a:off x="24998342" y="2092716"/>
            <a:ext cx="1640035" cy="104465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25" name="Grafico 24">
              <a:extLst>
                <a:ext uri="{FF2B5EF4-FFF2-40B4-BE49-F238E27FC236}">
                  <a16:creationId xmlns:a16="http://schemas.microsoft.com/office/drawing/2014/main" id="{DE365169-5442-450D-828E-476836958949}"/>
                </a:ext>
              </a:extLst>
            </xdr:cNvPr>
            <xdr:cNvGraphicFramePr>
              <a:graphicFrameLocks/>
            </xdr:cNvGraphicFramePr>
          </xdr:nvGraphicFramePr>
          <xdr:xfrm>
            <a:off x="23484444" y="4406337"/>
            <a:ext cx="1559001" cy="103092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26" name="Grafico 25">
              <a:extLst>
                <a:ext uri="{FF2B5EF4-FFF2-40B4-BE49-F238E27FC236}">
                  <a16:creationId xmlns:a16="http://schemas.microsoft.com/office/drawing/2014/main" id="{6D44ABFB-C9D6-4020-B288-E2FF692DE5E9}"/>
                </a:ext>
              </a:extLst>
            </xdr:cNvPr>
            <xdr:cNvGraphicFramePr>
              <a:graphicFrameLocks/>
            </xdr:cNvGraphicFramePr>
          </xdr:nvGraphicFramePr>
          <xdr:xfrm>
            <a:off x="23571067" y="3001470"/>
            <a:ext cx="1549082" cy="88211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sp macro="" textlink="$B$8">
        <xdr:nvSpPr>
          <xdr:cNvPr id="21" name="CasellaDiTesto 20">
            <a:extLst>
              <a:ext uri="{FF2B5EF4-FFF2-40B4-BE49-F238E27FC236}">
                <a16:creationId xmlns:a16="http://schemas.microsoft.com/office/drawing/2014/main" id="{67614E17-2C01-4AAA-9E0E-C8EAA83955DF}"/>
              </a:ext>
            </a:extLst>
          </xdr:cNvPr>
          <xdr:cNvSpPr txBox="1"/>
        </xdr:nvSpPr>
        <xdr:spPr>
          <a:xfrm>
            <a:off x="23318210" y="6336886"/>
            <a:ext cx="551829" cy="2780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EC125EDB-9073-485E-BAFC-FBF7176CAEC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24-feb</a:t>
            </a:fld>
            <a:endParaRPr lang="it-IT" sz="1100"/>
          </a:p>
        </xdr:txBody>
      </xdr:sp>
    </xdr:grpSp>
    <xdr:clientData/>
  </xdr:twoCellAnchor>
  <xdr:oneCellAnchor>
    <xdr:from>
      <xdr:col>7</xdr:col>
      <xdr:colOff>0</xdr:colOff>
      <xdr:row>2</xdr:row>
      <xdr:rowOff>0</xdr:rowOff>
    </xdr:from>
    <xdr:ext cx="1745672" cy="955964"/>
    <xdr:sp macro="" textlink="">
      <xdr:nvSpPr>
        <xdr:cNvPr id="30" name="CasellaDiTesto 29">
          <a:extLst>
            <a:ext uri="{FF2B5EF4-FFF2-40B4-BE49-F238E27FC236}">
              <a16:creationId xmlns:a16="http://schemas.microsoft.com/office/drawing/2014/main" id="{85D63674-AC64-4D08-9E23-264FE1D33133}"/>
            </a:ext>
          </a:extLst>
        </xdr:cNvPr>
        <xdr:cNvSpPr txBox="1"/>
      </xdr:nvSpPr>
      <xdr:spPr>
        <a:xfrm>
          <a:off x="7232073" y="484909"/>
          <a:ext cx="1745672" cy="9559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1094509</xdr:colOff>
      <xdr:row>2</xdr:row>
      <xdr:rowOff>207818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3999C2C2-F0C3-4646-BC97-26F9DEEF3043}"/>
                </a:ext>
              </a:extLst>
            </xdr:cNvPr>
            <xdr:cNvSpPr txBox="1"/>
          </xdr:nvSpPr>
          <xdr:spPr>
            <a:xfrm>
              <a:off x="7218218" y="692727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3999C2C2-F0C3-4646-BC97-26F9DEEF3043}"/>
                </a:ext>
              </a:extLst>
            </xdr:cNvPr>
            <xdr:cNvSpPr txBox="1"/>
          </xdr:nvSpPr>
          <xdr:spPr>
            <a:xfrm>
              <a:off x="7218218" y="692727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1783976</xdr:colOff>
      <xdr:row>2</xdr:row>
      <xdr:rowOff>0</xdr:rowOff>
    </xdr:from>
    <xdr:ext cx="2761129" cy="955964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1DA2B986-8FD6-4DD2-9DFE-D7A7AC122B4B}"/>
            </a:ext>
          </a:extLst>
        </xdr:cNvPr>
        <xdr:cNvSpPr txBox="1"/>
      </xdr:nvSpPr>
      <xdr:spPr>
        <a:xfrm>
          <a:off x="4948517" y="484094"/>
          <a:ext cx="2761129" cy="9559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27709</xdr:colOff>
      <xdr:row>2</xdr:row>
      <xdr:rowOff>224117</xdr:rowOff>
    </xdr:from>
    <xdr:ext cx="2733420" cy="6629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C96BCB5-5A1D-44B9-B2C7-54CD72640423}"/>
                </a:ext>
              </a:extLst>
            </xdr:cNvPr>
            <xdr:cNvSpPr txBox="1"/>
          </xdr:nvSpPr>
          <xdr:spPr>
            <a:xfrm>
              <a:off x="4976227" y="708211"/>
              <a:ext cx="27334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𝑒𝑟𝑓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it-IT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ln</m:t>
                                    </m:r>
                                  </m:fName>
                                  <m:e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</m:func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num>
                              <m:den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  <m:rad>
                                  <m:radPr>
                                    <m:degHide m:val="on"/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e>
                                </m:rad>
                              </m:den>
                            </m:f>
                          </m:e>
                        </m:d>
                      </m:e>
                    </m:d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C96BCB5-5A1D-44B9-B2C7-54CD72640423}"/>
                </a:ext>
              </a:extLst>
            </xdr:cNvPr>
            <xdr:cNvSpPr txBox="1"/>
          </xdr:nvSpPr>
          <xdr:spPr>
            <a:xfrm>
              <a:off x="4976227" y="708211"/>
              <a:ext cx="27334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𝐶𝑑𝑓=𝐾/2 [1+𝑒𝑟𝑓((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ln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⁡𝑡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−𝜇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𝜎√2))]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33</xdr:col>
      <xdr:colOff>118580</xdr:colOff>
      <xdr:row>6</xdr:row>
      <xdr:rowOff>2036</xdr:rowOff>
    </xdr:from>
    <xdr:to>
      <xdr:col>41</xdr:col>
      <xdr:colOff>596562</xdr:colOff>
      <xdr:row>31</xdr:row>
      <xdr:rowOff>65197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D623BEF-6D5C-4350-9007-0BD6128C0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118985</xdr:colOff>
      <xdr:row>31</xdr:row>
      <xdr:rowOff>74978</xdr:rowOff>
    </xdr:from>
    <xdr:to>
      <xdr:col>41</xdr:col>
      <xdr:colOff>596967</xdr:colOff>
      <xdr:row>58</xdr:row>
      <xdr:rowOff>6115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E0CCC212-3C18-4678-8FDC-D975EEA29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114096</xdr:colOff>
      <xdr:row>58</xdr:row>
      <xdr:rowOff>7335</xdr:rowOff>
    </xdr:from>
    <xdr:to>
      <xdr:col>41</xdr:col>
      <xdr:colOff>588819</xdr:colOff>
      <xdr:row>85</xdr:row>
      <xdr:rowOff>28117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9D94183B-0E2E-4986-B776-9367A08D4A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1327591</xdr:colOff>
      <xdr:row>12</xdr:row>
      <xdr:rowOff>166253</xdr:rowOff>
    </xdr:from>
    <xdr:to>
      <xdr:col>12</xdr:col>
      <xdr:colOff>1348373</xdr:colOff>
      <xdr:row>39</xdr:row>
      <xdr:rowOff>60715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45365524-1683-4C08-8DDF-8CCDA0315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815787</xdr:colOff>
      <xdr:row>39</xdr:row>
      <xdr:rowOff>80681</xdr:rowOff>
    </xdr:from>
    <xdr:to>
      <xdr:col>7</xdr:col>
      <xdr:colOff>19151</xdr:colOff>
      <xdr:row>66</xdr:row>
      <xdr:rowOff>47676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E458C615-7F1F-467C-A072-D2730B1ED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1319442</xdr:colOff>
      <xdr:row>39</xdr:row>
      <xdr:rowOff>72533</xdr:rowOff>
    </xdr:from>
    <xdr:to>
      <xdr:col>12</xdr:col>
      <xdr:colOff>1348375</xdr:colOff>
      <xdr:row>66</xdr:row>
      <xdr:rowOff>39528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CE4EBA3C-E971-4082-9011-FBBDE17545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802749</xdr:colOff>
      <xdr:row>12</xdr:row>
      <xdr:rowOff>178479</xdr:rowOff>
    </xdr:from>
    <xdr:to>
      <xdr:col>7</xdr:col>
      <xdr:colOff>15077</xdr:colOff>
      <xdr:row>39</xdr:row>
      <xdr:rowOff>73756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BA06B07B-4246-4AE7-9C73-F7F048604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8</xdr:col>
      <xdr:colOff>108857</xdr:colOff>
      <xdr:row>3</xdr:row>
      <xdr:rowOff>21772</xdr:rowOff>
    </xdr:from>
    <xdr:ext cx="3048000" cy="6629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5C6A0994-61E9-4F18-9322-B05B3C30B947}"/>
                </a:ext>
              </a:extLst>
            </xdr:cNvPr>
            <xdr:cNvSpPr txBox="1"/>
          </xdr:nvSpPr>
          <xdr:spPr>
            <a:xfrm>
              <a:off x="9154886" y="729343"/>
              <a:ext cx="304800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ad>
                          <m:radPr>
                            <m:degHide m:val="on"/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e>
                        </m:rad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𝑒𝑥𝑝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func>
                                          <m:funcPr>
                                            <m:ctrlPr>
                                              <a:rPr lang="it-IT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uncPr>
                                          <m:fName>
                                            <m:r>
                                              <m:rPr>
                                                <m:sty m:val="p"/>
                                              </m:rPr>
                                              <a:rPr lang="it-IT" sz="1100" b="0" i="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ln</m:t>
                                            </m:r>
                                          </m:fName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</m:func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𝜇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  <m:sSup>
                                  <m:sSup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p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</m:d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5C6A0994-61E9-4F18-9322-B05B3C30B947}"/>
                </a:ext>
              </a:extLst>
            </xdr:cNvPr>
            <xdr:cNvSpPr txBox="1"/>
          </xdr:nvSpPr>
          <xdr:spPr>
            <a:xfrm>
              <a:off x="9154886" y="729343"/>
              <a:ext cx="304800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𝑃𝑑𝑓=𝐾/(𝜎√2𝜋 𝑡) [1+𝑒𝑥𝑝(−(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ln⁡𝑡−𝜇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)^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2/(2𝜎^2 ))]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pfn" refreshedDate="43943.966843287039" createdVersion="6" refreshedVersion="6" minRefreshableVersion="3" recordCount="1240" xr:uid="{D725F143-88C9-43C4-96A8-75CDF08649CC}">
  <cacheSource type="worksheet">
    <worksheetSource ref="A1:Q1048576" sheet="dpc-covid19-ita-regioni"/>
  </cacheSource>
  <cacheFields count="18">
    <cacheField name="data" numFmtId="0">
      <sharedItems containsNonDate="0" containsDate="1" containsString="0" containsBlank="1" minDate="2020-02-24T18:00:00" maxDate="2020-04-22T17:00:00" count="60">
        <d v="2020-02-24T18:00:00"/>
        <d v="2020-02-25T18:00:00"/>
        <d v="2020-02-26T18:00:00"/>
        <d v="2020-02-27T18:00:00"/>
        <d v="2020-02-28T18:00:00"/>
        <d v="2020-02-29T17:00:00"/>
        <d v="2020-03-01T17:00:00"/>
        <d v="2020-03-02T18:00:00"/>
        <d v="2020-03-03T18:00:00"/>
        <d v="2020-03-04T17:00:00"/>
        <d v="2020-03-05T17:00:00"/>
        <d v="2020-03-06T17:00:00"/>
        <d v="2020-03-07T18:00:00"/>
        <d v="2020-03-08T18:00:00"/>
        <d v="2020-03-09T18:00:00"/>
        <d v="2020-03-10T18:00:00"/>
        <d v="2020-03-11T17:00:00"/>
        <d v="2020-03-12T17:00:00"/>
        <d v="2020-03-13T17:00:00"/>
        <d v="2020-03-14T17:00:00"/>
        <d v="2020-03-15T17:00:00"/>
        <d v="2020-03-16T17:00:00"/>
        <d v="2020-03-17T17:00:00"/>
        <d v="2020-03-18T17:00:00"/>
        <d v="2020-03-19T17:00:00"/>
        <d v="2020-03-20T17:00:00"/>
        <d v="2020-03-21T17:00:00"/>
        <d v="2020-03-22T17:00:00"/>
        <d v="2020-03-23T17:00:00"/>
        <d v="2020-03-24T17:00:00"/>
        <d v="2020-03-25T17:00:00"/>
        <d v="2020-03-26T17:00:00"/>
        <d v="2020-03-27T17:00:00"/>
        <d v="2020-03-28T17:00:00"/>
        <d v="2020-03-29T17:00:00"/>
        <d v="2020-03-30T17:00:00"/>
        <d v="2020-03-31T17:00:00"/>
        <d v="2020-04-01T17:00:00"/>
        <d v="2020-04-02T17:00:00"/>
        <d v="2020-04-03T17:00:00"/>
        <d v="2020-04-04T17:00:00"/>
        <d v="2020-04-05T17:00:00"/>
        <d v="2020-04-06T17:00:00"/>
        <d v="2020-04-07T17:00:00"/>
        <d v="2020-04-08T17:00:00"/>
        <d v="2020-04-09T17:00:00"/>
        <d v="2020-04-10T17:00:00"/>
        <d v="2020-04-11T17:00:00"/>
        <d v="2020-04-12T17:00:00"/>
        <d v="2020-04-13T17:00:00"/>
        <d v="2020-04-14T17:00:00"/>
        <d v="2020-04-15T17:00:00"/>
        <d v="2020-04-16T17:00:00"/>
        <d v="2020-04-17T17:00:00"/>
        <d v="2020-04-18T17:00:00"/>
        <d v="2020-04-19T17:00:00"/>
        <d v="2020-04-20T17:00:00"/>
        <d v="2020-04-21T17:00:00"/>
        <d v="2020-04-22T17:00:00"/>
        <m/>
      </sharedItems>
      <fieldGroup par="17" base="0">
        <rangePr groupBy="days" startDate="2020-02-24T18:00:00" endDate="2020-04-22T17:00:00"/>
        <groupItems count="368">
          <s v="(vuoto)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2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 count="21">
        <n v="13"/>
        <n v="17"/>
        <n v="4"/>
        <n v="18"/>
        <n v="15"/>
        <n v="8"/>
        <n v="6"/>
        <n v="12"/>
        <n v="7"/>
        <n v="3"/>
        <n v="11"/>
        <n v="14"/>
        <n v="1"/>
        <n v="16"/>
        <n v="20"/>
        <n v="19"/>
        <n v="9"/>
        <n v="10"/>
        <n v="2"/>
        <n v="5"/>
        <m/>
      </sharedItems>
    </cacheField>
    <cacheField name="denominazione_regione" numFmtId="0">
      <sharedItems containsBlank="1" count="22">
        <s v="Abruzzo"/>
        <s v="Basilicata"/>
        <s v="P.A. Bolzano"/>
        <s v="Calabria"/>
        <s v="Campania"/>
        <s v="Emilia-Romagna"/>
        <s v="Friuli Venezia Giulia"/>
        <s v="Lazio"/>
        <s v="Liguria"/>
        <s v="Lombardia"/>
        <s v="Marche"/>
        <s v="Molise"/>
        <s v="Piemonte"/>
        <s v="Puglia"/>
        <s v="Sardegna"/>
        <s v="Sicilia"/>
        <s v="Toscana"/>
        <s v="P.A. Trento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0" maxValue="12077"/>
    </cacheField>
    <cacheField name="terapia_intensiva" numFmtId="0">
      <sharedItems containsString="0" containsBlank="1" containsNumber="1" containsInteger="1" minValue="0" maxValue="1381"/>
    </cacheField>
    <cacheField name="totale_ospedalizzati" numFmtId="0">
      <sharedItems containsString="0" containsBlank="1" containsNumber="1" containsInteger="1" minValue="0" maxValue="13328"/>
    </cacheField>
    <cacheField name="isolamento_domiciliare" numFmtId="0">
      <sharedItems containsString="0" containsBlank="1" containsNumber="1" containsInteger="1" minValue="0" maxValue="23733"/>
    </cacheField>
    <cacheField name="totale_positivi" numFmtId="0">
      <sharedItems containsString="0" containsBlank="1" containsNumber="1" containsInteger="1" minValue="0" maxValue="34587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18" maxValue="3251"/>
    </cacheField>
    <cacheField name="dimessi_guariti" numFmtId="0">
      <sharedItems containsString="0" containsBlank="1" containsNumber="1" containsInteger="1" minValue="0" maxValue="22110"/>
    </cacheField>
    <cacheField name="deceduti" numFmtId="0">
      <sharedItems containsString="0" containsBlank="1" containsNumber="1" containsInteger="1" minValue="0" maxValue="12740"/>
    </cacheField>
    <cacheField name="totale_casi" numFmtId="0">
      <sharedItems containsString="0" containsBlank="1" containsNumber="1" containsInteger="1" minValue="0" maxValue="69092"/>
    </cacheField>
    <cacheField name="tamponi" numFmtId="0">
      <sharedItems containsString="0" containsBlank="1" containsNumber="1" containsInteger="1" minValue="0" maxValue="290699"/>
    </cacheField>
    <cacheField name="Mesi" numFmtId="0" databaseField="0">
      <fieldGroup base="0">
        <rangePr groupBy="months" startDate="2020-02-24T18:00:00" endDate="2020-04-22T17:00:00"/>
        <groupItems count="14">
          <s v="&lt;24/02/2020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22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">
  <r>
    <x v="0"/>
    <s v="ITA"/>
    <x v="0"/>
    <x v="0"/>
    <n v="4235122196"/>
    <n v="1339843823"/>
    <n v="0"/>
    <n v="0"/>
    <n v="0"/>
    <n v="0"/>
    <n v="0"/>
    <n v="0"/>
    <n v="0"/>
    <n v="0"/>
    <n v="0"/>
    <n v="0"/>
    <n v="5"/>
  </r>
  <r>
    <x v="0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0"/>
    <s v="ITA"/>
    <x v="2"/>
    <x v="2"/>
    <n v="4649933453"/>
    <n v="1135662422"/>
    <n v="0"/>
    <n v="0"/>
    <n v="0"/>
    <n v="0"/>
    <n v="0"/>
    <n v="0"/>
    <n v="0"/>
    <n v="0"/>
    <n v="0"/>
    <n v="0"/>
    <n v="1"/>
  </r>
  <r>
    <x v="0"/>
    <s v="ITA"/>
    <x v="3"/>
    <x v="3"/>
    <n v="3890597598"/>
    <n v="1659440194"/>
    <n v="0"/>
    <n v="0"/>
    <n v="0"/>
    <n v="0"/>
    <n v="0"/>
    <n v="0"/>
    <n v="0"/>
    <n v="0"/>
    <n v="0"/>
    <n v="0"/>
    <n v="1"/>
  </r>
  <r>
    <x v="0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0"/>
    <s v="ITA"/>
    <x v="5"/>
    <x v="5"/>
    <n v="4449436681"/>
    <n v="113417208"/>
    <n v="10"/>
    <n v="2"/>
    <n v="12"/>
    <n v="6"/>
    <n v="18"/>
    <n v="0"/>
    <n v="18"/>
    <n v="0"/>
    <n v="0"/>
    <n v="18"/>
    <n v="148"/>
  </r>
  <r>
    <x v="0"/>
    <s v="ITA"/>
    <x v="6"/>
    <x v="6"/>
    <n v="456494354"/>
    <n v="1376813649"/>
    <n v="0"/>
    <n v="0"/>
    <n v="0"/>
    <n v="0"/>
    <n v="0"/>
    <n v="0"/>
    <n v="0"/>
    <n v="0"/>
    <n v="0"/>
    <n v="0"/>
    <n v="58"/>
  </r>
  <r>
    <x v="0"/>
    <s v="ITA"/>
    <x v="7"/>
    <x v="7"/>
    <n v="4189277044"/>
    <n v="1248366722"/>
    <n v="1"/>
    <n v="1"/>
    <n v="2"/>
    <n v="0"/>
    <n v="2"/>
    <n v="0"/>
    <n v="2"/>
    <n v="1"/>
    <n v="0"/>
    <n v="3"/>
    <n v="124"/>
  </r>
  <r>
    <x v="0"/>
    <s v="ITA"/>
    <x v="8"/>
    <x v="8"/>
    <n v="4441149315"/>
    <n v="89326992"/>
    <n v="0"/>
    <n v="0"/>
    <n v="0"/>
    <n v="0"/>
    <n v="0"/>
    <n v="0"/>
    <n v="0"/>
    <n v="0"/>
    <n v="0"/>
    <n v="0"/>
    <n v="1"/>
  </r>
  <r>
    <x v="0"/>
    <s v="ITA"/>
    <x v="9"/>
    <x v="9"/>
    <n v="4546679409"/>
    <n v="9190347404"/>
    <n v="76"/>
    <n v="19"/>
    <n v="95"/>
    <n v="71"/>
    <n v="166"/>
    <n v="0"/>
    <n v="166"/>
    <n v="0"/>
    <n v="6"/>
    <n v="172"/>
    <n v="1463"/>
  </r>
  <r>
    <x v="0"/>
    <s v="ITA"/>
    <x v="10"/>
    <x v="10"/>
    <n v="4361675973"/>
    <n v="135188753"/>
    <n v="0"/>
    <n v="0"/>
    <n v="0"/>
    <n v="0"/>
    <n v="0"/>
    <n v="0"/>
    <n v="0"/>
    <n v="0"/>
    <n v="0"/>
    <n v="0"/>
    <n v="16"/>
  </r>
  <r>
    <x v="0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0"/>
    <s v="ITA"/>
    <x v="12"/>
    <x v="12"/>
    <n v="450732745"/>
    <n v="7680687483"/>
    <n v="2"/>
    <n v="0"/>
    <n v="2"/>
    <n v="1"/>
    <n v="3"/>
    <n v="0"/>
    <n v="3"/>
    <n v="0"/>
    <n v="0"/>
    <n v="3"/>
    <n v="141"/>
  </r>
  <r>
    <x v="0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0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0"/>
    <s v="ITA"/>
    <x v="15"/>
    <x v="15"/>
    <n v="3811569725"/>
    <n v="133623567"/>
    <n v="0"/>
    <n v="0"/>
    <n v="0"/>
    <n v="0"/>
    <n v="0"/>
    <n v="0"/>
    <n v="0"/>
    <n v="0"/>
    <n v="0"/>
    <n v="0"/>
    <n v="5"/>
  </r>
  <r>
    <x v="0"/>
    <s v="ITA"/>
    <x v="16"/>
    <x v="16"/>
    <n v="4376923077"/>
    <n v="1125588885"/>
    <n v="0"/>
    <n v="0"/>
    <n v="0"/>
    <n v="0"/>
    <n v="0"/>
    <n v="0"/>
    <n v="0"/>
    <n v="0"/>
    <n v="0"/>
    <n v="0"/>
    <n v="140"/>
  </r>
  <r>
    <x v="0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0"/>
    <s v="ITA"/>
    <x v="17"/>
    <x v="18"/>
    <n v="4310675841"/>
    <n v="1238824698"/>
    <n v="0"/>
    <n v="0"/>
    <n v="0"/>
    <n v="0"/>
    <n v="0"/>
    <n v="0"/>
    <n v="0"/>
    <n v="0"/>
    <n v="0"/>
    <n v="0"/>
    <n v="0"/>
  </r>
  <r>
    <x v="0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0"/>
    <s v="ITA"/>
    <x v="19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x v="0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x v="2"/>
    <x v="2"/>
    <n v="4649933453"/>
    <n v="1135662422"/>
    <n v="1"/>
    <n v="0"/>
    <n v="1"/>
    <n v="0"/>
    <n v="1"/>
    <n v="1"/>
    <n v="1"/>
    <n v="0"/>
    <n v="0"/>
    <n v="1"/>
    <n v="1"/>
  </r>
  <r>
    <x v="1"/>
    <s v="ITA"/>
    <x v="3"/>
    <x v="3"/>
    <n v="3890597598"/>
    <n v="1659440194"/>
    <n v="0"/>
    <n v="0"/>
    <n v="0"/>
    <n v="0"/>
    <n v="0"/>
    <n v="0"/>
    <n v="0"/>
    <n v="0"/>
    <n v="0"/>
    <n v="0"/>
    <n v="2"/>
  </r>
  <r>
    <x v="1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1"/>
    <s v="ITA"/>
    <x v="5"/>
    <x v="5"/>
    <n v="4449436681"/>
    <n v="113417208"/>
    <n v="15"/>
    <n v="2"/>
    <n v="17"/>
    <n v="9"/>
    <n v="26"/>
    <n v="8"/>
    <n v="8"/>
    <n v="0"/>
    <n v="0"/>
    <n v="26"/>
    <n v="391"/>
  </r>
  <r>
    <x v="1"/>
    <s v="ITA"/>
    <x v="6"/>
    <x v="6"/>
    <n v="456494354"/>
    <n v="1376813649"/>
    <n v="0"/>
    <n v="0"/>
    <n v="0"/>
    <n v="0"/>
    <n v="0"/>
    <n v="0"/>
    <n v="0"/>
    <n v="0"/>
    <n v="0"/>
    <n v="0"/>
    <n v="89"/>
  </r>
  <r>
    <x v="1"/>
    <s v="ITA"/>
    <x v="7"/>
    <x v="7"/>
    <n v="4189277044"/>
    <n v="1248366722"/>
    <n v="1"/>
    <n v="1"/>
    <n v="2"/>
    <n v="0"/>
    <n v="2"/>
    <n v="0"/>
    <n v="0"/>
    <n v="1"/>
    <n v="0"/>
    <n v="3"/>
    <n v="124"/>
  </r>
  <r>
    <x v="1"/>
    <s v="ITA"/>
    <x v="8"/>
    <x v="8"/>
    <n v="4441149315"/>
    <n v="89326992"/>
    <n v="1"/>
    <n v="0"/>
    <n v="1"/>
    <n v="0"/>
    <n v="1"/>
    <n v="1"/>
    <n v="1"/>
    <n v="0"/>
    <n v="0"/>
    <n v="1"/>
    <n v="39"/>
  </r>
  <r>
    <x v="1"/>
    <s v="ITA"/>
    <x v="9"/>
    <x v="9"/>
    <n v="4546679409"/>
    <n v="9190347404"/>
    <n v="79"/>
    <n v="25"/>
    <n v="104"/>
    <n v="127"/>
    <n v="231"/>
    <n v="65"/>
    <n v="68"/>
    <n v="0"/>
    <n v="9"/>
    <n v="240"/>
    <n v="3700"/>
  </r>
  <r>
    <x v="1"/>
    <s v="ITA"/>
    <x v="10"/>
    <x v="10"/>
    <n v="4361675973"/>
    <n v="135188753"/>
    <n v="0"/>
    <n v="0"/>
    <n v="0"/>
    <n v="0"/>
    <n v="0"/>
    <n v="0"/>
    <n v="0"/>
    <n v="0"/>
    <n v="0"/>
    <n v="0"/>
    <n v="21"/>
  </r>
  <r>
    <x v="1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1"/>
    <s v="ITA"/>
    <x v="12"/>
    <x v="12"/>
    <n v="450732745"/>
    <n v="7680687483"/>
    <n v="2"/>
    <n v="0"/>
    <n v="2"/>
    <n v="1"/>
    <n v="3"/>
    <n v="0"/>
    <n v="0"/>
    <n v="0"/>
    <n v="0"/>
    <n v="3"/>
    <n v="141"/>
  </r>
  <r>
    <x v="1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1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1"/>
    <s v="ITA"/>
    <x v="15"/>
    <x v="15"/>
    <n v="3811569725"/>
    <n v="133623567"/>
    <n v="1"/>
    <n v="0"/>
    <n v="1"/>
    <n v="2"/>
    <n v="3"/>
    <n v="3"/>
    <n v="3"/>
    <n v="0"/>
    <n v="0"/>
    <n v="3"/>
    <n v="5"/>
  </r>
  <r>
    <x v="1"/>
    <s v="ITA"/>
    <x v="16"/>
    <x v="16"/>
    <n v="4376923077"/>
    <n v="1125588885"/>
    <n v="2"/>
    <n v="0"/>
    <n v="2"/>
    <n v="0"/>
    <n v="2"/>
    <n v="2"/>
    <n v="2"/>
    <n v="0"/>
    <n v="0"/>
    <n v="2"/>
    <n v="296"/>
  </r>
  <r>
    <x v="1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1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1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x v="19"/>
    <x v="20"/>
    <n v="4543490485"/>
    <n v="1233845213"/>
    <n v="12"/>
    <n v="7"/>
    <n v="19"/>
    <n v="23"/>
    <n v="42"/>
    <n v="10"/>
    <n v="10"/>
    <n v="0"/>
    <n v="1"/>
    <n v="43"/>
    <n v="3780"/>
  </r>
  <r>
    <x v="2"/>
    <s v="ITA"/>
    <x v="0"/>
    <x v="0"/>
    <n v="4235122196"/>
    <n v="1339843823"/>
    <n v="0"/>
    <n v="0"/>
    <n v="0"/>
    <n v="0"/>
    <n v="0"/>
    <n v="0"/>
    <n v="0"/>
    <n v="0"/>
    <n v="0"/>
    <n v="0"/>
    <n v="13"/>
  </r>
  <r>
    <x v="2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x v="2"/>
    <x v="2"/>
    <n v="4649933453"/>
    <n v="1135662422"/>
    <n v="1"/>
    <n v="0"/>
    <n v="1"/>
    <n v="0"/>
    <n v="1"/>
    <n v="0"/>
    <n v="0"/>
    <n v="0"/>
    <n v="0"/>
    <n v="1"/>
    <n v="1"/>
  </r>
  <r>
    <x v="2"/>
    <s v="ITA"/>
    <x v="3"/>
    <x v="3"/>
    <n v="3890597598"/>
    <n v="1659440194"/>
    <n v="0"/>
    <n v="0"/>
    <n v="0"/>
    <n v="0"/>
    <n v="0"/>
    <n v="0"/>
    <n v="0"/>
    <n v="0"/>
    <n v="0"/>
    <n v="0"/>
    <n v="3"/>
  </r>
  <r>
    <x v="2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2"/>
    <s v="ITA"/>
    <x v="5"/>
    <x v="5"/>
    <n v="4449436681"/>
    <n v="113417208"/>
    <n v="20"/>
    <n v="3"/>
    <n v="23"/>
    <n v="23"/>
    <n v="46"/>
    <n v="20"/>
    <n v="21"/>
    <n v="0"/>
    <n v="1"/>
    <n v="47"/>
    <n v="577"/>
  </r>
  <r>
    <x v="2"/>
    <s v="ITA"/>
    <x v="6"/>
    <x v="6"/>
    <n v="456494354"/>
    <n v="1376813649"/>
    <n v="0"/>
    <n v="0"/>
    <n v="0"/>
    <n v="0"/>
    <n v="0"/>
    <n v="0"/>
    <n v="0"/>
    <n v="0"/>
    <n v="0"/>
    <n v="0"/>
    <n v="114"/>
  </r>
  <r>
    <x v="2"/>
    <s v="ITA"/>
    <x v="7"/>
    <x v="7"/>
    <n v="4189277044"/>
    <n v="1248366722"/>
    <n v="0"/>
    <n v="0"/>
    <n v="0"/>
    <n v="0"/>
    <n v="0"/>
    <n v="-2"/>
    <n v="0"/>
    <n v="3"/>
    <n v="0"/>
    <n v="3"/>
    <n v="124"/>
  </r>
  <r>
    <x v="2"/>
    <s v="ITA"/>
    <x v="8"/>
    <x v="8"/>
    <n v="4441149315"/>
    <n v="89326992"/>
    <n v="6"/>
    <n v="0"/>
    <n v="6"/>
    <n v="5"/>
    <n v="11"/>
    <n v="10"/>
    <n v="10"/>
    <n v="0"/>
    <n v="0"/>
    <n v="11"/>
    <n v="66"/>
  </r>
  <r>
    <x v="2"/>
    <s v="ITA"/>
    <x v="9"/>
    <x v="9"/>
    <n v="4546679409"/>
    <n v="9190347404"/>
    <n v="79"/>
    <n v="25"/>
    <n v="104"/>
    <n v="145"/>
    <n v="249"/>
    <n v="18"/>
    <n v="18"/>
    <n v="0"/>
    <n v="9"/>
    <n v="258"/>
    <n v="3208"/>
  </r>
  <r>
    <x v="2"/>
    <s v="ITA"/>
    <x v="10"/>
    <x v="10"/>
    <n v="4361675973"/>
    <n v="135188753"/>
    <n v="1"/>
    <n v="0"/>
    <n v="1"/>
    <n v="0"/>
    <n v="1"/>
    <n v="1"/>
    <n v="1"/>
    <n v="0"/>
    <n v="0"/>
    <n v="1"/>
    <n v="28"/>
  </r>
  <r>
    <x v="2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2"/>
    <s v="ITA"/>
    <x v="12"/>
    <x v="12"/>
    <n v="450732745"/>
    <n v="7680687483"/>
    <n v="2"/>
    <n v="0"/>
    <n v="2"/>
    <n v="1"/>
    <n v="3"/>
    <n v="0"/>
    <n v="0"/>
    <n v="0"/>
    <n v="0"/>
    <n v="3"/>
    <n v="156"/>
  </r>
  <r>
    <x v="2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2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2"/>
    <s v="ITA"/>
    <x v="15"/>
    <x v="15"/>
    <n v="3811569725"/>
    <n v="133623567"/>
    <n v="1"/>
    <n v="0"/>
    <n v="1"/>
    <n v="2"/>
    <n v="3"/>
    <n v="0"/>
    <n v="0"/>
    <n v="0"/>
    <n v="0"/>
    <n v="3"/>
    <n v="5"/>
  </r>
  <r>
    <x v="2"/>
    <s v="ITA"/>
    <x v="16"/>
    <x v="16"/>
    <n v="4376923077"/>
    <n v="1125588885"/>
    <n v="2"/>
    <n v="0"/>
    <n v="2"/>
    <n v="0"/>
    <n v="2"/>
    <n v="0"/>
    <n v="0"/>
    <n v="0"/>
    <n v="0"/>
    <n v="2"/>
    <n v="363"/>
  </r>
  <r>
    <x v="2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2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2"/>
    <s v="ITA"/>
    <x v="19"/>
    <x v="20"/>
    <n v="4543490485"/>
    <n v="1233845213"/>
    <n v="16"/>
    <n v="8"/>
    <n v="24"/>
    <n v="45"/>
    <n v="69"/>
    <n v="27"/>
    <n v="28"/>
    <n v="0"/>
    <n v="2"/>
    <n v="71"/>
    <n v="4900"/>
  </r>
  <r>
    <x v="3"/>
    <s v="ITA"/>
    <x v="0"/>
    <x v="0"/>
    <n v="4235122196"/>
    <n v="1339843823"/>
    <n v="1"/>
    <n v="0"/>
    <n v="1"/>
    <n v="0"/>
    <n v="1"/>
    <n v="1"/>
    <n v="1"/>
    <n v="0"/>
    <n v="0"/>
    <n v="1"/>
    <n v="33"/>
  </r>
  <r>
    <x v="3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x v="2"/>
    <x v="2"/>
    <n v="4649933453"/>
    <n v="1135662422"/>
    <n v="1"/>
    <n v="0"/>
    <n v="1"/>
    <n v="0"/>
    <n v="1"/>
    <n v="0"/>
    <n v="0"/>
    <n v="0"/>
    <n v="0"/>
    <n v="1"/>
    <n v="2"/>
  </r>
  <r>
    <x v="3"/>
    <s v="ITA"/>
    <x v="3"/>
    <x v="3"/>
    <n v="3890597598"/>
    <n v="1659440194"/>
    <n v="0"/>
    <n v="0"/>
    <n v="0"/>
    <n v="0"/>
    <n v="0"/>
    <n v="0"/>
    <n v="0"/>
    <n v="0"/>
    <n v="0"/>
    <n v="0"/>
    <n v="14"/>
  </r>
  <r>
    <x v="3"/>
    <s v="ITA"/>
    <x v="4"/>
    <x v="4"/>
    <n v="4083956555"/>
    <n v="1425084984"/>
    <n v="2"/>
    <n v="0"/>
    <n v="2"/>
    <n v="1"/>
    <n v="3"/>
    <n v="3"/>
    <n v="3"/>
    <n v="0"/>
    <n v="0"/>
    <n v="3"/>
    <n v="10"/>
  </r>
  <r>
    <x v="3"/>
    <s v="ITA"/>
    <x v="5"/>
    <x v="5"/>
    <n v="4449436681"/>
    <n v="113417208"/>
    <n v="36"/>
    <n v="6"/>
    <n v="42"/>
    <n v="54"/>
    <n v="96"/>
    <n v="50"/>
    <n v="50"/>
    <n v="0"/>
    <n v="1"/>
    <n v="97"/>
    <n v="1033"/>
  </r>
  <r>
    <x v="3"/>
    <s v="ITA"/>
    <x v="6"/>
    <x v="6"/>
    <n v="456494354"/>
    <n v="1376813649"/>
    <n v="0"/>
    <n v="0"/>
    <n v="0"/>
    <n v="0"/>
    <n v="0"/>
    <n v="0"/>
    <n v="0"/>
    <n v="0"/>
    <n v="0"/>
    <n v="0"/>
    <n v="141"/>
  </r>
  <r>
    <x v="3"/>
    <s v="ITA"/>
    <x v="7"/>
    <x v="7"/>
    <n v="4189277044"/>
    <n v="1248366722"/>
    <n v="0"/>
    <n v="0"/>
    <n v="0"/>
    <n v="0"/>
    <n v="0"/>
    <n v="0"/>
    <n v="0"/>
    <n v="3"/>
    <n v="0"/>
    <n v="3"/>
    <n v="552"/>
  </r>
  <r>
    <x v="3"/>
    <s v="ITA"/>
    <x v="8"/>
    <x v="8"/>
    <n v="4441149315"/>
    <n v="89326992"/>
    <n v="9"/>
    <n v="0"/>
    <n v="9"/>
    <n v="10"/>
    <n v="19"/>
    <n v="8"/>
    <n v="8"/>
    <n v="0"/>
    <n v="0"/>
    <n v="19"/>
    <n v="78"/>
  </r>
  <r>
    <x v="3"/>
    <s v="ITA"/>
    <x v="9"/>
    <x v="9"/>
    <n v="4546679409"/>
    <n v="9190347404"/>
    <n v="172"/>
    <n v="41"/>
    <n v="213"/>
    <n v="136"/>
    <n v="349"/>
    <n v="100"/>
    <n v="145"/>
    <n v="40"/>
    <n v="14"/>
    <n v="403"/>
    <n v="3320"/>
  </r>
  <r>
    <x v="3"/>
    <s v="ITA"/>
    <x v="10"/>
    <x v="10"/>
    <n v="4361675973"/>
    <n v="135188753"/>
    <n v="2"/>
    <n v="1"/>
    <n v="3"/>
    <n v="0"/>
    <n v="3"/>
    <n v="2"/>
    <n v="2"/>
    <n v="0"/>
    <n v="0"/>
    <n v="3"/>
    <n v="46"/>
  </r>
  <r>
    <x v="3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3"/>
    <s v="ITA"/>
    <x v="12"/>
    <x v="12"/>
    <n v="450732745"/>
    <n v="7680687483"/>
    <n v="2"/>
    <n v="0"/>
    <n v="2"/>
    <n v="0"/>
    <n v="2"/>
    <n v="-1"/>
    <n v="-1"/>
    <n v="0"/>
    <n v="0"/>
    <n v="2"/>
    <n v="156"/>
  </r>
  <r>
    <x v="3"/>
    <s v="ITA"/>
    <x v="13"/>
    <x v="13"/>
    <n v="4112559576"/>
    <n v="1686736689"/>
    <n v="1"/>
    <n v="0"/>
    <n v="1"/>
    <n v="0"/>
    <n v="1"/>
    <n v="1"/>
    <n v="1"/>
    <n v="0"/>
    <n v="0"/>
    <n v="1"/>
    <n v="0"/>
  </r>
  <r>
    <x v="3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3"/>
    <s v="ITA"/>
    <x v="15"/>
    <x v="15"/>
    <n v="3811569725"/>
    <n v="133623567"/>
    <n v="1"/>
    <n v="0"/>
    <n v="1"/>
    <n v="1"/>
    <n v="2"/>
    <n v="-1"/>
    <n v="1"/>
    <n v="2"/>
    <n v="0"/>
    <n v="4"/>
    <n v="5"/>
  </r>
  <r>
    <x v="3"/>
    <s v="ITA"/>
    <x v="16"/>
    <x v="16"/>
    <n v="4376923077"/>
    <n v="1125588885"/>
    <n v="2"/>
    <n v="0"/>
    <n v="2"/>
    <n v="0"/>
    <n v="2"/>
    <n v="0"/>
    <n v="0"/>
    <n v="0"/>
    <n v="0"/>
    <n v="2"/>
    <n v="410"/>
  </r>
  <r>
    <x v="3"/>
    <s v="ITA"/>
    <x v="2"/>
    <x v="17"/>
    <n v="4606893511"/>
    <n v="1112123097"/>
    <n v="0"/>
    <n v="0"/>
    <n v="0"/>
    <n v="0"/>
    <n v="0"/>
    <n v="0"/>
    <n v="0"/>
    <n v="0"/>
    <n v="0"/>
    <n v="0"/>
    <n v="32"/>
  </r>
  <r>
    <x v="3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3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3"/>
    <s v="ITA"/>
    <x v="19"/>
    <x v="20"/>
    <n v="4543490485"/>
    <n v="1233845213"/>
    <n v="19"/>
    <n v="8"/>
    <n v="27"/>
    <n v="82"/>
    <n v="109"/>
    <n v="40"/>
    <n v="40"/>
    <n v="0"/>
    <n v="2"/>
    <n v="111"/>
    <n v="6164"/>
  </r>
  <r>
    <x v="4"/>
    <s v="ITA"/>
    <x v="0"/>
    <x v="0"/>
    <n v="4235122196"/>
    <n v="1339843823"/>
    <n v="1"/>
    <n v="0"/>
    <n v="1"/>
    <n v="0"/>
    <n v="1"/>
    <n v="0"/>
    <n v="0"/>
    <n v="0"/>
    <n v="0"/>
    <n v="1"/>
    <n v="33"/>
  </r>
  <r>
    <x v="4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x v="2"/>
    <x v="2"/>
    <n v="4649933453"/>
    <n v="1135662422"/>
    <n v="1"/>
    <n v="0"/>
    <n v="1"/>
    <n v="0"/>
    <n v="1"/>
    <n v="0"/>
    <n v="0"/>
    <n v="0"/>
    <n v="0"/>
    <n v="1"/>
    <n v="2"/>
  </r>
  <r>
    <x v="4"/>
    <s v="ITA"/>
    <x v="3"/>
    <x v="3"/>
    <n v="3890597598"/>
    <n v="1659440194"/>
    <n v="0"/>
    <n v="0"/>
    <n v="0"/>
    <n v="1"/>
    <n v="1"/>
    <n v="1"/>
    <n v="1"/>
    <n v="0"/>
    <n v="0"/>
    <n v="1"/>
    <n v="21"/>
  </r>
  <r>
    <x v="4"/>
    <s v="ITA"/>
    <x v="4"/>
    <x v="4"/>
    <n v="4083956555"/>
    <n v="1425084984"/>
    <n v="2"/>
    <n v="0"/>
    <n v="2"/>
    <n v="2"/>
    <n v="4"/>
    <n v="1"/>
    <n v="1"/>
    <n v="0"/>
    <n v="0"/>
    <n v="4"/>
    <n v="213"/>
  </r>
  <r>
    <x v="4"/>
    <s v="ITA"/>
    <x v="5"/>
    <x v="5"/>
    <n v="4449436681"/>
    <n v="113417208"/>
    <n v="56"/>
    <n v="6"/>
    <n v="62"/>
    <n v="81"/>
    <n v="143"/>
    <n v="47"/>
    <n v="48"/>
    <n v="0"/>
    <n v="2"/>
    <n v="145"/>
    <n v="1277"/>
  </r>
  <r>
    <x v="4"/>
    <s v="ITA"/>
    <x v="6"/>
    <x v="6"/>
    <n v="456494354"/>
    <n v="1376813649"/>
    <n v="0"/>
    <n v="0"/>
    <n v="0"/>
    <n v="0"/>
    <n v="0"/>
    <n v="0"/>
    <n v="0"/>
    <n v="0"/>
    <n v="0"/>
    <n v="0"/>
    <n v="169"/>
  </r>
  <r>
    <x v="4"/>
    <s v="ITA"/>
    <x v="7"/>
    <x v="7"/>
    <n v="4189277044"/>
    <n v="1248366722"/>
    <n v="0"/>
    <n v="0"/>
    <n v="0"/>
    <n v="0"/>
    <n v="0"/>
    <n v="0"/>
    <n v="0"/>
    <n v="3"/>
    <n v="0"/>
    <n v="3"/>
    <n v="611"/>
  </r>
  <r>
    <x v="4"/>
    <s v="ITA"/>
    <x v="8"/>
    <x v="8"/>
    <n v="4441149315"/>
    <n v="89326992"/>
    <n v="9"/>
    <n v="0"/>
    <n v="9"/>
    <n v="10"/>
    <n v="19"/>
    <n v="0"/>
    <n v="0"/>
    <n v="0"/>
    <n v="0"/>
    <n v="19"/>
    <n v="112"/>
  </r>
  <r>
    <x v="4"/>
    <s v="ITA"/>
    <x v="9"/>
    <x v="9"/>
    <n v="4546679409"/>
    <n v="9190347404"/>
    <n v="235"/>
    <n v="47"/>
    <n v="282"/>
    <n v="192"/>
    <n v="474"/>
    <n v="125"/>
    <n v="128"/>
    <n v="40"/>
    <n v="17"/>
    <n v="531"/>
    <n v="4835"/>
  </r>
  <r>
    <x v="4"/>
    <s v="ITA"/>
    <x v="10"/>
    <x v="10"/>
    <n v="4361675973"/>
    <n v="135188753"/>
    <n v="3"/>
    <n v="2"/>
    <n v="5"/>
    <n v="1"/>
    <n v="6"/>
    <n v="3"/>
    <n v="3"/>
    <n v="0"/>
    <n v="0"/>
    <n v="6"/>
    <n v="47"/>
  </r>
  <r>
    <x v="4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4"/>
    <s v="ITA"/>
    <x v="12"/>
    <x v="12"/>
    <n v="450732745"/>
    <n v="7680687483"/>
    <n v="7"/>
    <n v="0"/>
    <n v="7"/>
    <n v="4"/>
    <n v="11"/>
    <n v="9"/>
    <n v="9"/>
    <n v="0"/>
    <n v="0"/>
    <n v="11"/>
    <n v="227"/>
  </r>
  <r>
    <x v="4"/>
    <s v="ITA"/>
    <x v="13"/>
    <x v="13"/>
    <n v="4112559576"/>
    <n v="1686736689"/>
    <n v="1"/>
    <n v="0"/>
    <n v="1"/>
    <n v="2"/>
    <n v="3"/>
    <n v="2"/>
    <n v="2"/>
    <n v="0"/>
    <n v="0"/>
    <n v="3"/>
    <n v="242"/>
  </r>
  <r>
    <x v="4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4"/>
    <s v="ITA"/>
    <x v="15"/>
    <x v="15"/>
    <n v="3811569725"/>
    <n v="133623567"/>
    <n v="1"/>
    <n v="0"/>
    <n v="1"/>
    <n v="1"/>
    <n v="2"/>
    <n v="0"/>
    <n v="0"/>
    <n v="2"/>
    <n v="0"/>
    <n v="4"/>
    <n v="5"/>
  </r>
  <r>
    <x v="4"/>
    <s v="ITA"/>
    <x v="16"/>
    <x v="16"/>
    <n v="4376923077"/>
    <n v="1125588885"/>
    <n v="5"/>
    <n v="0"/>
    <n v="5"/>
    <n v="2"/>
    <n v="7"/>
    <n v="5"/>
    <n v="6"/>
    <n v="1"/>
    <n v="0"/>
    <n v="8"/>
    <n v="437"/>
  </r>
  <r>
    <x v="4"/>
    <s v="ITA"/>
    <x v="2"/>
    <x v="17"/>
    <n v="4606893511"/>
    <n v="1112123097"/>
    <n v="0"/>
    <n v="0"/>
    <n v="0"/>
    <n v="0"/>
    <n v="0"/>
    <n v="0"/>
    <n v="0"/>
    <n v="0"/>
    <n v="0"/>
    <n v="0"/>
    <n v="32"/>
  </r>
  <r>
    <x v="4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4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4"/>
    <s v="ITA"/>
    <x v="19"/>
    <x v="20"/>
    <n v="4543490485"/>
    <n v="1233845213"/>
    <n v="24"/>
    <n v="9"/>
    <n v="33"/>
    <n v="116"/>
    <n v="149"/>
    <n v="40"/>
    <n v="40"/>
    <n v="0"/>
    <n v="2"/>
    <n v="151"/>
    <n v="7414"/>
  </r>
  <r>
    <x v="5"/>
    <s v="ITA"/>
    <x v="0"/>
    <x v="0"/>
    <n v="4235122196"/>
    <n v="1339843823"/>
    <n v="2"/>
    <n v="0"/>
    <n v="2"/>
    <n v="0"/>
    <n v="2"/>
    <n v="1"/>
    <n v="1"/>
    <n v="0"/>
    <n v="0"/>
    <n v="2"/>
    <n v="43"/>
  </r>
  <r>
    <x v="5"/>
    <s v="ITA"/>
    <x v="1"/>
    <x v="1"/>
    <n v="4063947052"/>
    <n v="1580514834"/>
    <n v="0"/>
    <n v="0"/>
    <n v="0"/>
    <n v="0"/>
    <n v="0"/>
    <n v="0"/>
    <n v="0"/>
    <n v="0"/>
    <n v="0"/>
    <n v="0"/>
    <n v="32"/>
  </r>
  <r>
    <x v="5"/>
    <s v="ITA"/>
    <x v="2"/>
    <x v="2"/>
    <n v="4649933453"/>
    <n v="1135662422"/>
    <n v="1"/>
    <n v="0"/>
    <n v="1"/>
    <n v="0"/>
    <n v="1"/>
    <n v="0"/>
    <n v="0"/>
    <n v="0"/>
    <n v="0"/>
    <n v="1"/>
    <n v="16"/>
  </r>
  <r>
    <x v="5"/>
    <s v="ITA"/>
    <x v="3"/>
    <x v="3"/>
    <n v="3890597598"/>
    <n v="1659440194"/>
    <n v="0"/>
    <n v="0"/>
    <n v="0"/>
    <n v="1"/>
    <n v="1"/>
    <n v="0"/>
    <n v="0"/>
    <n v="0"/>
    <n v="0"/>
    <n v="1"/>
    <n v="27"/>
  </r>
  <r>
    <x v="5"/>
    <s v="ITA"/>
    <x v="4"/>
    <x v="4"/>
    <n v="4083956555"/>
    <n v="1425084984"/>
    <n v="3"/>
    <n v="0"/>
    <n v="3"/>
    <n v="10"/>
    <n v="13"/>
    <n v="9"/>
    <n v="9"/>
    <n v="0"/>
    <n v="0"/>
    <n v="13"/>
    <n v="373"/>
  </r>
  <r>
    <x v="5"/>
    <s v="ITA"/>
    <x v="5"/>
    <x v="5"/>
    <n v="4449436681"/>
    <n v="113417208"/>
    <n v="86"/>
    <n v="11"/>
    <n v="97"/>
    <n v="116"/>
    <n v="213"/>
    <n v="70"/>
    <n v="72"/>
    <n v="0"/>
    <n v="4"/>
    <n v="217"/>
    <n v="1550"/>
  </r>
  <r>
    <x v="5"/>
    <s v="ITA"/>
    <x v="6"/>
    <x v="6"/>
    <n v="456494354"/>
    <n v="1376813649"/>
    <n v="0"/>
    <n v="0"/>
    <n v="0"/>
    <n v="0"/>
    <n v="0"/>
    <n v="0"/>
    <n v="0"/>
    <n v="0"/>
    <n v="0"/>
    <n v="0"/>
    <n v="189"/>
  </r>
  <r>
    <x v="5"/>
    <s v="ITA"/>
    <x v="7"/>
    <x v="7"/>
    <n v="4189277044"/>
    <n v="1248366722"/>
    <n v="3"/>
    <n v="0"/>
    <n v="3"/>
    <n v="0"/>
    <n v="3"/>
    <n v="3"/>
    <n v="3"/>
    <n v="3"/>
    <n v="0"/>
    <n v="6"/>
    <n v="679"/>
  </r>
  <r>
    <x v="5"/>
    <s v="ITA"/>
    <x v="8"/>
    <x v="8"/>
    <n v="4441149315"/>
    <n v="89326992"/>
    <n v="4"/>
    <n v="1"/>
    <n v="5"/>
    <n v="33"/>
    <n v="38"/>
    <n v="19"/>
    <n v="23"/>
    <n v="4"/>
    <n v="0"/>
    <n v="42"/>
    <n v="121"/>
  </r>
  <r>
    <x v="5"/>
    <s v="ITA"/>
    <x v="9"/>
    <x v="9"/>
    <n v="4546679409"/>
    <n v="9190347404"/>
    <n v="256"/>
    <n v="80"/>
    <n v="336"/>
    <n v="216"/>
    <n v="552"/>
    <n v="78"/>
    <n v="84"/>
    <n v="40"/>
    <n v="23"/>
    <n v="615"/>
    <n v="5723"/>
  </r>
  <r>
    <x v="5"/>
    <s v="ITA"/>
    <x v="10"/>
    <x v="10"/>
    <n v="4361675973"/>
    <n v="135188753"/>
    <n v="6"/>
    <n v="2"/>
    <n v="8"/>
    <n v="3"/>
    <n v="11"/>
    <n v="5"/>
    <n v="5"/>
    <n v="0"/>
    <n v="0"/>
    <n v="11"/>
    <n v="68"/>
  </r>
  <r>
    <x v="5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5"/>
    <s v="ITA"/>
    <x v="12"/>
    <x v="12"/>
    <n v="450732745"/>
    <n v="7680687483"/>
    <n v="7"/>
    <n v="0"/>
    <n v="7"/>
    <n v="4"/>
    <n v="11"/>
    <n v="0"/>
    <n v="0"/>
    <n v="0"/>
    <n v="0"/>
    <n v="11"/>
    <n v="308"/>
  </r>
  <r>
    <x v="5"/>
    <s v="ITA"/>
    <x v="13"/>
    <x v="13"/>
    <n v="4112559576"/>
    <n v="1686736689"/>
    <n v="1"/>
    <n v="0"/>
    <n v="1"/>
    <n v="2"/>
    <n v="3"/>
    <n v="0"/>
    <n v="0"/>
    <n v="0"/>
    <n v="0"/>
    <n v="3"/>
    <n v="252"/>
  </r>
  <r>
    <x v="5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5"/>
    <s v="ITA"/>
    <x v="15"/>
    <x v="15"/>
    <n v="3811569725"/>
    <n v="133623567"/>
    <n v="1"/>
    <n v="0"/>
    <n v="1"/>
    <n v="1"/>
    <n v="2"/>
    <n v="0"/>
    <n v="0"/>
    <n v="2"/>
    <n v="0"/>
    <n v="4"/>
    <n v="6"/>
  </r>
  <r>
    <x v="5"/>
    <s v="ITA"/>
    <x v="16"/>
    <x v="16"/>
    <n v="4376923077"/>
    <n v="1125588885"/>
    <n v="7"/>
    <n v="0"/>
    <n v="7"/>
    <n v="3"/>
    <n v="10"/>
    <n v="3"/>
    <n v="3"/>
    <n v="1"/>
    <n v="0"/>
    <n v="11"/>
    <n v="531"/>
  </r>
  <r>
    <x v="5"/>
    <s v="ITA"/>
    <x v="2"/>
    <x v="17"/>
    <n v="4606893511"/>
    <n v="1112123097"/>
    <n v="0"/>
    <n v="0"/>
    <n v="0"/>
    <n v="0"/>
    <n v="0"/>
    <n v="0"/>
    <n v="0"/>
    <n v="0"/>
    <n v="0"/>
    <n v="0"/>
    <n v="43"/>
  </r>
  <r>
    <x v="5"/>
    <s v="ITA"/>
    <x v="17"/>
    <x v="18"/>
    <n v="4310675841"/>
    <n v="1238824698"/>
    <n v="0"/>
    <n v="0"/>
    <n v="0"/>
    <n v="0"/>
    <n v="0"/>
    <n v="0"/>
    <n v="0"/>
    <n v="0"/>
    <n v="0"/>
    <n v="0"/>
    <n v="31"/>
  </r>
  <r>
    <x v="5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5"/>
    <s v="ITA"/>
    <x v="19"/>
    <x v="20"/>
    <n v="4543490485"/>
    <n v="1233845213"/>
    <n v="24"/>
    <n v="11"/>
    <n v="35"/>
    <n v="154"/>
    <n v="189"/>
    <n v="40"/>
    <n v="40"/>
    <n v="0"/>
    <n v="2"/>
    <n v="191"/>
    <n v="8659"/>
  </r>
  <r>
    <x v="6"/>
    <s v="ITA"/>
    <x v="0"/>
    <x v="0"/>
    <n v="4235122196"/>
    <n v="1339843823"/>
    <n v="3"/>
    <n v="0"/>
    <n v="3"/>
    <n v="2"/>
    <n v="5"/>
    <n v="3"/>
    <n v="3"/>
    <n v="0"/>
    <n v="0"/>
    <n v="5"/>
    <n v="52"/>
  </r>
  <r>
    <x v="6"/>
    <s v="ITA"/>
    <x v="1"/>
    <x v="1"/>
    <n v="4063947052"/>
    <n v="1580514834"/>
    <n v="0"/>
    <n v="0"/>
    <n v="0"/>
    <n v="0"/>
    <n v="0"/>
    <n v="0"/>
    <n v="0"/>
    <n v="0"/>
    <n v="0"/>
    <n v="0"/>
    <n v="39"/>
  </r>
  <r>
    <x v="6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6"/>
    <s v="ITA"/>
    <x v="3"/>
    <x v="3"/>
    <n v="3890597598"/>
    <n v="1659440194"/>
    <n v="0"/>
    <n v="0"/>
    <n v="0"/>
    <n v="1"/>
    <n v="1"/>
    <n v="0"/>
    <n v="0"/>
    <n v="0"/>
    <n v="0"/>
    <n v="1"/>
    <n v="35"/>
  </r>
  <r>
    <x v="6"/>
    <s v="ITA"/>
    <x v="4"/>
    <x v="4"/>
    <n v="4083956555"/>
    <n v="1425084984"/>
    <n v="4"/>
    <n v="0"/>
    <n v="4"/>
    <n v="13"/>
    <n v="17"/>
    <n v="4"/>
    <n v="4"/>
    <n v="0"/>
    <n v="0"/>
    <n v="17"/>
    <n v="373"/>
  </r>
  <r>
    <x v="6"/>
    <s v="ITA"/>
    <x v="5"/>
    <x v="5"/>
    <n v="4449436681"/>
    <n v="113417208"/>
    <n v="127"/>
    <n v="13"/>
    <n v="140"/>
    <n v="137"/>
    <n v="277"/>
    <n v="64"/>
    <n v="68"/>
    <n v="0"/>
    <n v="8"/>
    <n v="285"/>
    <n v="1795"/>
  </r>
  <r>
    <x v="6"/>
    <s v="ITA"/>
    <x v="6"/>
    <x v="6"/>
    <n v="456494354"/>
    <n v="1376813649"/>
    <n v="0"/>
    <n v="0"/>
    <n v="0"/>
    <n v="6"/>
    <n v="6"/>
    <n v="6"/>
    <n v="6"/>
    <n v="0"/>
    <n v="0"/>
    <n v="6"/>
    <n v="243"/>
  </r>
  <r>
    <x v="6"/>
    <s v="ITA"/>
    <x v="7"/>
    <x v="7"/>
    <n v="4189277044"/>
    <n v="1248366722"/>
    <n v="3"/>
    <n v="0"/>
    <n v="3"/>
    <n v="0"/>
    <n v="3"/>
    <n v="0"/>
    <n v="0"/>
    <n v="3"/>
    <n v="0"/>
    <n v="6"/>
    <n v="724"/>
  </r>
  <r>
    <x v="6"/>
    <s v="ITA"/>
    <x v="8"/>
    <x v="8"/>
    <n v="4441149315"/>
    <n v="89326992"/>
    <n v="12"/>
    <n v="1"/>
    <n v="13"/>
    <n v="8"/>
    <n v="21"/>
    <n v="-17"/>
    <n v="-17"/>
    <n v="4"/>
    <n v="0"/>
    <n v="25"/>
    <n v="121"/>
  </r>
  <r>
    <x v="6"/>
    <s v="ITA"/>
    <x v="9"/>
    <x v="9"/>
    <n v="4546679409"/>
    <n v="9190347404"/>
    <n v="406"/>
    <n v="106"/>
    <n v="512"/>
    <n v="375"/>
    <n v="887"/>
    <n v="335"/>
    <n v="369"/>
    <n v="73"/>
    <n v="24"/>
    <n v="984"/>
    <n v="6879"/>
  </r>
  <r>
    <x v="6"/>
    <s v="ITA"/>
    <x v="10"/>
    <x v="10"/>
    <n v="4361675973"/>
    <n v="135188753"/>
    <n v="12"/>
    <n v="5"/>
    <n v="17"/>
    <n v="8"/>
    <n v="25"/>
    <n v="14"/>
    <n v="14"/>
    <n v="0"/>
    <n v="0"/>
    <n v="25"/>
    <n v="101"/>
  </r>
  <r>
    <x v="6"/>
    <s v="ITA"/>
    <x v="11"/>
    <x v="11"/>
    <n v="4155774754"/>
    <n v="1465916051"/>
    <n v="0"/>
    <n v="0"/>
    <n v="0"/>
    <n v="0"/>
    <n v="0"/>
    <n v="0"/>
    <n v="0"/>
    <n v="0"/>
    <n v="0"/>
    <n v="0"/>
    <n v="6"/>
  </r>
  <r>
    <x v="6"/>
    <s v="ITA"/>
    <x v="12"/>
    <x v="12"/>
    <n v="450732745"/>
    <n v="7680687483"/>
    <n v="11"/>
    <n v="2"/>
    <n v="13"/>
    <n v="36"/>
    <n v="49"/>
    <n v="38"/>
    <n v="38"/>
    <n v="0"/>
    <n v="0"/>
    <n v="49"/>
    <n v="362"/>
  </r>
  <r>
    <x v="6"/>
    <s v="ITA"/>
    <x v="13"/>
    <x v="13"/>
    <n v="4112559576"/>
    <n v="1686736689"/>
    <n v="1"/>
    <n v="0"/>
    <n v="1"/>
    <n v="2"/>
    <n v="3"/>
    <n v="0"/>
    <n v="0"/>
    <n v="0"/>
    <n v="0"/>
    <n v="3"/>
    <n v="262"/>
  </r>
  <r>
    <x v="6"/>
    <s v="ITA"/>
    <x v="14"/>
    <x v="14"/>
    <n v="3921531192"/>
    <n v="9110616306"/>
    <n v="0"/>
    <n v="0"/>
    <n v="0"/>
    <n v="0"/>
    <n v="0"/>
    <n v="0"/>
    <n v="0"/>
    <n v="0"/>
    <n v="0"/>
    <n v="0"/>
    <n v="29"/>
  </r>
  <r>
    <x v="6"/>
    <s v="ITA"/>
    <x v="15"/>
    <x v="15"/>
    <n v="3811569725"/>
    <n v="133623567"/>
    <n v="1"/>
    <n v="0"/>
    <n v="1"/>
    <n v="6"/>
    <n v="7"/>
    <n v="5"/>
    <n v="5"/>
    <n v="2"/>
    <n v="0"/>
    <n v="9"/>
    <n v="291"/>
  </r>
  <r>
    <x v="6"/>
    <s v="ITA"/>
    <x v="16"/>
    <x v="16"/>
    <n v="4376923077"/>
    <n v="1125588885"/>
    <n v="7"/>
    <n v="0"/>
    <n v="7"/>
    <n v="5"/>
    <n v="12"/>
    <n v="2"/>
    <n v="2"/>
    <n v="1"/>
    <n v="0"/>
    <n v="13"/>
    <n v="572"/>
  </r>
  <r>
    <x v="6"/>
    <s v="ITA"/>
    <x v="2"/>
    <x v="17"/>
    <n v="4606893511"/>
    <n v="1112123097"/>
    <n v="0"/>
    <n v="0"/>
    <n v="0"/>
    <n v="0"/>
    <n v="0"/>
    <n v="0"/>
    <n v="0"/>
    <n v="0"/>
    <n v="0"/>
    <n v="0"/>
    <n v="122"/>
  </r>
  <r>
    <x v="6"/>
    <s v="ITA"/>
    <x v="17"/>
    <x v="18"/>
    <n v="4310675841"/>
    <n v="1238824698"/>
    <n v="0"/>
    <n v="0"/>
    <n v="0"/>
    <n v="2"/>
    <n v="2"/>
    <n v="2"/>
    <n v="2"/>
    <n v="0"/>
    <n v="0"/>
    <n v="2"/>
    <n v="35"/>
  </r>
  <r>
    <x v="6"/>
    <s v="ITA"/>
    <x v="18"/>
    <x v="19"/>
    <n v="4573750286"/>
    <n v="7320149366"/>
    <n v="0"/>
    <n v="0"/>
    <n v="0"/>
    <n v="0"/>
    <n v="0"/>
    <n v="0"/>
    <n v="0"/>
    <n v="0"/>
    <n v="0"/>
    <n v="0"/>
    <n v="10"/>
  </r>
  <r>
    <x v="6"/>
    <s v="ITA"/>
    <x v="19"/>
    <x v="20"/>
    <n v="4543490485"/>
    <n v="1233845213"/>
    <n v="51"/>
    <n v="13"/>
    <n v="64"/>
    <n v="197"/>
    <n v="261"/>
    <n v="72"/>
    <n v="72"/>
    <n v="0"/>
    <n v="2"/>
    <n v="263"/>
    <n v="9056"/>
  </r>
  <r>
    <x v="7"/>
    <s v="ITA"/>
    <x v="0"/>
    <x v="0"/>
    <n v="4235122196"/>
    <n v="1339843823"/>
    <n v="3"/>
    <n v="0"/>
    <n v="3"/>
    <n v="2"/>
    <n v="5"/>
    <n v="0"/>
    <n v="0"/>
    <n v="0"/>
    <n v="0"/>
    <n v="5"/>
    <n v="52"/>
  </r>
  <r>
    <x v="7"/>
    <s v="ITA"/>
    <x v="1"/>
    <x v="1"/>
    <n v="4063947052"/>
    <n v="1580514834"/>
    <n v="0"/>
    <n v="0"/>
    <n v="0"/>
    <n v="0"/>
    <n v="0"/>
    <n v="0"/>
    <n v="0"/>
    <n v="0"/>
    <n v="0"/>
    <n v="0"/>
    <n v="39"/>
  </r>
  <r>
    <x v="7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7"/>
    <s v="ITA"/>
    <x v="3"/>
    <x v="3"/>
    <n v="3890597598"/>
    <n v="1659440194"/>
    <n v="0"/>
    <n v="0"/>
    <n v="0"/>
    <n v="1"/>
    <n v="1"/>
    <n v="0"/>
    <n v="0"/>
    <n v="0"/>
    <n v="0"/>
    <n v="1"/>
    <n v="39"/>
  </r>
  <r>
    <x v="7"/>
    <s v="ITA"/>
    <x v="4"/>
    <x v="4"/>
    <n v="4083956555"/>
    <n v="1425084984"/>
    <n v="4"/>
    <n v="0"/>
    <n v="4"/>
    <n v="13"/>
    <n v="17"/>
    <n v="0"/>
    <n v="0"/>
    <n v="0"/>
    <n v="0"/>
    <n v="17"/>
    <n v="373"/>
  </r>
  <r>
    <x v="7"/>
    <s v="ITA"/>
    <x v="5"/>
    <x v="5"/>
    <n v="4449436681"/>
    <n v="113417208"/>
    <n v="148"/>
    <n v="16"/>
    <n v="164"/>
    <n v="160"/>
    <n v="324"/>
    <n v="47"/>
    <n v="50"/>
    <n v="0"/>
    <n v="11"/>
    <n v="335"/>
    <n v="1973"/>
  </r>
  <r>
    <x v="7"/>
    <s v="ITA"/>
    <x v="6"/>
    <x v="6"/>
    <n v="456494354"/>
    <n v="1376813649"/>
    <n v="0"/>
    <n v="0"/>
    <n v="0"/>
    <n v="9"/>
    <n v="9"/>
    <n v="3"/>
    <n v="3"/>
    <n v="0"/>
    <n v="0"/>
    <n v="9"/>
    <n v="269"/>
  </r>
  <r>
    <x v="7"/>
    <s v="ITA"/>
    <x v="7"/>
    <x v="7"/>
    <n v="4189277044"/>
    <n v="1248366722"/>
    <n v="3"/>
    <n v="0"/>
    <n v="3"/>
    <n v="1"/>
    <n v="4"/>
    <n v="1"/>
    <n v="1"/>
    <n v="3"/>
    <n v="0"/>
    <n v="7"/>
    <n v="773"/>
  </r>
  <r>
    <x v="7"/>
    <s v="ITA"/>
    <x v="8"/>
    <x v="8"/>
    <n v="4441149315"/>
    <n v="89326992"/>
    <n v="12"/>
    <n v="1"/>
    <n v="13"/>
    <n v="5"/>
    <n v="18"/>
    <n v="-3"/>
    <n v="-3"/>
    <n v="4"/>
    <n v="0"/>
    <n v="22"/>
    <n v="121"/>
  </r>
  <r>
    <x v="7"/>
    <s v="ITA"/>
    <x v="9"/>
    <x v="9"/>
    <n v="4546679409"/>
    <n v="9190347404"/>
    <n v="478"/>
    <n v="127"/>
    <n v="605"/>
    <n v="472"/>
    <n v="1077"/>
    <n v="190"/>
    <n v="270"/>
    <n v="139"/>
    <n v="38"/>
    <n v="1254"/>
    <n v="7925"/>
  </r>
  <r>
    <x v="7"/>
    <s v="ITA"/>
    <x v="10"/>
    <x v="10"/>
    <n v="4361675973"/>
    <n v="135188753"/>
    <n v="17"/>
    <n v="6"/>
    <n v="23"/>
    <n v="11"/>
    <n v="34"/>
    <n v="9"/>
    <n v="10"/>
    <n v="0"/>
    <n v="1"/>
    <n v="35"/>
    <n v="137"/>
  </r>
  <r>
    <x v="7"/>
    <s v="ITA"/>
    <x v="11"/>
    <x v="11"/>
    <n v="4155774754"/>
    <n v="1465916051"/>
    <n v="0"/>
    <n v="0"/>
    <n v="0"/>
    <n v="0"/>
    <n v="0"/>
    <n v="0"/>
    <n v="0"/>
    <n v="0"/>
    <n v="0"/>
    <n v="0"/>
    <n v="13"/>
  </r>
  <r>
    <x v="7"/>
    <s v="ITA"/>
    <x v="12"/>
    <x v="12"/>
    <n v="450732745"/>
    <n v="7680687483"/>
    <n v="12"/>
    <n v="2"/>
    <n v="14"/>
    <n v="37"/>
    <n v="51"/>
    <n v="2"/>
    <n v="2"/>
    <n v="0"/>
    <n v="0"/>
    <n v="51"/>
    <n v="434"/>
  </r>
  <r>
    <x v="7"/>
    <s v="ITA"/>
    <x v="13"/>
    <x v="13"/>
    <n v="4112559576"/>
    <n v="1686736689"/>
    <n v="2"/>
    <n v="0"/>
    <n v="2"/>
    <n v="2"/>
    <n v="4"/>
    <n v="1"/>
    <n v="1"/>
    <n v="0"/>
    <n v="0"/>
    <n v="4"/>
    <n v="278"/>
  </r>
  <r>
    <x v="7"/>
    <s v="ITA"/>
    <x v="14"/>
    <x v="14"/>
    <n v="3921531192"/>
    <n v="9110616306"/>
    <n v="0"/>
    <n v="0"/>
    <n v="0"/>
    <n v="0"/>
    <n v="0"/>
    <n v="0"/>
    <n v="0"/>
    <n v="0"/>
    <n v="0"/>
    <n v="0"/>
    <n v="29"/>
  </r>
  <r>
    <x v="7"/>
    <s v="ITA"/>
    <x v="15"/>
    <x v="15"/>
    <n v="3811569725"/>
    <n v="133623567"/>
    <n v="2"/>
    <n v="0"/>
    <n v="2"/>
    <n v="3"/>
    <n v="5"/>
    <n v="-2"/>
    <n v="-2"/>
    <n v="2"/>
    <n v="0"/>
    <n v="7"/>
    <n v="307"/>
  </r>
  <r>
    <x v="7"/>
    <s v="ITA"/>
    <x v="16"/>
    <x v="16"/>
    <n v="4376923077"/>
    <n v="1125588885"/>
    <n v="7"/>
    <n v="0"/>
    <n v="7"/>
    <n v="5"/>
    <n v="12"/>
    <n v="0"/>
    <n v="0"/>
    <n v="1"/>
    <n v="0"/>
    <n v="13"/>
    <n v="613"/>
  </r>
  <r>
    <x v="7"/>
    <s v="ITA"/>
    <x v="2"/>
    <x v="17"/>
    <n v="4606893511"/>
    <n v="1112123097"/>
    <n v="0"/>
    <n v="0"/>
    <n v="0"/>
    <n v="0"/>
    <n v="0"/>
    <n v="0"/>
    <n v="0"/>
    <n v="0"/>
    <n v="0"/>
    <n v="0"/>
    <n v="122"/>
  </r>
  <r>
    <x v="7"/>
    <s v="ITA"/>
    <x v="17"/>
    <x v="18"/>
    <n v="4310675841"/>
    <n v="1238824698"/>
    <n v="0"/>
    <n v="0"/>
    <n v="0"/>
    <n v="2"/>
    <n v="2"/>
    <n v="0"/>
    <n v="0"/>
    <n v="0"/>
    <n v="0"/>
    <n v="2"/>
    <n v="35"/>
  </r>
  <r>
    <x v="7"/>
    <s v="ITA"/>
    <x v="18"/>
    <x v="19"/>
    <n v="4573750286"/>
    <n v="7320149366"/>
    <n v="0"/>
    <n v="0"/>
    <n v="0"/>
    <n v="0"/>
    <n v="0"/>
    <n v="0"/>
    <n v="0"/>
    <n v="0"/>
    <n v="0"/>
    <n v="0"/>
    <n v="11"/>
  </r>
  <r>
    <x v="7"/>
    <s v="ITA"/>
    <x v="19"/>
    <x v="20"/>
    <n v="4543490485"/>
    <n v="1233845213"/>
    <n v="53"/>
    <n v="14"/>
    <n v="67"/>
    <n v="204"/>
    <n v="271"/>
    <n v="10"/>
    <n v="10"/>
    <n v="0"/>
    <n v="2"/>
    <n v="273"/>
    <n v="9782"/>
  </r>
  <r>
    <x v="8"/>
    <s v="ITA"/>
    <x v="0"/>
    <x v="0"/>
    <n v="4235122196"/>
    <n v="1339843823"/>
    <n v="5"/>
    <n v="0"/>
    <n v="5"/>
    <n v="1"/>
    <n v="6"/>
    <n v="1"/>
    <n v="1"/>
    <n v="0"/>
    <n v="0"/>
    <n v="6"/>
    <n v="52"/>
  </r>
  <r>
    <x v="8"/>
    <s v="ITA"/>
    <x v="1"/>
    <x v="1"/>
    <n v="4063947052"/>
    <n v="1580514834"/>
    <n v="0"/>
    <n v="0"/>
    <n v="0"/>
    <n v="1"/>
    <n v="1"/>
    <n v="1"/>
    <n v="1"/>
    <n v="0"/>
    <n v="0"/>
    <n v="1"/>
    <n v="42"/>
  </r>
  <r>
    <x v="8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8"/>
    <s v="ITA"/>
    <x v="3"/>
    <x v="3"/>
    <n v="3890597598"/>
    <n v="1659440194"/>
    <n v="0"/>
    <n v="0"/>
    <n v="0"/>
    <n v="1"/>
    <n v="1"/>
    <n v="0"/>
    <n v="0"/>
    <n v="0"/>
    <n v="0"/>
    <n v="1"/>
    <n v="39"/>
  </r>
  <r>
    <x v="8"/>
    <s v="ITA"/>
    <x v="4"/>
    <x v="4"/>
    <n v="4083956555"/>
    <n v="1425084984"/>
    <n v="11"/>
    <n v="0"/>
    <n v="11"/>
    <n v="19"/>
    <n v="30"/>
    <n v="13"/>
    <n v="13"/>
    <n v="0"/>
    <n v="0"/>
    <n v="30"/>
    <n v="405"/>
  </r>
  <r>
    <x v="8"/>
    <s v="ITA"/>
    <x v="5"/>
    <x v="5"/>
    <n v="4449436681"/>
    <n v="113417208"/>
    <n v="187"/>
    <n v="24"/>
    <n v="211"/>
    <n v="187"/>
    <n v="398"/>
    <n v="74"/>
    <n v="85"/>
    <n v="4"/>
    <n v="18"/>
    <n v="420"/>
    <n v="2012"/>
  </r>
  <r>
    <x v="8"/>
    <s v="ITA"/>
    <x v="6"/>
    <x v="6"/>
    <n v="456494354"/>
    <n v="1376813649"/>
    <n v="1"/>
    <n v="0"/>
    <n v="1"/>
    <n v="12"/>
    <n v="13"/>
    <n v="4"/>
    <n v="4"/>
    <n v="0"/>
    <n v="0"/>
    <n v="13"/>
    <n v="354"/>
  </r>
  <r>
    <x v="8"/>
    <s v="ITA"/>
    <x v="7"/>
    <x v="7"/>
    <n v="4189277044"/>
    <n v="1248366722"/>
    <n v="10"/>
    <n v="0"/>
    <n v="10"/>
    <n v="1"/>
    <n v="11"/>
    <n v="7"/>
    <n v="7"/>
    <n v="3"/>
    <n v="0"/>
    <n v="14"/>
    <n v="877"/>
  </r>
  <r>
    <x v="8"/>
    <s v="ITA"/>
    <x v="8"/>
    <x v="8"/>
    <n v="4441149315"/>
    <n v="89326992"/>
    <n v="12"/>
    <n v="2"/>
    <n v="14"/>
    <n v="5"/>
    <n v="19"/>
    <n v="1"/>
    <n v="2"/>
    <n v="4"/>
    <n v="1"/>
    <n v="24"/>
    <n v="121"/>
  </r>
  <r>
    <x v="8"/>
    <s v="ITA"/>
    <x v="9"/>
    <x v="9"/>
    <n v="4546679409"/>
    <n v="9190347404"/>
    <n v="698"/>
    <n v="167"/>
    <n v="865"/>
    <n v="461"/>
    <n v="1326"/>
    <n v="249"/>
    <n v="266"/>
    <n v="139"/>
    <n v="55"/>
    <n v="1520"/>
    <n v="9577"/>
  </r>
  <r>
    <x v="8"/>
    <s v="ITA"/>
    <x v="10"/>
    <x v="10"/>
    <n v="4361675973"/>
    <n v="135188753"/>
    <n v="27"/>
    <n v="13"/>
    <n v="40"/>
    <n v="19"/>
    <n v="59"/>
    <n v="25"/>
    <n v="26"/>
    <n v="0"/>
    <n v="2"/>
    <n v="61"/>
    <n v="200"/>
  </r>
  <r>
    <x v="8"/>
    <s v="ITA"/>
    <x v="11"/>
    <x v="11"/>
    <n v="4155774754"/>
    <n v="1465916051"/>
    <n v="3"/>
    <n v="0"/>
    <n v="3"/>
    <n v="0"/>
    <n v="3"/>
    <n v="3"/>
    <n v="3"/>
    <n v="0"/>
    <n v="0"/>
    <n v="3"/>
    <n v="13"/>
  </r>
  <r>
    <x v="8"/>
    <s v="ITA"/>
    <x v="12"/>
    <x v="12"/>
    <n v="450732745"/>
    <n v="7680687483"/>
    <n v="13"/>
    <n v="3"/>
    <n v="16"/>
    <n v="40"/>
    <n v="56"/>
    <n v="5"/>
    <n v="5"/>
    <n v="0"/>
    <n v="0"/>
    <n v="56"/>
    <n v="458"/>
  </r>
  <r>
    <x v="8"/>
    <s v="ITA"/>
    <x v="13"/>
    <x v="13"/>
    <n v="4112559576"/>
    <n v="1686736689"/>
    <n v="2"/>
    <n v="0"/>
    <n v="2"/>
    <n v="4"/>
    <n v="6"/>
    <n v="2"/>
    <n v="2"/>
    <n v="0"/>
    <n v="0"/>
    <n v="6"/>
    <n v="298"/>
  </r>
  <r>
    <x v="8"/>
    <s v="ITA"/>
    <x v="14"/>
    <x v="14"/>
    <n v="3921531192"/>
    <n v="9110616306"/>
    <n v="1"/>
    <n v="0"/>
    <n v="1"/>
    <n v="0"/>
    <n v="1"/>
    <n v="1"/>
    <n v="1"/>
    <n v="0"/>
    <n v="0"/>
    <n v="1"/>
    <n v="29"/>
  </r>
  <r>
    <x v="8"/>
    <s v="ITA"/>
    <x v="15"/>
    <x v="15"/>
    <n v="3811569725"/>
    <n v="133623567"/>
    <n v="2"/>
    <n v="0"/>
    <n v="2"/>
    <n v="3"/>
    <n v="5"/>
    <n v="0"/>
    <n v="0"/>
    <n v="2"/>
    <n v="0"/>
    <n v="7"/>
    <n v="307"/>
  </r>
  <r>
    <x v="8"/>
    <s v="ITA"/>
    <x v="16"/>
    <x v="16"/>
    <n v="4376923077"/>
    <n v="1125588885"/>
    <n v="10"/>
    <n v="0"/>
    <n v="10"/>
    <n v="8"/>
    <n v="18"/>
    <n v="6"/>
    <n v="6"/>
    <n v="1"/>
    <n v="0"/>
    <n v="19"/>
    <n v="697"/>
  </r>
  <r>
    <x v="8"/>
    <s v="ITA"/>
    <x v="2"/>
    <x v="17"/>
    <n v="4606893511"/>
    <n v="1112123097"/>
    <n v="1"/>
    <n v="0"/>
    <n v="1"/>
    <n v="3"/>
    <n v="4"/>
    <n v="4"/>
    <n v="4"/>
    <n v="0"/>
    <n v="0"/>
    <n v="4"/>
    <n v="122"/>
  </r>
  <r>
    <x v="8"/>
    <s v="ITA"/>
    <x v="17"/>
    <x v="18"/>
    <n v="4310675841"/>
    <n v="1238824698"/>
    <n v="1"/>
    <n v="1"/>
    <n v="2"/>
    <n v="6"/>
    <n v="8"/>
    <n v="6"/>
    <n v="6"/>
    <n v="0"/>
    <n v="0"/>
    <n v="8"/>
    <n v="45"/>
  </r>
  <r>
    <x v="8"/>
    <s v="ITA"/>
    <x v="18"/>
    <x v="19"/>
    <n v="4573750286"/>
    <n v="7320149366"/>
    <n v="0"/>
    <n v="0"/>
    <n v="0"/>
    <n v="0"/>
    <n v="0"/>
    <n v="0"/>
    <n v="0"/>
    <n v="0"/>
    <n v="0"/>
    <n v="0"/>
    <n v="12"/>
  </r>
  <r>
    <x v="8"/>
    <s v="ITA"/>
    <x v="19"/>
    <x v="20"/>
    <n v="4543490485"/>
    <n v="1233845213"/>
    <n v="49"/>
    <n v="19"/>
    <n v="68"/>
    <n v="229"/>
    <n v="297"/>
    <n v="26"/>
    <n v="34"/>
    <n v="7"/>
    <n v="3"/>
    <n v="307"/>
    <n v="10176"/>
  </r>
  <r>
    <x v="9"/>
    <s v="ITA"/>
    <x v="0"/>
    <x v="0"/>
    <n v="4235122196"/>
    <n v="1339843823"/>
    <n v="7"/>
    <n v="0"/>
    <n v="7"/>
    <n v="0"/>
    <n v="7"/>
    <n v="1"/>
    <n v="1"/>
    <n v="0"/>
    <n v="0"/>
    <n v="7"/>
    <n v="85"/>
  </r>
  <r>
    <x v="9"/>
    <s v="ITA"/>
    <x v="1"/>
    <x v="1"/>
    <n v="4063947052"/>
    <n v="1580514834"/>
    <n v="0"/>
    <n v="0"/>
    <n v="0"/>
    <n v="1"/>
    <n v="1"/>
    <n v="0"/>
    <n v="0"/>
    <n v="0"/>
    <n v="0"/>
    <n v="1"/>
    <n v="48"/>
  </r>
  <r>
    <x v="9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9"/>
    <s v="ITA"/>
    <x v="3"/>
    <x v="3"/>
    <n v="3890597598"/>
    <n v="1659440194"/>
    <n v="0"/>
    <n v="0"/>
    <n v="0"/>
    <n v="1"/>
    <n v="1"/>
    <n v="0"/>
    <n v="0"/>
    <n v="0"/>
    <n v="0"/>
    <n v="1"/>
    <n v="46"/>
  </r>
  <r>
    <x v="9"/>
    <s v="ITA"/>
    <x v="4"/>
    <x v="4"/>
    <n v="4083956555"/>
    <n v="1425084984"/>
    <n v="11"/>
    <n v="0"/>
    <n v="11"/>
    <n v="20"/>
    <n v="31"/>
    <n v="1"/>
    <n v="1"/>
    <n v="0"/>
    <n v="0"/>
    <n v="31"/>
    <n v="429"/>
  </r>
  <r>
    <x v="9"/>
    <s v="ITA"/>
    <x v="5"/>
    <x v="5"/>
    <n v="4449436681"/>
    <n v="113417208"/>
    <n v="256"/>
    <n v="26"/>
    <n v="282"/>
    <n v="234"/>
    <n v="516"/>
    <n v="118"/>
    <n v="124"/>
    <n v="6"/>
    <n v="22"/>
    <n v="544"/>
    <n v="2500"/>
  </r>
  <r>
    <x v="9"/>
    <s v="ITA"/>
    <x v="6"/>
    <x v="6"/>
    <n v="456494354"/>
    <n v="1376813649"/>
    <n v="3"/>
    <n v="0"/>
    <n v="3"/>
    <n v="15"/>
    <n v="18"/>
    <n v="5"/>
    <n v="5"/>
    <n v="0"/>
    <n v="0"/>
    <n v="18"/>
    <n v="376"/>
  </r>
  <r>
    <x v="9"/>
    <s v="ITA"/>
    <x v="7"/>
    <x v="7"/>
    <n v="4189277044"/>
    <n v="1248366722"/>
    <n v="15"/>
    <n v="3"/>
    <n v="18"/>
    <n v="9"/>
    <n v="27"/>
    <n v="16"/>
    <n v="16"/>
    <n v="3"/>
    <n v="0"/>
    <n v="30"/>
    <n v="995"/>
  </r>
  <r>
    <x v="9"/>
    <s v="ITA"/>
    <x v="8"/>
    <x v="8"/>
    <n v="4441149315"/>
    <n v="89326992"/>
    <n v="10"/>
    <n v="3"/>
    <n v="13"/>
    <n v="8"/>
    <n v="21"/>
    <n v="2"/>
    <n v="2"/>
    <n v="4"/>
    <n v="1"/>
    <n v="26"/>
    <n v="133"/>
  </r>
  <r>
    <x v="9"/>
    <s v="ITA"/>
    <x v="9"/>
    <x v="9"/>
    <n v="4546679409"/>
    <n v="9190347404"/>
    <n v="877"/>
    <n v="209"/>
    <n v="1086"/>
    <n v="411"/>
    <n v="1497"/>
    <n v="171"/>
    <n v="300"/>
    <n v="250"/>
    <n v="73"/>
    <n v="1820"/>
    <n v="12138"/>
  </r>
  <r>
    <x v="9"/>
    <s v="ITA"/>
    <x v="10"/>
    <x v="10"/>
    <n v="4361675973"/>
    <n v="135188753"/>
    <n v="34"/>
    <n v="15"/>
    <n v="49"/>
    <n v="31"/>
    <n v="80"/>
    <n v="21"/>
    <n v="23"/>
    <n v="0"/>
    <n v="4"/>
    <n v="84"/>
    <n v="288"/>
  </r>
  <r>
    <x v="9"/>
    <s v="ITA"/>
    <x v="11"/>
    <x v="11"/>
    <n v="4155774754"/>
    <n v="1465916051"/>
    <n v="3"/>
    <n v="0"/>
    <n v="3"/>
    <n v="0"/>
    <n v="3"/>
    <n v="0"/>
    <n v="0"/>
    <n v="0"/>
    <n v="0"/>
    <n v="3"/>
    <n v="19"/>
  </r>
  <r>
    <x v="9"/>
    <s v="ITA"/>
    <x v="12"/>
    <x v="12"/>
    <n v="450732745"/>
    <n v="7680687483"/>
    <n v="26"/>
    <n v="13"/>
    <n v="39"/>
    <n v="43"/>
    <n v="82"/>
    <n v="26"/>
    <n v="26"/>
    <n v="0"/>
    <n v="0"/>
    <n v="82"/>
    <n v="543"/>
  </r>
  <r>
    <x v="9"/>
    <s v="ITA"/>
    <x v="13"/>
    <x v="13"/>
    <n v="4112559576"/>
    <n v="1686736689"/>
    <n v="4"/>
    <n v="0"/>
    <n v="4"/>
    <n v="3"/>
    <n v="7"/>
    <n v="1"/>
    <n v="3"/>
    <n v="1"/>
    <n v="1"/>
    <n v="9"/>
    <n v="322"/>
  </r>
  <r>
    <x v="9"/>
    <s v="ITA"/>
    <x v="14"/>
    <x v="14"/>
    <n v="3921531192"/>
    <n v="9110616306"/>
    <n v="1"/>
    <n v="0"/>
    <n v="1"/>
    <n v="1"/>
    <n v="2"/>
    <n v="1"/>
    <n v="1"/>
    <n v="0"/>
    <n v="0"/>
    <n v="2"/>
    <n v="42"/>
  </r>
  <r>
    <x v="9"/>
    <s v="ITA"/>
    <x v="15"/>
    <x v="15"/>
    <n v="3811569725"/>
    <n v="133623567"/>
    <n v="5"/>
    <n v="0"/>
    <n v="5"/>
    <n v="11"/>
    <n v="16"/>
    <n v="11"/>
    <n v="11"/>
    <n v="2"/>
    <n v="0"/>
    <n v="18"/>
    <n v="367"/>
  </r>
  <r>
    <x v="9"/>
    <s v="ITA"/>
    <x v="16"/>
    <x v="16"/>
    <n v="4376923077"/>
    <n v="1125588885"/>
    <n v="15"/>
    <n v="2"/>
    <n v="17"/>
    <n v="20"/>
    <n v="37"/>
    <n v="19"/>
    <n v="19"/>
    <n v="1"/>
    <n v="0"/>
    <n v="38"/>
    <n v="776"/>
  </r>
  <r>
    <x v="9"/>
    <s v="ITA"/>
    <x v="2"/>
    <x v="17"/>
    <n v="4606893511"/>
    <n v="1112123097"/>
    <n v="1"/>
    <n v="0"/>
    <n v="1"/>
    <n v="4"/>
    <n v="5"/>
    <n v="1"/>
    <n v="1"/>
    <n v="0"/>
    <n v="0"/>
    <n v="5"/>
    <n v="122"/>
  </r>
  <r>
    <x v="9"/>
    <s v="ITA"/>
    <x v="17"/>
    <x v="18"/>
    <n v="4310675841"/>
    <n v="1238824698"/>
    <n v="1"/>
    <n v="1"/>
    <n v="2"/>
    <n v="7"/>
    <n v="9"/>
    <n v="1"/>
    <n v="1"/>
    <n v="0"/>
    <n v="0"/>
    <n v="9"/>
    <n v="58"/>
  </r>
  <r>
    <x v="9"/>
    <s v="ITA"/>
    <x v="18"/>
    <x v="19"/>
    <n v="4573750286"/>
    <n v="7320149366"/>
    <n v="0"/>
    <n v="0"/>
    <n v="0"/>
    <n v="0"/>
    <n v="0"/>
    <n v="0"/>
    <n v="0"/>
    <n v="0"/>
    <n v="0"/>
    <n v="0"/>
    <n v="15"/>
  </r>
  <r>
    <x v="9"/>
    <s v="ITA"/>
    <x v="19"/>
    <x v="20"/>
    <n v="4543490485"/>
    <n v="1233845213"/>
    <n v="76"/>
    <n v="23"/>
    <n v="99"/>
    <n v="246"/>
    <n v="345"/>
    <n v="48"/>
    <n v="53"/>
    <n v="9"/>
    <n v="6"/>
    <n v="360"/>
    <n v="10515"/>
  </r>
  <r>
    <x v="10"/>
    <s v="ITA"/>
    <x v="0"/>
    <x v="0"/>
    <n v="4235122196"/>
    <n v="1339843823"/>
    <n v="8"/>
    <n v="0"/>
    <n v="8"/>
    <n v="0"/>
    <n v="8"/>
    <n v="1"/>
    <n v="1"/>
    <n v="0"/>
    <n v="0"/>
    <n v="8"/>
    <n v="96"/>
  </r>
  <r>
    <x v="10"/>
    <s v="ITA"/>
    <x v="1"/>
    <x v="1"/>
    <n v="4063947052"/>
    <n v="1580514834"/>
    <n v="0"/>
    <n v="0"/>
    <n v="0"/>
    <n v="1"/>
    <n v="1"/>
    <n v="0"/>
    <n v="0"/>
    <n v="0"/>
    <n v="0"/>
    <n v="1"/>
    <n v="54"/>
  </r>
  <r>
    <x v="10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10"/>
    <s v="ITA"/>
    <x v="3"/>
    <x v="3"/>
    <n v="3890597598"/>
    <n v="1659440194"/>
    <n v="1"/>
    <n v="0"/>
    <n v="1"/>
    <n v="1"/>
    <n v="2"/>
    <n v="1"/>
    <n v="1"/>
    <n v="0"/>
    <n v="0"/>
    <n v="2"/>
    <n v="53"/>
  </r>
  <r>
    <x v="10"/>
    <s v="ITA"/>
    <x v="4"/>
    <x v="4"/>
    <n v="4083956555"/>
    <n v="1425084984"/>
    <n v="12"/>
    <n v="0"/>
    <n v="12"/>
    <n v="33"/>
    <n v="45"/>
    <n v="14"/>
    <n v="14"/>
    <n v="0"/>
    <n v="0"/>
    <n v="45"/>
    <n v="471"/>
  </r>
  <r>
    <x v="10"/>
    <s v="ITA"/>
    <x v="5"/>
    <x v="5"/>
    <n v="4449436681"/>
    <n v="113417208"/>
    <n v="327"/>
    <n v="32"/>
    <n v="359"/>
    <n v="299"/>
    <n v="658"/>
    <n v="142"/>
    <n v="154"/>
    <n v="10"/>
    <n v="30"/>
    <n v="698"/>
    <n v="2884"/>
  </r>
  <r>
    <x v="10"/>
    <s v="ITA"/>
    <x v="6"/>
    <x v="6"/>
    <n v="456494354"/>
    <n v="1376813649"/>
    <n v="4"/>
    <n v="0"/>
    <n v="4"/>
    <n v="17"/>
    <n v="21"/>
    <n v="3"/>
    <n v="3"/>
    <n v="0"/>
    <n v="0"/>
    <n v="21"/>
    <n v="397"/>
  </r>
  <r>
    <x v="10"/>
    <s v="ITA"/>
    <x v="7"/>
    <x v="7"/>
    <n v="4189277044"/>
    <n v="1248366722"/>
    <n v="20"/>
    <n v="7"/>
    <n v="27"/>
    <n v="14"/>
    <n v="41"/>
    <n v="14"/>
    <n v="14"/>
    <n v="3"/>
    <n v="0"/>
    <n v="44"/>
    <n v="1175"/>
  </r>
  <r>
    <x v="10"/>
    <s v="ITA"/>
    <x v="8"/>
    <x v="8"/>
    <n v="4441149315"/>
    <n v="89326992"/>
    <n v="11"/>
    <n v="3"/>
    <n v="14"/>
    <n v="7"/>
    <n v="21"/>
    <n v="0"/>
    <n v="2"/>
    <n v="4"/>
    <n v="3"/>
    <n v="28"/>
    <n v="146"/>
  </r>
  <r>
    <x v="10"/>
    <s v="ITA"/>
    <x v="9"/>
    <x v="9"/>
    <n v="4546679409"/>
    <n v="9190347404"/>
    <n v="1169"/>
    <n v="244"/>
    <n v="1413"/>
    <n v="364"/>
    <n v="1777"/>
    <n v="280"/>
    <n v="431"/>
    <n v="376"/>
    <n v="98"/>
    <n v="2251"/>
    <n v="12354"/>
  </r>
  <r>
    <x v="10"/>
    <s v="ITA"/>
    <x v="10"/>
    <x v="10"/>
    <n v="4361675973"/>
    <n v="135188753"/>
    <n v="57"/>
    <n v="19"/>
    <n v="76"/>
    <n v="44"/>
    <n v="120"/>
    <n v="40"/>
    <n v="40"/>
    <n v="0"/>
    <n v="4"/>
    <n v="124"/>
    <n v="413"/>
  </r>
  <r>
    <x v="10"/>
    <s v="ITA"/>
    <x v="11"/>
    <x v="11"/>
    <n v="4155774754"/>
    <n v="1465916051"/>
    <n v="4"/>
    <n v="0"/>
    <n v="4"/>
    <n v="3"/>
    <n v="7"/>
    <n v="4"/>
    <n v="4"/>
    <n v="0"/>
    <n v="0"/>
    <n v="7"/>
    <n v="24"/>
  </r>
  <r>
    <x v="10"/>
    <s v="ITA"/>
    <x v="12"/>
    <x v="12"/>
    <n v="450732745"/>
    <n v="7680687483"/>
    <n v="43"/>
    <n v="17"/>
    <n v="60"/>
    <n v="46"/>
    <n v="106"/>
    <n v="24"/>
    <n v="26"/>
    <n v="0"/>
    <n v="2"/>
    <n v="108"/>
    <n v="543"/>
  </r>
  <r>
    <x v="10"/>
    <s v="ITA"/>
    <x v="13"/>
    <x v="13"/>
    <n v="4112559576"/>
    <n v="1686736689"/>
    <n v="5"/>
    <n v="1"/>
    <n v="6"/>
    <n v="6"/>
    <n v="12"/>
    <n v="5"/>
    <n v="5"/>
    <n v="1"/>
    <n v="1"/>
    <n v="14"/>
    <n v="359"/>
  </r>
  <r>
    <x v="10"/>
    <s v="ITA"/>
    <x v="14"/>
    <x v="14"/>
    <n v="3921531192"/>
    <n v="9110616306"/>
    <n v="2"/>
    <n v="0"/>
    <n v="2"/>
    <n v="0"/>
    <n v="2"/>
    <n v="0"/>
    <n v="0"/>
    <n v="0"/>
    <n v="0"/>
    <n v="2"/>
    <n v="50"/>
  </r>
  <r>
    <x v="10"/>
    <s v="ITA"/>
    <x v="15"/>
    <x v="15"/>
    <n v="3811569725"/>
    <n v="133623567"/>
    <n v="5"/>
    <n v="0"/>
    <n v="5"/>
    <n v="11"/>
    <n v="16"/>
    <n v="0"/>
    <n v="0"/>
    <n v="2"/>
    <n v="0"/>
    <n v="18"/>
    <n v="367"/>
  </r>
  <r>
    <x v="10"/>
    <s v="ITA"/>
    <x v="16"/>
    <x v="16"/>
    <n v="4376923077"/>
    <n v="1125588885"/>
    <n v="26"/>
    <n v="3"/>
    <n v="29"/>
    <n v="31"/>
    <n v="60"/>
    <n v="23"/>
    <n v="23"/>
    <n v="1"/>
    <n v="0"/>
    <n v="61"/>
    <n v="776"/>
  </r>
  <r>
    <x v="10"/>
    <s v="ITA"/>
    <x v="2"/>
    <x v="17"/>
    <n v="4606893511"/>
    <n v="1112123097"/>
    <n v="2"/>
    <n v="0"/>
    <n v="2"/>
    <n v="5"/>
    <n v="7"/>
    <n v="2"/>
    <n v="2"/>
    <n v="0"/>
    <n v="0"/>
    <n v="7"/>
    <n v="122"/>
  </r>
  <r>
    <x v="10"/>
    <s v="ITA"/>
    <x v="17"/>
    <x v="18"/>
    <n v="4310675841"/>
    <n v="1238824698"/>
    <n v="1"/>
    <n v="1"/>
    <n v="2"/>
    <n v="7"/>
    <n v="9"/>
    <n v="0"/>
    <n v="0"/>
    <n v="0"/>
    <n v="0"/>
    <n v="9"/>
    <n v="88"/>
  </r>
  <r>
    <x v="10"/>
    <s v="ITA"/>
    <x v="18"/>
    <x v="19"/>
    <n v="4573750286"/>
    <n v="7320149366"/>
    <n v="0"/>
    <n v="0"/>
    <n v="0"/>
    <n v="2"/>
    <n v="2"/>
    <n v="2"/>
    <n v="2"/>
    <n v="0"/>
    <n v="0"/>
    <n v="2"/>
    <n v="21"/>
  </r>
  <r>
    <x v="10"/>
    <s v="ITA"/>
    <x v="19"/>
    <x v="20"/>
    <n v="4543490485"/>
    <n v="1233845213"/>
    <n v="92"/>
    <n v="24"/>
    <n v="116"/>
    <n v="264"/>
    <n v="380"/>
    <n v="35"/>
    <n v="47"/>
    <n v="17"/>
    <n v="10"/>
    <n v="407"/>
    <n v="11949"/>
  </r>
  <r>
    <x v="11"/>
    <s v="ITA"/>
    <x v="0"/>
    <x v="0"/>
    <n v="4235122196"/>
    <n v="1339843823"/>
    <n v="9"/>
    <n v="0"/>
    <n v="9"/>
    <n v="0"/>
    <n v="9"/>
    <n v="1"/>
    <n v="1"/>
    <n v="0"/>
    <n v="0"/>
    <n v="9"/>
    <n v="96"/>
  </r>
  <r>
    <x v="11"/>
    <s v="ITA"/>
    <x v="1"/>
    <x v="1"/>
    <n v="4063947052"/>
    <n v="1580514834"/>
    <n v="1"/>
    <n v="0"/>
    <n v="1"/>
    <n v="2"/>
    <n v="3"/>
    <n v="2"/>
    <n v="2"/>
    <n v="0"/>
    <n v="0"/>
    <n v="3"/>
    <n v="63"/>
  </r>
  <r>
    <x v="11"/>
    <s v="ITA"/>
    <x v="2"/>
    <x v="2"/>
    <n v="4649933453"/>
    <n v="1135662422"/>
    <n v="4"/>
    <n v="0"/>
    <n v="4"/>
    <n v="0"/>
    <n v="4"/>
    <n v="3"/>
    <n v="3"/>
    <n v="0"/>
    <n v="0"/>
    <n v="4"/>
    <n v="36"/>
  </r>
  <r>
    <x v="11"/>
    <s v="ITA"/>
    <x v="3"/>
    <x v="3"/>
    <n v="3890597598"/>
    <n v="1659440194"/>
    <n v="2"/>
    <n v="0"/>
    <n v="2"/>
    <n v="2"/>
    <n v="4"/>
    <n v="2"/>
    <n v="2"/>
    <n v="0"/>
    <n v="0"/>
    <n v="4"/>
    <n v="99"/>
  </r>
  <r>
    <x v="11"/>
    <s v="ITA"/>
    <x v="4"/>
    <x v="4"/>
    <n v="4083956555"/>
    <n v="1425084984"/>
    <n v="12"/>
    <n v="0"/>
    <n v="12"/>
    <n v="45"/>
    <n v="57"/>
    <n v="12"/>
    <n v="12"/>
    <n v="0"/>
    <n v="0"/>
    <n v="57"/>
    <n v="471"/>
  </r>
  <r>
    <x v="11"/>
    <s v="ITA"/>
    <x v="5"/>
    <x v="5"/>
    <n v="4449436681"/>
    <n v="113417208"/>
    <n v="397"/>
    <n v="53"/>
    <n v="450"/>
    <n v="366"/>
    <n v="816"/>
    <n v="158"/>
    <n v="172"/>
    <n v="17"/>
    <n v="37"/>
    <n v="870"/>
    <n v="3136"/>
  </r>
  <r>
    <x v="11"/>
    <s v="ITA"/>
    <x v="6"/>
    <x v="6"/>
    <n v="456494354"/>
    <n v="1376813649"/>
    <n v="4"/>
    <n v="0"/>
    <n v="4"/>
    <n v="24"/>
    <n v="28"/>
    <n v="7"/>
    <n v="10"/>
    <n v="3"/>
    <n v="0"/>
    <n v="31"/>
    <n v="577"/>
  </r>
  <r>
    <x v="11"/>
    <s v="ITA"/>
    <x v="7"/>
    <x v="7"/>
    <n v="4189277044"/>
    <n v="1248366722"/>
    <n v="26"/>
    <n v="8"/>
    <n v="34"/>
    <n v="16"/>
    <n v="50"/>
    <n v="9"/>
    <n v="10"/>
    <n v="3"/>
    <n v="1"/>
    <n v="54"/>
    <n v="1373"/>
  </r>
  <r>
    <x v="11"/>
    <s v="ITA"/>
    <x v="8"/>
    <x v="8"/>
    <n v="4441149315"/>
    <n v="89326992"/>
    <n v="12"/>
    <n v="5"/>
    <n v="17"/>
    <n v="7"/>
    <n v="24"/>
    <n v="3"/>
    <n v="4"/>
    <n v="5"/>
    <n v="3"/>
    <n v="32"/>
    <n v="229"/>
  </r>
  <r>
    <x v="11"/>
    <s v="ITA"/>
    <x v="9"/>
    <x v="9"/>
    <n v="4546679409"/>
    <n v="9190347404"/>
    <n v="1622"/>
    <n v="309"/>
    <n v="1931"/>
    <n v="77"/>
    <n v="2008"/>
    <n v="231"/>
    <n v="361"/>
    <n v="469"/>
    <n v="135"/>
    <n v="2612"/>
    <n v="13556"/>
  </r>
  <r>
    <x v="11"/>
    <s v="ITA"/>
    <x v="10"/>
    <x v="10"/>
    <n v="4361675973"/>
    <n v="135188753"/>
    <n v="73"/>
    <n v="20"/>
    <n v="93"/>
    <n v="62"/>
    <n v="155"/>
    <n v="35"/>
    <n v="35"/>
    <n v="0"/>
    <n v="4"/>
    <n v="159"/>
    <n v="585"/>
  </r>
  <r>
    <x v="11"/>
    <s v="ITA"/>
    <x v="11"/>
    <x v="11"/>
    <n v="4155774754"/>
    <n v="1465916051"/>
    <n v="3"/>
    <n v="2"/>
    <n v="5"/>
    <n v="7"/>
    <n v="12"/>
    <n v="5"/>
    <n v="5"/>
    <n v="0"/>
    <n v="0"/>
    <n v="12"/>
    <n v="104"/>
  </r>
  <r>
    <x v="11"/>
    <s v="ITA"/>
    <x v="12"/>
    <x v="12"/>
    <n v="450732745"/>
    <n v="7680687483"/>
    <n v="57"/>
    <n v="30"/>
    <n v="87"/>
    <n v="52"/>
    <n v="139"/>
    <n v="33"/>
    <n v="35"/>
    <n v="0"/>
    <n v="4"/>
    <n v="143"/>
    <n v="793"/>
  </r>
  <r>
    <x v="11"/>
    <s v="ITA"/>
    <x v="13"/>
    <x v="13"/>
    <n v="4112559576"/>
    <n v="1686736689"/>
    <n v="5"/>
    <n v="1"/>
    <n v="6"/>
    <n v="9"/>
    <n v="15"/>
    <n v="3"/>
    <n v="3"/>
    <n v="1"/>
    <n v="1"/>
    <n v="17"/>
    <n v="395"/>
  </r>
  <r>
    <x v="11"/>
    <s v="ITA"/>
    <x v="14"/>
    <x v="14"/>
    <n v="3921531192"/>
    <n v="9110616306"/>
    <n v="2"/>
    <n v="0"/>
    <n v="2"/>
    <n v="3"/>
    <n v="5"/>
    <n v="3"/>
    <n v="3"/>
    <n v="0"/>
    <n v="0"/>
    <n v="5"/>
    <n v="99"/>
  </r>
  <r>
    <x v="11"/>
    <s v="ITA"/>
    <x v="15"/>
    <x v="15"/>
    <n v="3811569725"/>
    <n v="133623567"/>
    <n v="7"/>
    <n v="0"/>
    <n v="7"/>
    <n v="15"/>
    <n v="22"/>
    <n v="6"/>
    <n v="6"/>
    <n v="2"/>
    <n v="0"/>
    <n v="24"/>
    <n v="367"/>
  </r>
  <r>
    <x v="11"/>
    <s v="ITA"/>
    <x v="16"/>
    <x v="16"/>
    <n v="4376923077"/>
    <n v="1125588885"/>
    <n v="35"/>
    <n v="5"/>
    <n v="40"/>
    <n v="38"/>
    <n v="78"/>
    <n v="18"/>
    <n v="18"/>
    <n v="1"/>
    <n v="0"/>
    <n v="79"/>
    <n v="1097"/>
  </r>
  <r>
    <x v="11"/>
    <s v="ITA"/>
    <x v="2"/>
    <x v="17"/>
    <n v="4606893511"/>
    <n v="1112123097"/>
    <n v="4"/>
    <n v="0"/>
    <n v="4"/>
    <n v="6"/>
    <n v="10"/>
    <n v="3"/>
    <n v="3"/>
    <n v="0"/>
    <n v="0"/>
    <n v="10"/>
    <n v="122"/>
  </r>
  <r>
    <x v="11"/>
    <s v="ITA"/>
    <x v="17"/>
    <x v="18"/>
    <n v="4310675841"/>
    <n v="1238824698"/>
    <n v="2"/>
    <n v="2"/>
    <n v="4"/>
    <n v="12"/>
    <n v="16"/>
    <n v="7"/>
    <n v="7"/>
    <n v="0"/>
    <n v="0"/>
    <n v="16"/>
    <n v="110"/>
  </r>
  <r>
    <x v="11"/>
    <s v="ITA"/>
    <x v="18"/>
    <x v="19"/>
    <n v="4573750286"/>
    <n v="7320149366"/>
    <n v="0"/>
    <n v="0"/>
    <n v="0"/>
    <n v="7"/>
    <n v="7"/>
    <n v="5"/>
    <n v="5"/>
    <n v="0"/>
    <n v="0"/>
    <n v="7"/>
    <n v="28"/>
  </r>
  <r>
    <x v="11"/>
    <s v="ITA"/>
    <x v="19"/>
    <x v="20"/>
    <n v="4543490485"/>
    <n v="1233845213"/>
    <n v="117"/>
    <n v="27"/>
    <n v="144"/>
    <n v="310"/>
    <n v="454"/>
    <n v="74"/>
    <n v="81"/>
    <n v="22"/>
    <n v="12"/>
    <n v="488"/>
    <n v="13023"/>
  </r>
  <r>
    <x v="12"/>
    <s v="ITA"/>
    <x v="0"/>
    <x v="0"/>
    <n v="4235122196"/>
    <n v="1339843823"/>
    <n v="11"/>
    <n v="0"/>
    <n v="11"/>
    <n v="0"/>
    <n v="11"/>
    <n v="2"/>
    <n v="2"/>
    <n v="0"/>
    <n v="0"/>
    <n v="11"/>
    <n v="123"/>
  </r>
  <r>
    <x v="12"/>
    <s v="ITA"/>
    <x v="1"/>
    <x v="1"/>
    <n v="4063947052"/>
    <n v="1580514834"/>
    <n v="1"/>
    <n v="0"/>
    <n v="1"/>
    <n v="2"/>
    <n v="3"/>
    <n v="0"/>
    <n v="0"/>
    <n v="0"/>
    <n v="0"/>
    <n v="3"/>
    <n v="75"/>
  </r>
  <r>
    <x v="12"/>
    <s v="ITA"/>
    <x v="2"/>
    <x v="2"/>
    <n v="4649933453"/>
    <n v="1135662422"/>
    <n v="8"/>
    <n v="0"/>
    <n v="8"/>
    <n v="1"/>
    <n v="9"/>
    <n v="5"/>
    <n v="5"/>
    <n v="0"/>
    <n v="0"/>
    <n v="9"/>
    <n v="36"/>
  </r>
  <r>
    <x v="12"/>
    <s v="ITA"/>
    <x v="3"/>
    <x v="3"/>
    <n v="3890597598"/>
    <n v="1659440194"/>
    <n v="2"/>
    <n v="0"/>
    <n v="2"/>
    <n v="2"/>
    <n v="4"/>
    <n v="0"/>
    <n v="0"/>
    <n v="0"/>
    <n v="0"/>
    <n v="4"/>
    <n v="113"/>
  </r>
  <r>
    <x v="12"/>
    <s v="ITA"/>
    <x v="4"/>
    <x v="4"/>
    <n v="4083956555"/>
    <n v="1425084984"/>
    <n v="16"/>
    <n v="0"/>
    <n v="16"/>
    <n v="45"/>
    <n v="61"/>
    <n v="4"/>
    <n v="4"/>
    <n v="0"/>
    <n v="0"/>
    <n v="61"/>
    <n v="612"/>
  </r>
  <r>
    <x v="12"/>
    <s v="ITA"/>
    <x v="5"/>
    <x v="5"/>
    <n v="4449436681"/>
    <n v="113417208"/>
    <n v="464"/>
    <n v="64"/>
    <n v="528"/>
    <n v="409"/>
    <n v="937"/>
    <n v="121"/>
    <n v="140"/>
    <n v="25"/>
    <n v="48"/>
    <n v="1010"/>
    <n v="3604"/>
  </r>
  <r>
    <x v="12"/>
    <s v="ITA"/>
    <x v="6"/>
    <x v="6"/>
    <n v="456494354"/>
    <n v="1376813649"/>
    <n v="7"/>
    <n v="1"/>
    <n v="8"/>
    <n v="31"/>
    <n v="39"/>
    <n v="11"/>
    <n v="11"/>
    <n v="3"/>
    <n v="0"/>
    <n v="42"/>
    <n v="577"/>
  </r>
  <r>
    <x v="12"/>
    <s v="ITA"/>
    <x v="7"/>
    <x v="7"/>
    <n v="4189277044"/>
    <n v="1248366722"/>
    <n v="43"/>
    <n v="8"/>
    <n v="51"/>
    <n v="21"/>
    <n v="72"/>
    <n v="22"/>
    <n v="22"/>
    <n v="3"/>
    <n v="1"/>
    <n v="76"/>
    <n v="1582"/>
  </r>
  <r>
    <x v="12"/>
    <s v="ITA"/>
    <x v="8"/>
    <x v="8"/>
    <n v="4441149315"/>
    <n v="89326992"/>
    <n v="26"/>
    <n v="6"/>
    <n v="32"/>
    <n v="10"/>
    <n v="42"/>
    <n v="18"/>
    <n v="19"/>
    <n v="5"/>
    <n v="4"/>
    <n v="51"/>
    <n v="331"/>
  </r>
  <r>
    <x v="12"/>
    <s v="ITA"/>
    <x v="9"/>
    <x v="9"/>
    <n v="4546679409"/>
    <n v="9190347404"/>
    <n v="1661"/>
    <n v="359"/>
    <n v="2020"/>
    <n v="722"/>
    <n v="2742"/>
    <n v="734"/>
    <n v="808"/>
    <n v="524"/>
    <n v="154"/>
    <n v="3420"/>
    <n v="15778"/>
  </r>
  <r>
    <x v="12"/>
    <s v="ITA"/>
    <x v="10"/>
    <x v="10"/>
    <n v="4361675973"/>
    <n v="135188753"/>
    <n v="94"/>
    <n v="36"/>
    <n v="130"/>
    <n v="71"/>
    <n v="201"/>
    <n v="46"/>
    <n v="48"/>
    <n v="0"/>
    <n v="6"/>
    <n v="207"/>
    <n v="816"/>
  </r>
  <r>
    <x v="12"/>
    <s v="ITA"/>
    <x v="11"/>
    <x v="11"/>
    <n v="4155774754"/>
    <n v="1465916051"/>
    <n v="3"/>
    <n v="2"/>
    <n v="5"/>
    <n v="9"/>
    <n v="14"/>
    <n v="2"/>
    <n v="2"/>
    <n v="0"/>
    <n v="0"/>
    <n v="14"/>
    <n v="112"/>
  </r>
  <r>
    <x v="12"/>
    <s v="ITA"/>
    <x v="12"/>
    <x v="12"/>
    <n v="450732745"/>
    <n v="7680687483"/>
    <n v="110"/>
    <n v="38"/>
    <n v="148"/>
    <n v="54"/>
    <n v="202"/>
    <n v="63"/>
    <n v="64"/>
    <n v="0"/>
    <n v="5"/>
    <n v="207"/>
    <n v="1046"/>
  </r>
  <r>
    <x v="12"/>
    <s v="ITA"/>
    <x v="13"/>
    <x v="13"/>
    <n v="4112559576"/>
    <n v="1686736689"/>
    <n v="9"/>
    <n v="2"/>
    <n v="11"/>
    <n v="12"/>
    <n v="23"/>
    <n v="8"/>
    <n v="9"/>
    <n v="1"/>
    <n v="2"/>
    <n v="26"/>
    <n v="395"/>
  </r>
  <r>
    <x v="12"/>
    <s v="ITA"/>
    <x v="14"/>
    <x v="14"/>
    <n v="3921531192"/>
    <n v="9110616306"/>
    <n v="2"/>
    <n v="0"/>
    <n v="2"/>
    <n v="3"/>
    <n v="5"/>
    <n v="0"/>
    <n v="0"/>
    <n v="0"/>
    <n v="0"/>
    <n v="5"/>
    <n v="99"/>
  </r>
  <r>
    <x v="12"/>
    <s v="ITA"/>
    <x v="15"/>
    <x v="15"/>
    <n v="3811569725"/>
    <n v="133623567"/>
    <n v="8"/>
    <n v="0"/>
    <n v="8"/>
    <n v="25"/>
    <n v="33"/>
    <n v="11"/>
    <n v="11"/>
    <n v="2"/>
    <n v="0"/>
    <n v="35"/>
    <n v="643"/>
  </r>
  <r>
    <x v="12"/>
    <s v="ITA"/>
    <x v="16"/>
    <x v="16"/>
    <n v="4376923077"/>
    <n v="1125588885"/>
    <n v="54"/>
    <n v="7"/>
    <n v="61"/>
    <n v="51"/>
    <n v="112"/>
    <n v="34"/>
    <n v="34"/>
    <n v="1"/>
    <n v="0"/>
    <n v="113"/>
    <n v="1331"/>
  </r>
  <r>
    <x v="12"/>
    <s v="ITA"/>
    <x v="2"/>
    <x v="17"/>
    <n v="4606893511"/>
    <n v="1112123097"/>
    <n v="6"/>
    <n v="1"/>
    <n v="7"/>
    <n v="7"/>
    <n v="14"/>
    <n v="4"/>
    <n v="4"/>
    <n v="0"/>
    <n v="0"/>
    <n v="14"/>
    <n v="194"/>
  </r>
  <r>
    <x v="12"/>
    <s v="ITA"/>
    <x v="17"/>
    <x v="18"/>
    <n v="4310675841"/>
    <n v="1238824698"/>
    <n v="2"/>
    <n v="2"/>
    <n v="4"/>
    <n v="20"/>
    <n v="24"/>
    <n v="8"/>
    <n v="8"/>
    <n v="0"/>
    <n v="0"/>
    <n v="24"/>
    <n v="134"/>
  </r>
  <r>
    <x v="12"/>
    <s v="ITA"/>
    <x v="18"/>
    <x v="19"/>
    <n v="4573750286"/>
    <n v="7320149366"/>
    <n v="1"/>
    <n v="0"/>
    <n v="1"/>
    <n v="7"/>
    <n v="8"/>
    <n v="1"/>
    <n v="1"/>
    <n v="0"/>
    <n v="0"/>
    <n v="8"/>
    <n v="32"/>
  </r>
  <r>
    <x v="12"/>
    <s v="ITA"/>
    <x v="19"/>
    <x v="20"/>
    <n v="4543490485"/>
    <n v="1233845213"/>
    <n v="123"/>
    <n v="41"/>
    <n v="164"/>
    <n v="341"/>
    <n v="505"/>
    <n v="51"/>
    <n v="55"/>
    <n v="25"/>
    <n v="13"/>
    <n v="543"/>
    <n v="14429"/>
  </r>
  <r>
    <x v="13"/>
    <s v="ITA"/>
    <x v="0"/>
    <x v="0"/>
    <n v="4235122196"/>
    <n v="1339843823"/>
    <n v="14"/>
    <n v="0"/>
    <n v="14"/>
    <n v="3"/>
    <n v="17"/>
    <n v="6"/>
    <n v="6"/>
    <n v="0"/>
    <n v="0"/>
    <n v="17"/>
    <n v="163"/>
  </r>
  <r>
    <x v="13"/>
    <s v="ITA"/>
    <x v="1"/>
    <x v="1"/>
    <n v="4063947052"/>
    <n v="1580514834"/>
    <n v="2"/>
    <n v="0"/>
    <n v="2"/>
    <n v="2"/>
    <n v="4"/>
    <n v="1"/>
    <n v="1"/>
    <n v="0"/>
    <n v="0"/>
    <n v="4"/>
    <n v="123"/>
  </r>
  <r>
    <x v="13"/>
    <s v="ITA"/>
    <x v="2"/>
    <x v="2"/>
    <n v="4649933453"/>
    <n v="1135662422"/>
    <n v="8"/>
    <n v="0"/>
    <n v="8"/>
    <n v="1"/>
    <n v="9"/>
    <n v="0"/>
    <n v="0"/>
    <n v="0"/>
    <n v="0"/>
    <n v="9"/>
    <n v="36"/>
  </r>
  <r>
    <x v="13"/>
    <s v="ITA"/>
    <x v="3"/>
    <x v="3"/>
    <n v="3890597598"/>
    <n v="1659440194"/>
    <n v="5"/>
    <n v="0"/>
    <n v="5"/>
    <n v="4"/>
    <n v="9"/>
    <n v="5"/>
    <n v="5"/>
    <n v="0"/>
    <n v="0"/>
    <n v="9"/>
    <n v="113"/>
  </r>
  <r>
    <x v="13"/>
    <s v="ITA"/>
    <x v="4"/>
    <x v="4"/>
    <n v="4083956555"/>
    <n v="1425084984"/>
    <n v="30"/>
    <n v="7"/>
    <n v="37"/>
    <n v="63"/>
    <n v="100"/>
    <n v="39"/>
    <n v="40"/>
    <n v="1"/>
    <n v="0"/>
    <n v="101"/>
    <n v="980"/>
  </r>
  <r>
    <x v="13"/>
    <s v="ITA"/>
    <x v="5"/>
    <x v="5"/>
    <n v="4449436681"/>
    <n v="113417208"/>
    <n v="542"/>
    <n v="75"/>
    <n v="617"/>
    <n v="480"/>
    <n v="1097"/>
    <n v="160"/>
    <n v="170"/>
    <n v="27"/>
    <n v="56"/>
    <n v="1180"/>
    <n v="4344"/>
  </r>
  <r>
    <x v="13"/>
    <s v="ITA"/>
    <x v="6"/>
    <x v="6"/>
    <n v="456494354"/>
    <n v="1376813649"/>
    <n v="7"/>
    <n v="1"/>
    <n v="8"/>
    <n v="45"/>
    <n v="53"/>
    <n v="14"/>
    <n v="15"/>
    <n v="3"/>
    <n v="1"/>
    <n v="57"/>
    <n v="997"/>
  </r>
  <r>
    <x v="13"/>
    <s v="ITA"/>
    <x v="7"/>
    <x v="7"/>
    <n v="4189277044"/>
    <n v="1248366722"/>
    <n v="47"/>
    <n v="8"/>
    <n v="55"/>
    <n v="26"/>
    <n v="81"/>
    <n v="9"/>
    <n v="11"/>
    <n v="3"/>
    <n v="3"/>
    <n v="87"/>
    <n v="1929"/>
  </r>
  <r>
    <x v="13"/>
    <s v="ITA"/>
    <x v="8"/>
    <x v="8"/>
    <n v="4441149315"/>
    <n v="89326992"/>
    <n v="39"/>
    <n v="11"/>
    <n v="50"/>
    <n v="17"/>
    <n v="67"/>
    <n v="25"/>
    <n v="27"/>
    <n v="5"/>
    <n v="6"/>
    <n v="78"/>
    <n v="401"/>
  </r>
  <r>
    <x v="13"/>
    <s v="ITA"/>
    <x v="9"/>
    <x v="9"/>
    <n v="4546679409"/>
    <n v="9190347404"/>
    <n v="2217"/>
    <n v="399"/>
    <n v="2616"/>
    <n v="756"/>
    <n v="3372"/>
    <n v="630"/>
    <n v="769"/>
    <n v="550"/>
    <n v="267"/>
    <n v="4189"/>
    <n v="18534"/>
  </r>
  <r>
    <x v="13"/>
    <s v="ITA"/>
    <x v="10"/>
    <x v="10"/>
    <n v="4361675973"/>
    <n v="135188753"/>
    <n v="110"/>
    <n v="41"/>
    <n v="151"/>
    <n v="114"/>
    <n v="265"/>
    <n v="64"/>
    <n v="65"/>
    <n v="0"/>
    <n v="7"/>
    <n v="272"/>
    <n v="1025"/>
  </r>
  <r>
    <x v="13"/>
    <s v="ITA"/>
    <x v="11"/>
    <x v="11"/>
    <n v="4155774754"/>
    <n v="1465916051"/>
    <n v="4"/>
    <n v="2"/>
    <n v="6"/>
    <n v="8"/>
    <n v="14"/>
    <n v="0"/>
    <n v="0"/>
    <n v="0"/>
    <n v="0"/>
    <n v="14"/>
    <n v="116"/>
  </r>
  <r>
    <x v="13"/>
    <s v="ITA"/>
    <x v="12"/>
    <x v="12"/>
    <n v="450732745"/>
    <n v="7680687483"/>
    <n v="245"/>
    <n v="45"/>
    <n v="290"/>
    <n v="65"/>
    <n v="355"/>
    <n v="153"/>
    <n v="153"/>
    <n v="0"/>
    <n v="5"/>
    <n v="360"/>
    <n v="1636"/>
  </r>
  <r>
    <x v="13"/>
    <s v="ITA"/>
    <x v="13"/>
    <x v="13"/>
    <n v="4112559576"/>
    <n v="1686736689"/>
    <n v="17"/>
    <n v="3"/>
    <n v="20"/>
    <n v="16"/>
    <n v="36"/>
    <n v="13"/>
    <n v="14"/>
    <n v="1"/>
    <n v="3"/>
    <n v="40"/>
    <n v="627"/>
  </r>
  <r>
    <x v="13"/>
    <s v="ITA"/>
    <x v="14"/>
    <x v="14"/>
    <n v="3921531192"/>
    <n v="9110616306"/>
    <n v="5"/>
    <n v="0"/>
    <n v="5"/>
    <n v="6"/>
    <n v="11"/>
    <n v="6"/>
    <n v="6"/>
    <n v="0"/>
    <n v="0"/>
    <n v="11"/>
    <n v="149"/>
  </r>
  <r>
    <x v="13"/>
    <s v="ITA"/>
    <x v="15"/>
    <x v="15"/>
    <n v="3811569725"/>
    <n v="133623567"/>
    <n v="18"/>
    <n v="0"/>
    <n v="18"/>
    <n v="33"/>
    <n v="51"/>
    <n v="18"/>
    <n v="18"/>
    <n v="2"/>
    <n v="0"/>
    <n v="53"/>
    <n v="791"/>
  </r>
  <r>
    <x v="13"/>
    <s v="ITA"/>
    <x v="16"/>
    <x v="16"/>
    <n v="4376923077"/>
    <n v="1125588885"/>
    <n v="91"/>
    <n v="7"/>
    <n v="98"/>
    <n v="67"/>
    <n v="165"/>
    <n v="53"/>
    <n v="53"/>
    <n v="1"/>
    <n v="0"/>
    <n v="166"/>
    <n v="1618"/>
  </r>
  <r>
    <x v="13"/>
    <s v="ITA"/>
    <x v="2"/>
    <x v="17"/>
    <n v="4606893511"/>
    <n v="1112123097"/>
    <n v="7"/>
    <n v="2"/>
    <n v="9"/>
    <n v="14"/>
    <n v="23"/>
    <n v="9"/>
    <n v="9"/>
    <n v="0"/>
    <n v="0"/>
    <n v="23"/>
    <n v="228"/>
  </r>
  <r>
    <x v="13"/>
    <s v="ITA"/>
    <x v="17"/>
    <x v="18"/>
    <n v="4310675841"/>
    <n v="1238824698"/>
    <n v="2"/>
    <n v="2"/>
    <n v="4"/>
    <n v="22"/>
    <n v="26"/>
    <n v="2"/>
    <n v="2"/>
    <n v="0"/>
    <n v="0"/>
    <n v="26"/>
    <n v="168"/>
  </r>
  <r>
    <x v="13"/>
    <s v="ITA"/>
    <x v="18"/>
    <x v="19"/>
    <n v="4573750286"/>
    <n v="7320149366"/>
    <n v="1"/>
    <n v="0"/>
    <n v="1"/>
    <n v="8"/>
    <n v="9"/>
    <n v="1"/>
    <n v="1"/>
    <n v="0"/>
    <n v="0"/>
    <n v="9"/>
    <n v="41"/>
  </r>
  <r>
    <x v="13"/>
    <s v="ITA"/>
    <x v="19"/>
    <x v="20"/>
    <n v="4543490485"/>
    <n v="1233845213"/>
    <n v="146"/>
    <n v="47"/>
    <n v="193"/>
    <n v="430"/>
    <n v="623"/>
    <n v="118"/>
    <n v="127"/>
    <n v="29"/>
    <n v="18"/>
    <n v="670"/>
    <n v="15918"/>
  </r>
  <r>
    <x v="14"/>
    <s v="ITA"/>
    <x v="0"/>
    <x v="0"/>
    <n v="4235122196"/>
    <n v="1339843823"/>
    <n v="25"/>
    <n v="0"/>
    <n v="25"/>
    <n v="5"/>
    <n v="30"/>
    <n v="13"/>
    <n v="13"/>
    <n v="0"/>
    <n v="0"/>
    <n v="30"/>
    <n v="237"/>
  </r>
  <r>
    <x v="14"/>
    <s v="ITA"/>
    <x v="1"/>
    <x v="1"/>
    <n v="4063947052"/>
    <n v="1580514834"/>
    <n v="2"/>
    <n v="0"/>
    <n v="2"/>
    <n v="3"/>
    <n v="5"/>
    <n v="1"/>
    <n v="1"/>
    <n v="0"/>
    <n v="0"/>
    <n v="5"/>
    <n v="135"/>
  </r>
  <r>
    <x v="14"/>
    <s v="ITA"/>
    <x v="2"/>
    <x v="2"/>
    <n v="4649933453"/>
    <n v="1135662422"/>
    <n v="8"/>
    <n v="0"/>
    <n v="8"/>
    <n v="1"/>
    <n v="9"/>
    <n v="0"/>
    <n v="0"/>
    <n v="0"/>
    <n v="0"/>
    <n v="9"/>
    <n v="36"/>
  </r>
  <r>
    <x v="14"/>
    <s v="ITA"/>
    <x v="3"/>
    <x v="3"/>
    <n v="3890597598"/>
    <n v="1659440194"/>
    <n v="8"/>
    <n v="0"/>
    <n v="8"/>
    <n v="1"/>
    <n v="9"/>
    <n v="0"/>
    <n v="2"/>
    <n v="2"/>
    <n v="0"/>
    <n v="11"/>
    <n v="173"/>
  </r>
  <r>
    <x v="14"/>
    <s v="ITA"/>
    <x v="4"/>
    <x v="4"/>
    <n v="4083956555"/>
    <n v="1425084984"/>
    <n v="42"/>
    <n v="8"/>
    <n v="50"/>
    <n v="69"/>
    <n v="119"/>
    <n v="19"/>
    <n v="19"/>
    <n v="1"/>
    <n v="0"/>
    <n v="120"/>
    <n v="980"/>
  </r>
  <r>
    <x v="14"/>
    <s v="ITA"/>
    <x v="5"/>
    <x v="5"/>
    <n v="4449436681"/>
    <n v="113417208"/>
    <n v="576"/>
    <n v="90"/>
    <n v="666"/>
    <n v="620"/>
    <n v="1286"/>
    <n v="189"/>
    <n v="206"/>
    <n v="30"/>
    <n v="70"/>
    <n v="1386"/>
    <n v="4906"/>
  </r>
  <r>
    <x v="14"/>
    <s v="ITA"/>
    <x v="6"/>
    <x v="6"/>
    <n v="456494354"/>
    <n v="1376813649"/>
    <n v="18"/>
    <n v="1"/>
    <n v="19"/>
    <n v="70"/>
    <n v="89"/>
    <n v="36"/>
    <n v="36"/>
    <n v="3"/>
    <n v="1"/>
    <n v="93"/>
    <n v="1344"/>
  </r>
  <r>
    <x v="14"/>
    <s v="ITA"/>
    <x v="7"/>
    <x v="7"/>
    <n v="4189277044"/>
    <n v="1248366722"/>
    <n v="55"/>
    <n v="8"/>
    <n v="63"/>
    <n v="31"/>
    <n v="94"/>
    <n v="13"/>
    <n v="15"/>
    <n v="3"/>
    <n v="5"/>
    <n v="102"/>
    <n v="1929"/>
  </r>
  <r>
    <x v="14"/>
    <s v="ITA"/>
    <x v="8"/>
    <x v="8"/>
    <n v="4441149315"/>
    <n v="89326992"/>
    <n v="60"/>
    <n v="17"/>
    <n v="77"/>
    <n v="20"/>
    <n v="97"/>
    <n v="30"/>
    <n v="31"/>
    <n v="5"/>
    <n v="7"/>
    <n v="109"/>
    <n v="611"/>
  </r>
  <r>
    <x v="14"/>
    <s v="ITA"/>
    <x v="9"/>
    <x v="9"/>
    <n v="4546679409"/>
    <n v="9190347404"/>
    <n v="2802"/>
    <n v="440"/>
    <n v="3242"/>
    <n v="1248"/>
    <n v="4490"/>
    <n v="1118"/>
    <n v="1280"/>
    <n v="646"/>
    <n v="333"/>
    <n v="5469"/>
    <n v="20135"/>
  </r>
  <r>
    <x v="14"/>
    <s v="ITA"/>
    <x v="10"/>
    <x v="10"/>
    <n v="4361675973"/>
    <n v="135188753"/>
    <n v="136"/>
    <n v="47"/>
    <n v="183"/>
    <n v="130"/>
    <n v="313"/>
    <n v="48"/>
    <n v="51"/>
    <n v="0"/>
    <n v="10"/>
    <n v="323"/>
    <n v="1250"/>
  </r>
  <r>
    <x v="14"/>
    <s v="ITA"/>
    <x v="11"/>
    <x v="11"/>
    <n v="4155774754"/>
    <n v="1465916051"/>
    <n v="4"/>
    <n v="2"/>
    <n v="6"/>
    <n v="8"/>
    <n v="14"/>
    <n v="0"/>
    <n v="0"/>
    <n v="0"/>
    <n v="0"/>
    <n v="14"/>
    <n v="212"/>
  </r>
  <r>
    <x v="14"/>
    <s v="ITA"/>
    <x v="12"/>
    <x v="12"/>
    <n v="450732745"/>
    <n v="7680687483"/>
    <n v="222"/>
    <n v="50"/>
    <n v="272"/>
    <n v="65"/>
    <n v="337"/>
    <n v="-18"/>
    <n v="-10"/>
    <n v="0"/>
    <n v="13"/>
    <n v="350"/>
    <n v="1681"/>
  </r>
  <r>
    <x v="14"/>
    <s v="ITA"/>
    <x v="13"/>
    <x v="13"/>
    <n v="4112559576"/>
    <n v="1686736689"/>
    <n v="20"/>
    <n v="6"/>
    <n v="26"/>
    <n v="20"/>
    <n v="46"/>
    <n v="10"/>
    <n v="10"/>
    <n v="1"/>
    <n v="3"/>
    <n v="50"/>
    <n v="685"/>
  </r>
  <r>
    <x v="14"/>
    <s v="ITA"/>
    <x v="14"/>
    <x v="14"/>
    <n v="3921531192"/>
    <n v="9110616306"/>
    <n v="8"/>
    <n v="0"/>
    <n v="8"/>
    <n v="11"/>
    <n v="19"/>
    <n v="8"/>
    <n v="8"/>
    <n v="0"/>
    <n v="0"/>
    <n v="19"/>
    <n v="185"/>
  </r>
  <r>
    <x v="14"/>
    <s v="ITA"/>
    <x v="15"/>
    <x v="15"/>
    <n v="3811569725"/>
    <n v="133623567"/>
    <n v="19"/>
    <n v="0"/>
    <n v="19"/>
    <n v="33"/>
    <n v="52"/>
    <n v="1"/>
    <n v="1"/>
    <n v="2"/>
    <n v="0"/>
    <n v="54"/>
    <n v="836"/>
  </r>
  <r>
    <x v="14"/>
    <s v="ITA"/>
    <x v="16"/>
    <x v="16"/>
    <n v="4376923077"/>
    <n v="1125588885"/>
    <n v="107"/>
    <n v="9"/>
    <n v="116"/>
    <n v="90"/>
    <n v="206"/>
    <n v="41"/>
    <n v="42"/>
    <n v="1"/>
    <n v="1"/>
    <n v="208"/>
    <n v="2018"/>
  </r>
  <r>
    <x v="14"/>
    <s v="ITA"/>
    <x v="2"/>
    <x v="17"/>
    <n v="4606893511"/>
    <n v="1112123097"/>
    <n v="10"/>
    <n v="2"/>
    <n v="12"/>
    <n v="21"/>
    <n v="33"/>
    <n v="10"/>
    <n v="10"/>
    <n v="0"/>
    <n v="0"/>
    <n v="33"/>
    <n v="267"/>
  </r>
  <r>
    <x v="14"/>
    <s v="ITA"/>
    <x v="17"/>
    <x v="18"/>
    <n v="4310675841"/>
    <n v="1238824698"/>
    <n v="4"/>
    <n v="2"/>
    <n v="6"/>
    <n v="22"/>
    <n v="28"/>
    <n v="2"/>
    <n v="2"/>
    <n v="0"/>
    <n v="0"/>
    <n v="28"/>
    <n v="183"/>
  </r>
  <r>
    <x v="14"/>
    <s v="ITA"/>
    <x v="18"/>
    <x v="19"/>
    <n v="4573750286"/>
    <n v="7320149366"/>
    <n v="4"/>
    <n v="0"/>
    <n v="4"/>
    <n v="11"/>
    <n v="15"/>
    <n v="6"/>
    <n v="6"/>
    <n v="0"/>
    <n v="0"/>
    <n v="15"/>
    <n v="67"/>
  </r>
  <r>
    <x v="14"/>
    <s v="ITA"/>
    <x v="19"/>
    <x v="20"/>
    <n v="4543490485"/>
    <n v="1233845213"/>
    <n v="186"/>
    <n v="51"/>
    <n v="237"/>
    <n v="457"/>
    <n v="694"/>
    <n v="71"/>
    <n v="74"/>
    <n v="30"/>
    <n v="20"/>
    <n v="744"/>
    <n v="15956"/>
  </r>
  <r>
    <x v="15"/>
    <s v="ITA"/>
    <x v="0"/>
    <x v="0"/>
    <n v="4235122196"/>
    <n v="1339843823"/>
    <n v="17"/>
    <n v="9"/>
    <n v="26"/>
    <n v="11"/>
    <n v="37"/>
    <n v="7"/>
    <n v="8"/>
    <n v="0"/>
    <n v="1"/>
    <n v="38"/>
    <n v="310"/>
  </r>
  <r>
    <x v="15"/>
    <s v="ITA"/>
    <x v="1"/>
    <x v="1"/>
    <n v="4063947052"/>
    <n v="1580514834"/>
    <n v="2"/>
    <n v="0"/>
    <n v="2"/>
    <n v="5"/>
    <n v="7"/>
    <n v="2"/>
    <n v="2"/>
    <n v="0"/>
    <n v="0"/>
    <n v="7"/>
    <n v="148"/>
  </r>
  <r>
    <x v="15"/>
    <s v="ITA"/>
    <x v="2"/>
    <x v="2"/>
    <n v="4649933453"/>
    <n v="1135662422"/>
    <n v="17"/>
    <n v="1"/>
    <n v="18"/>
    <n v="20"/>
    <n v="38"/>
    <n v="29"/>
    <n v="29"/>
    <n v="0"/>
    <n v="0"/>
    <n v="38"/>
    <n v="36"/>
  </r>
  <r>
    <x v="15"/>
    <s v="ITA"/>
    <x v="3"/>
    <x v="3"/>
    <n v="3890597598"/>
    <n v="1659440194"/>
    <n v="8"/>
    <n v="2"/>
    <n v="10"/>
    <n v="1"/>
    <n v="11"/>
    <n v="2"/>
    <n v="2"/>
    <n v="2"/>
    <n v="0"/>
    <n v="13"/>
    <n v="360"/>
  </r>
  <r>
    <x v="15"/>
    <s v="ITA"/>
    <x v="4"/>
    <x v="4"/>
    <n v="4083956555"/>
    <n v="1425084984"/>
    <n v="33"/>
    <n v="8"/>
    <n v="41"/>
    <n v="85"/>
    <n v="126"/>
    <n v="7"/>
    <n v="7"/>
    <n v="1"/>
    <n v="0"/>
    <n v="127"/>
    <n v="1141"/>
  </r>
  <r>
    <x v="15"/>
    <s v="ITA"/>
    <x v="5"/>
    <x v="5"/>
    <n v="4449436681"/>
    <n v="113417208"/>
    <n v="669"/>
    <n v="98"/>
    <n v="767"/>
    <n v="650"/>
    <n v="1417"/>
    <n v="131"/>
    <n v="147"/>
    <n v="31"/>
    <n v="85"/>
    <n v="1533"/>
    <n v="5494"/>
  </r>
  <r>
    <x v="15"/>
    <s v="ITA"/>
    <x v="6"/>
    <x v="6"/>
    <n v="456494354"/>
    <n v="1376813649"/>
    <n v="27"/>
    <n v="6"/>
    <n v="33"/>
    <n v="77"/>
    <n v="110"/>
    <n v="21"/>
    <n v="23"/>
    <n v="3"/>
    <n v="3"/>
    <n v="116"/>
    <n v="1602"/>
  </r>
  <r>
    <x v="15"/>
    <s v="ITA"/>
    <x v="7"/>
    <x v="7"/>
    <n v="4189277044"/>
    <n v="1248366722"/>
    <n v="50"/>
    <n v="15"/>
    <n v="65"/>
    <n v="34"/>
    <n v="99"/>
    <n v="5"/>
    <n v="14"/>
    <n v="11"/>
    <n v="6"/>
    <n v="116"/>
    <n v="3591"/>
  </r>
  <r>
    <x v="15"/>
    <s v="ITA"/>
    <x v="8"/>
    <x v="8"/>
    <n v="4441149315"/>
    <n v="89326992"/>
    <n v="57"/>
    <n v="29"/>
    <n v="86"/>
    <n v="42"/>
    <n v="128"/>
    <n v="31"/>
    <n v="32"/>
    <n v="5"/>
    <n v="8"/>
    <n v="141"/>
    <n v="694"/>
  </r>
  <r>
    <x v="15"/>
    <s v="ITA"/>
    <x v="9"/>
    <x v="9"/>
    <n v="4546679409"/>
    <n v="9190347404"/>
    <n v="3319"/>
    <n v="466"/>
    <n v="3785"/>
    <n v="642"/>
    <n v="4427"/>
    <n v="-63"/>
    <n v="322"/>
    <n v="896"/>
    <n v="468"/>
    <n v="5791"/>
    <n v="21479"/>
  </r>
  <r>
    <x v="15"/>
    <s v="ITA"/>
    <x v="10"/>
    <x v="10"/>
    <n v="4361675973"/>
    <n v="135188753"/>
    <n v="152"/>
    <n v="54"/>
    <n v="206"/>
    <n v="175"/>
    <n v="381"/>
    <n v="68"/>
    <n v="71"/>
    <n v="0"/>
    <n v="13"/>
    <n v="394"/>
    <n v="1437"/>
  </r>
  <r>
    <x v="15"/>
    <s v="ITA"/>
    <x v="11"/>
    <x v="11"/>
    <n v="4155774754"/>
    <n v="1465916051"/>
    <n v="3"/>
    <n v="3"/>
    <n v="6"/>
    <n v="9"/>
    <n v="15"/>
    <n v="1"/>
    <n v="1"/>
    <n v="0"/>
    <n v="0"/>
    <n v="15"/>
    <n v="225"/>
  </r>
  <r>
    <x v="15"/>
    <s v="ITA"/>
    <x v="12"/>
    <x v="12"/>
    <n v="450732745"/>
    <n v="7680687483"/>
    <n v="306"/>
    <n v="66"/>
    <n v="372"/>
    <n v="64"/>
    <n v="436"/>
    <n v="99"/>
    <n v="103"/>
    <n v="0"/>
    <n v="17"/>
    <n v="453"/>
    <n v="2374"/>
  </r>
  <r>
    <x v="15"/>
    <s v="ITA"/>
    <x v="13"/>
    <x v="13"/>
    <n v="4112559576"/>
    <n v="1686736689"/>
    <n v="28"/>
    <n v="6"/>
    <n v="34"/>
    <n v="21"/>
    <n v="55"/>
    <n v="9"/>
    <n v="9"/>
    <n v="1"/>
    <n v="3"/>
    <n v="59"/>
    <n v="747"/>
  </r>
  <r>
    <x v="15"/>
    <s v="ITA"/>
    <x v="14"/>
    <x v="14"/>
    <n v="3921531192"/>
    <n v="9110616306"/>
    <n v="9"/>
    <n v="0"/>
    <n v="9"/>
    <n v="11"/>
    <n v="20"/>
    <n v="1"/>
    <n v="1"/>
    <n v="0"/>
    <n v="0"/>
    <n v="20"/>
    <n v="204"/>
  </r>
  <r>
    <x v="15"/>
    <s v="ITA"/>
    <x v="15"/>
    <x v="15"/>
    <n v="3811569725"/>
    <n v="133623567"/>
    <n v="17"/>
    <n v="2"/>
    <n v="19"/>
    <n v="41"/>
    <n v="60"/>
    <n v="8"/>
    <n v="8"/>
    <n v="2"/>
    <n v="0"/>
    <n v="62"/>
    <n v="955"/>
  </r>
  <r>
    <x v="15"/>
    <s v="ITA"/>
    <x v="16"/>
    <x v="16"/>
    <n v="4376923077"/>
    <n v="1125588885"/>
    <n v="91"/>
    <n v="40"/>
    <n v="131"/>
    <n v="129"/>
    <n v="260"/>
    <n v="54"/>
    <n v="56"/>
    <n v="3"/>
    <n v="1"/>
    <n v="264"/>
    <n v="2573"/>
  </r>
  <r>
    <x v="15"/>
    <s v="ITA"/>
    <x v="2"/>
    <x v="17"/>
    <n v="4606893511"/>
    <n v="1112123097"/>
    <n v="19"/>
    <n v="3"/>
    <n v="22"/>
    <n v="28"/>
    <n v="50"/>
    <n v="17"/>
    <n v="19"/>
    <n v="2"/>
    <n v="0"/>
    <n v="52"/>
    <n v="399"/>
  </r>
  <r>
    <x v="15"/>
    <s v="ITA"/>
    <x v="17"/>
    <x v="18"/>
    <n v="4310675841"/>
    <n v="1238824698"/>
    <n v="8"/>
    <n v="2"/>
    <n v="10"/>
    <n v="27"/>
    <n v="37"/>
    <n v="9"/>
    <n v="9"/>
    <n v="0"/>
    <n v="0"/>
    <n v="37"/>
    <n v="260"/>
  </r>
  <r>
    <x v="15"/>
    <s v="ITA"/>
    <x v="18"/>
    <x v="19"/>
    <n v="4573750286"/>
    <n v="7320149366"/>
    <n v="2"/>
    <n v="0"/>
    <n v="2"/>
    <n v="15"/>
    <n v="17"/>
    <n v="2"/>
    <n v="2"/>
    <n v="0"/>
    <n v="0"/>
    <n v="17"/>
    <n v="89"/>
  </r>
  <r>
    <x v="15"/>
    <s v="ITA"/>
    <x v="19"/>
    <x v="20"/>
    <n v="4543490485"/>
    <n v="1233845213"/>
    <n v="204"/>
    <n v="67"/>
    <n v="271"/>
    <n v="512"/>
    <n v="783"/>
    <n v="89"/>
    <n v="112"/>
    <n v="47"/>
    <n v="26"/>
    <n v="856"/>
    <n v="16643"/>
  </r>
  <r>
    <x v="16"/>
    <s v="ITA"/>
    <x v="0"/>
    <x v="0"/>
    <n v="4235122196"/>
    <n v="1339843823"/>
    <n v="17"/>
    <n v="9"/>
    <n v="26"/>
    <n v="11"/>
    <n v="37"/>
    <n v="0"/>
    <n v="0"/>
    <n v="0"/>
    <n v="1"/>
    <n v="38"/>
    <n v="310"/>
  </r>
  <r>
    <x v="16"/>
    <s v="ITA"/>
    <x v="1"/>
    <x v="1"/>
    <n v="4063947052"/>
    <n v="1580514834"/>
    <n v="1"/>
    <n v="1"/>
    <n v="2"/>
    <n v="6"/>
    <n v="8"/>
    <n v="1"/>
    <n v="1"/>
    <n v="0"/>
    <n v="0"/>
    <n v="8"/>
    <n v="155"/>
  </r>
  <r>
    <x v="16"/>
    <s v="ITA"/>
    <x v="2"/>
    <x v="2"/>
    <n v="4649933453"/>
    <n v="1135662422"/>
    <n v="8"/>
    <n v="4"/>
    <n v="12"/>
    <n v="63"/>
    <n v="75"/>
    <n v="37"/>
    <n v="37"/>
    <n v="0"/>
    <n v="0"/>
    <n v="75"/>
    <n v="75"/>
  </r>
  <r>
    <x v="16"/>
    <s v="ITA"/>
    <x v="3"/>
    <x v="3"/>
    <n v="3890597598"/>
    <n v="1659440194"/>
    <n v="10"/>
    <n v="2"/>
    <n v="12"/>
    <n v="5"/>
    <n v="17"/>
    <n v="6"/>
    <n v="6"/>
    <n v="2"/>
    <n v="0"/>
    <n v="19"/>
    <n v="405"/>
  </r>
  <r>
    <x v="16"/>
    <s v="ITA"/>
    <x v="4"/>
    <x v="4"/>
    <n v="4083956555"/>
    <n v="1425084984"/>
    <n v="56"/>
    <n v="11"/>
    <n v="67"/>
    <n v="82"/>
    <n v="149"/>
    <n v="23"/>
    <n v="27"/>
    <n v="4"/>
    <n v="1"/>
    <n v="154"/>
    <n v="1375"/>
  </r>
  <r>
    <x v="16"/>
    <s v="ITA"/>
    <x v="5"/>
    <x v="5"/>
    <n v="4449436681"/>
    <n v="113417208"/>
    <n v="745"/>
    <n v="104"/>
    <n v="849"/>
    <n v="739"/>
    <n v="1588"/>
    <n v="171"/>
    <n v="206"/>
    <n v="38"/>
    <n v="113"/>
    <n v="1739"/>
    <n v="6640"/>
  </r>
  <r>
    <x v="16"/>
    <s v="ITA"/>
    <x v="6"/>
    <x v="6"/>
    <n v="456494354"/>
    <n v="1376813649"/>
    <n v="16"/>
    <n v="5"/>
    <n v="21"/>
    <n v="89"/>
    <n v="110"/>
    <n v="0"/>
    <n v="10"/>
    <n v="10"/>
    <n v="6"/>
    <n v="126"/>
    <n v="2073"/>
  </r>
  <r>
    <x v="16"/>
    <s v="ITA"/>
    <x v="7"/>
    <x v="7"/>
    <n v="4189277044"/>
    <n v="1248366722"/>
    <n v="67"/>
    <n v="18"/>
    <n v="85"/>
    <n v="40"/>
    <n v="125"/>
    <n v="26"/>
    <n v="34"/>
    <n v="19"/>
    <n v="6"/>
    <n v="150"/>
    <n v="3591"/>
  </r>
  <r>
    <x v="16"/>
    <s v="ITA"/>
    <x v="8"/>
    <x v="8"/>
    <n v="4441149315"/>
    <n v="89326992"/>
    <n v="74"/>
    <n v="34"/>
    <n v="108"/>
    <n v="73"/>
    <n v="181"/>
    <n v="53"/>
    <n v="53"/>
    <n v="5"/>
    <n v="8"/>
    <n v="194"/>
    <n v="1025"/>
  </r>
  <r>
    <x v="16"/>
    <s v="ITA"/>
    <x v="9"/>
    <x v="9"/>
    <n v="4546679409"/>
    <n v="9190347404"/>
    <n v="3852"/>
    <n v="560"/>
    <n v="4412"/>
    <n v="1351"/>
    <n v="5763"/>
    <n v="1336"/>
    <n v="1489"/>
    <n v="900"/>
    <n v="617"/>
    <n v="7280"/>
    <n v="25629"/>
  </r>
  <r>
    <x v="16"/>
    <s v="ITA"/>
    <x v="10"/>
    <x v="10"/>
    <n v="4361675973"/>
    <n v="135188753"/>
    <n v="212"/>
    <n v="66"/>
    <n v="278"/>
    <n v="183"/>
    <n v="461"/>
    <n v="80"/>
    <n v="85"/>
    <n v="0"/>
    <n v="18"/>
    <n v="479"/>
    <n v="1656"/>
  </r>
  <r>
    <x v="16"/>
    <s v="ITA"/>
    <x v="11"/>
    <x v="11"/>
    <n v="4155774754"/>
    <n v="1465916051"/>
    <n v="4"/>
    <n v="3"/>
    <n v="7"/>
    <n v="9"/>
    <n v="16"/>
    <n v="1"/>
    <n v="1"/>
    <n v="0"/>
    <n v="0"/>
    <n v="16"/>
    <n v="233"/>
  </r>
  <r>
    <x v="16"/>
    <s v="ITA"/>
    <x v="12"/>
    <x v="12"/>
    <n v="450732745"/>
    <n v="7680687483"/>
    <n v="319"/>
    <n v="75"/>
    <n v="394"/>
    <n v="86"/>
    <n v="480"/>
    <n v="44"/>
    <n v="48"/>
    <n v="0"/>
    <n v="21"/>
    <n v="501"/>
    <n v="2431"/>
  </r>
  <r>
    <x v="16"/>
    <s v="ITA"/>
    <x v="13"/>
    <x v="13"/>
    <n v="4112559576"/>
    <n v="1686736689"/>
    <n v="38"/>
    <n v="4"/>
    <n v="42"/>
    <n v="29"/>
    <n v="71"/>
    <n v="16"/>
    <n v="18"/>
    <n v="1"/>
    <n v="5"/>
    <n v="77"/>
    <n v="909"/>
  </r>
  <r>
    <x v="16"/>
    <s v="ITA"/>
    <x v="14"/>
    <x v="14"/>
    <n v="3921531192"/>
    <n v="9110616306"/>
    <n v="10"/>
    <n v="0"/>
    <n v="10"/>
    <n v="27"/>
    <n v="37"/>
    <n v="17"/>
    <n v="17"/>
    <n v="0"/>
    <n v="0"/>
    <n v="37"/>
    <n v="283"/>
  </r>
  <r>
    <x v="16"/>
    <s v="ITA"/>
    <x v="15"/>
    <x v="15"/>
    <n v="3811569725"/>
    <n v="133623567"/>
    <n v="23"/>
    <n v="1"/>
    <n v="24"/>
    <n v="57"/>
    <n v="81"/>
    <n v="21"/>
    <n v="21"/>
    <n v="2"/>
    <n v="0"/>
    <n v="83"/>
    <n v="1194"/>
  </r>
  <r>
    <x v="16"/>
    <s v="ITA"/>
    <x v="16"/>
    <x v="16"/>
    <n v="4376923077"/>
    <n v="1125588885"/>
    <n v="87"/>
    <n v="54"/>
    <n v="141"/>
    <n v="173"/>
    <n v="314"/>
    <n v="54"/>
    <n v="56"/>
    <n v="5"/>
    <n v="1"/>
    <n v="320"/>
    <n v="2804"/>
  </r>
  <r>
    <x v="16"/>
    <s v="ITA"/>
    <x v="2"/>
    <x v="17"/>
    <n v="4606893511"/>
    <n v="1112123097"/>
    <n v="28"/>
    <n v="4"/>
    <n v="32"/>
    <n v="42"/>
    <n v="74"/>
    <n v="24"/>
    <n v="25"/>
    <n v="3"/>
    <n v="0"/>
    <n v="77"/>
    <n v="527"/>
  </r>
  <r>
    <x v="16"/>
    <s v="ITA"/>
    <x v="17"/>
    <x v="18"/>
    <n v="4310675841"/>
    <n v="1238824698"/>
    <n v="7"/>
    <n v="5"/>
    <n v="12"/>
    <n v="32"/>
    <n v="44"/>
    <n v="7"/>
    <n v="9"/>
    <n v="2"/>
    <n v="0"/>
    <n v="46"/>
    <n v="340"/>
  </r>
  <r>
    <x v="16"/>
    <s v="ITA"/>
    <x v="18"/>
    <x v="19"/>
    <n v="4573750286"/>
    <n v="7320149366"/>
    <n v="2"/>
    <n v="0"/>
    <n v="2"/>
    <n v="17"/>
    <n v="19"/>
    <n v="2"/>
    <n v="3"/>
    <n v="0"/>
    <n v="1"/>
    <n v="20"/>
    <n v="99"/>
  </r>
  <r>
    <x v="16"/>
    <s v="ITA"/>
    <x v="19"/>
    <x v="20"/>
    <n v="4543490485"/>
    <n v="1233845213"/>
    <n v="262"/>
    <n v="68"/>
    <n v="330"/>
    <n v="610"/>
    <n v="940"/>
    <n v="157"/>
    <n v="167"/>
    <n v="54"/>
    <n v="29"/>
    <n v="1023"/>
    <n v="21400"/>
  </r>
  <r>
    <x v="17"/>
    <s v="ITA"/>
    <x v="0"/>
    <x v="0"/>
    <n v="4235122196"/>
    <n v="1339843823"/>
    <n v="47"/>
    <n v="12"/>
    <n v="59"/>
    <n v="19"/>
    <n v="78"/>
    <n v="41"/>
    <n v="46"/>
    <n v="4"/>
    <n v="2"/>
    <n v="84"/>
    <n v="867"/>
  </r>
  <r>
    <x v="17"/>
    <s v="ITA"/>
    <x v="1"/>
    <x v="1"/>
    <n v="4063947052"/>
    <n v="1580514834"/>
    <n v="1"/>
    <n v="1"/>
    <n v="2"/>
    <n v="6"/>
    <n v="8"/>
    <n v="0"/>
    <n v="0"/>
    <n v="0"/>
    <n v="0"/>
    <n v="8"/>
    <n v="155"/>
  </r>
  <r>
    <x v="17"/>
    <s v="ITA"/>
    <x v="2"/>
    <x v="2"/>
    <n v="4649933453"/>
    <n v="1135662422"/>
    <n v="21"/>
    <n v="4"/>
    <n v="25"/>
    <n v="78"/>
    <n v="103"/>
    <n v="28"/>
    <n v="29"/>
    <n v="0"/>
    <n v="1"/>
    <n v="104"/>
    <n v="607"/>
  </r>
  <r>
    <x v="17"/>
    <s v="ITA"/>
    <x v="3"/>
    <x v="3"/>
    <n v="3890597598"/>
    <n v="1659440194"/>
    <n v="14"/>
    <n v="2"/>
    <n v="16"/>
    <n v="16"/>
    <n v="32"/>
    <n v="15"/>
    <n v="14"/>
    <n v="1"/>
    <n v="0"/>
    <n v="33"/>
    <n v="483"/>
  </r>
  <r>
    <x v="17"/>
    <s v="ITA"/>
    <x v="4"/>
    <x v="4"/>
    <n v="4083956555"/>
    <n v="1425084984"/>
    <n v="56"/>
    <n v="11"/>
    <n v="67"/>
    <n v="107"/>
    <n v="174"/>
    <n v="25"/>
    <n v="25"/>
    <n v="4"/>
    <n v="1"/>
    <n v="179"/>
    <n v="1551"/>
  </r>
  <r>
    <x v="17"/>
    <s v="ITA"/>
    <x v="5"/>
    <x v="5"/>
    <n v="4449436681"/>
    <n v="113417208"/>
    <n v="814"/>
    <n v="112"/>
    <n v="926"/>
    <n v="832"/>
    <n v="1758"/>
    <n v="170"/>
    <n v="208"/>
    <n v="43"/>
    <n v="146"/>
    <n v="1947"/>
    <n v="7600"/>
  </r>
  <r>
    <x v="17"/>
    <s v="ITA"/>
    <x v="6"/>
    <x v="6"/>
    <n v="456494354"/>
    <n v="1376813649"/>
    <n v="23"/>
    <n v="10"/>
    <n v="33"/>
    <n v="115"/>
    <n v="148"/>
    <n v="38"/>
    <n v="41"/>
    <n v="11"/>
    <n v="8"/>
    <n v="167"/>
    <n v="2604"/>
  </r>
  <r>
    <x v="17"/>
    <s v="ITA"/>
    <x v="7"/>
    <x v="7"/>
    <n v="4189277044"/>
    <n v="1248366722"/>
    <n v="85"/>
    <n v="20"/>
    <n v="105"/>
    <n v="67"/>
    <n v="172"/>
    <n v="47"/>
    <n v="50"/>
    <n v="19"/>
    <n v="9"/>
    <n v="200"/>
    <n v="5592"/>
  </r>
  <r>
    <x v="17"/>
    <s v="ITA"/>
    <x v="8"/>
    <x v="8"/>
    <n v="4441149315"/>
    <n v="89326992"/>
    <n v="100"/>
    <n v="36"/>
    <n v="136"/>
    <n v="107"/>
    <n v="243"/>
    <n v="62"/>
    <n v="80"/>
    <n v="20"/>
    <n v="11"/>
    <n v="274"/>
    <n v="1174"/>
  </r>
  <r>
    <x v="17"/>
    <s v="ITA"/>
    <x v="9"/>
    <x v="9"/>
    <n v="4546679409"/>
    <n v="9190347404"/>
    <n v="4247"/>
    <n v="605"/>
    <n v="4852"/>
    <n v="2044"/>
    <n v="6896"/>
    <n v="1133"/>
    <n v="1445"/>
    <n v="1085"/>
    <n v="744"/>
    <n v="8725"/>
    <n v="29534"/>
  </r>
  <r>
    <x v="17"/>
    <s v="ITA"/>
    <x v="10"/>
    <x v="10"/>
    <n v="4361675973"/>
    <n v="135188753"/>
    <n v="254"/>
    <n v="76"/>
    <n v="330"/>
    <n v="240"/>
    <n v="570"/>
    <n v="109"/>
    <n v="113"/>
    <n v="0"/>
    <n v="22"/>
    <n v="592"/>
    <n v="1907"/>
  </r>
  <r>
    <x v="17"/>
    <s v="ITA"/>
    <x v="11"/>
    <x v="11"/>
    <n v="4155774754"/>
    <n v="1465916051"/>
    <n v="4"/>
    <n v="3"/>
    <n v="7"/>
    <n v="9"/>
    <n v="16"/>
    <n v="0"/>
    <n v="0"/>
    <n v="0"/>
    <n v="0"/>
    <n v="16"/>
    <n v="238"/>
  </r>
  <r>
    <x v="17"/>
    <s v="ITA"/>
    <x v="12"/>
    <x v="12"/>
    <n v="450732745"/>
    <n v="7680687483"/>
    <n v="368"/>
    <n v="97"/>
    <n v="465"/>
    <n v="89"/>
    <n v="554"/>
    <n v="74"/>
    <n v="79"/>
    <n v="0"/>
    <n v="26"/>
    <n v="580"/>
    <n v="2879"/>
  </r>
  <r>
    <x v="17"/>
    <s v="ITA"/>
    <x v="13"/>
    <x v="13"/>
    <n v="4112559576"/>
    <n v="1686736689"/>
    <n v="58"/>
    <n v="2"/>
    <n v="60"/>
    <n v="38"/>
    <n v="98"/>
    <n v="27"/>
    <n v="27"/>
    <n v="1"/>
    <n v="5"/>
    <n v="104"/>
    <n v="1269"/>
  </r>
  <r>
    <x v="17"/>
    <s v="ITA"/>
    <x v="14"/>
    <x v="14"/>
    <n v="3921531192"/>
    <n v="9110616306"/>
    <n v="12"/>
    <n v="0"/>
    <n v="12"/>
    <n v="27"/>
    <n v="39"/>
    <n v="2"/>
    <n v="2"/>
    <n v="0"/>
    <n v="0"/>
    <n v="39"/>
    <n v="302"/>
  </r>
  <r>
    <x v="17"/>
    <s v="ITA"/>
    <x v="15"/>
    <x v="15"/>
    <n v="3811569725"/>
    <n v="133623567"/>
    <n v="28"/>
    <n v="5"/>
    <n v="33"/>
    <n v="78"/>
    <n v="111"/>
    <n v="30"/>
    <n v="32"/>
    <n v="2"/>
    <n v="2"/>
    <n v="115"/>
    <n v="1477"/>
  </r>
  <r>
    <x v="17"/>
    <s v="ITA"/>
    <x v="16"/>
    <x v="16"/>
    <n v="4376923077"/>
    <n v="1125588885"/>
    <n v="100"/>
    <n v="59"/>
    <n v="159"/>
    <n v="193"/>
    <n v="352"/>
    <n v="38"/>
    <n v="44"/>
    <n v="7"/>
    <n v="5"/>
    <n v="364"/>
    <n v="3165"/>
  </r>
  <r>
    <x v="17"/>
    <s v="ITA"/>
    <x v="2"/>
    <x v="17"/>
    <n v="4606893511"/>
    <n v="1112123097"/>
    <n v="43"/>
    <n v="5"/>
    <n v="48"/>
    <n v="54"/>
    <n v="102"/>
    <n v="28"/>
    <n v="30"/>
    <n v="4"/>
    <n v="1"/>
    <n v="107"/>
    <n v="593"/>
  </r>
  <r>
    <x v="17"/>
    <s v="ITA"/>
    <x v="17"/>
    <x v="18"/>
    <n v="4310675841"/>
    <n v="1238824698"/>
    <n v="8"/>
    <n v="8"/>
    <n v="16"/>
    <n v="46"/>
    <n v="62"/>
    <n v="18"/>
    <n v="18"/>
    <n v="2"/>
    <n v="0"/>
    <n v="64"/>
    <n v="458"/>
  </r>
  <r>
    <x v="17"/>
    <s v="ITA"/>
    <x v="18"/>
    <x v="19"/>
    <n v="4573750286"/>
    <n v="7320149366"/>
    <n v="7"/>
    <n v="0"/>
    <n v="7"/>
    <n v="19"/>
    <n v="26"/>
    <n v="7"/>
    <n v="7"/>
    <n v="0"/>
    <n v="1"/>
    <n v="27"/>
    <n v="118"/>
  </r>
  <r>
    <x v="17"/>
    <s v="ITA"/>
    <x v="19"/>
    <x v="20"/>
    <n v="4543490485"/>
    <n v="1233845213"/>
    <n v="360"/>
    <n v="85"/>
    <n v="445"/>
    <n v="852"/>
    <n v="1297"/>
    <n v="357"/>
    <n v="361"/>
    <n v="55"/>
    <n v="32"/>
    <n v="1384"/>
    <n v="23438"/>
  </r>
  <r>
    <x v="18"/>
    <s v="ITA"/>
    <x v="0"/>
    <x v="0"/>
    <n v="4235122196"/>
    <n v="1339843823"/>
    <n v="42"/>
    <n v="14"/>
    <n v="56"/>
    <n v="27"/>
    <n v="83"/>
    <n v="5"/>
    <n v="5"/>
    <n v="4"/>
    <n v="2"/>
    <n v="89"/>
    <n v="958"/>
  </r>
  <r>
    <x v="18"/>
    <s v="ITA"/>
    <x v="1"/>
    <x v="1"/>
    <n v="4063947052"/>
    <n v="1580514834"/>
    <n v="1"/>
    <n v="1"/>
    <n v="2"/>
    <n v="8"/>
    <n v="10"/>
    <n v="2"/>
    <n v="2"/>
    <n v="0"/>
    <n v="0"/>
    <n v="10"/>
    <n v="155"/>
  </r>
  <r>
    <x v="18"/>
    <s v="ITA"/>
    <x v="2"/>
    <x v="2"/>
    <n v="4649933453"/>
    <n v="1135662422"/>
    <n v="20"/>
    <n v="5"/>
    <n v="25"/>
    <n v="98"/>
    <n v="123"/>
    <n v="20"/>
    <n v="21"/>
    <n v="0"/>
    <n v="2"/>
    <n v="125"/>
    <n v="811"/>
  </r>
  <r>
    <x v="18"/>
    <s v="ITA"/>
    <x v="3"/>
    <x v="3"/>
    <n v="3890597598"/>
    <n v="1659440194"/>
    <n v="18"/>
    <n v="3"/>
    <n v="21"/>
    <n v="16"/>
    <n v="37"/>
    <n v="5"/>
    <n v="5"/>
    <n v="1"/>
    <n v="0"/>
    <n v="38"/>
    <n v="504"/>
  </r>
  <r>
    <x v="18"/>
    <s v="ITA"/>
    <x v="4"/>
    <x v="4"/>
    <n v="4083956555"/>
    <n v="1425084984"/>
    <n v="60"/>
    <n v="19"/>
    <n v="79"/>
    <n v="134"/>
    <n v="213"/>
    <n v="39"/>
    <n v="41"/>
    <n v="5"/>
    <n v="2"/>
    <n v="220"/>
    <n v="1671"/>
  </r>
  <r>
    <x v="18"/>
    <s v="ITA"/>
    <x v="5"/>
    <x v="5"/>
    <n v="4449436681"/>
    <n v="113417208"/>
    <n v="942"/>
    <n v="128"/>
    <n v="1070"/>
    <n v="941"/>
    <n v="2011"/>
    <n v="253"/>
    <n v="316"/>
    <n v="51"/>
    <n v="201"/>
    <n v="2263"/>
    <n v="8787"/>
  </r>
  <r>
    <x v="18"/>
    <s v="ITA"/>
    <x v="6"/>
    <x v="6"/>
    <n v="456494354"/>
    <n v="1376813649"/>
    <n v="59"/>
    <n v="8"/>
    <n v="67"/>
    <n v="169"/>
    <n v="236"/>
    <n v="88"/>
    <n v="90"/>
    <n v="11"/>
    <n v="10"/>
    <n v="257"/>
    <n v="3149"/>
  </r>
  <r>
    <x v="18"/>
    <s v="ITA"/>
    <x v="7"/>
    <x v="7"/>
    <n v="4189277044"/>
    <n v="1248366722"/>
    <n v="122"/>
    <n v="24"/>
    <n v="146"/>
    <n v="96"/>
    <n v="242"/>
    <n v="70"/>
    <n v="77"/>
    <n v="24"/>
    <n v="11"/>
    <n v="277"/>
    <n v="6491"/>
  </r>
  <r>
    <x v="18"/>
    <s v="ITA"/>
    <x v="8"/>
    <x v="8"/>
    <n v="4441149315"/>
    <n v="89326992"/>
    <n v="128"/>
    <n v="44"/>
    <n v="172"/>
    <n v="132"/>
    <n v="304"/>
    <n v="61"/>
    <n v="71"/>
    <n v="24"/>
    <n v="17"/>
    <n v="345"/>
    <n v="1442"/>
  </r>
  <r>
    <x v="18"/>
    <s v="ITA"/>
    <x v="9"/>
    <x v="9"/>
    <n v="4546679409"/>
    <n v="9190347404"/>
    <n v="4435"/>
    <n v="650"/>
    <n v="5085"/>
    <n v="2647"/>
    <n v="7732"/>
    <n v="836"/>
    <n v="1095"/>
    <n v="1198"/>
    <n v="890"/>
    <n v="9820"/>
    <n v="32700"/>
  </r>
  <r>
    <x v="18"/>
    <s v="ITA"/>
    <x v="10"/>
    <x v="10"/>
    <n v="4361675973"/>
    <n v="135188753"/>
    <n v="337"/>
    <n v="85"/>
    <n v="422"/>
    <n v="276"/>
    <n v="698"/>
    <n v="128"/>
    <n v="133"/>
    <n v="0"/>
    <n v="27"/>
    <n v="725"/>
    <n v="2218"/>
  </r>
  <r>
    <x v="18"/>
    <s v="ITA"/>
    <x v="11"/>
    <x v="11"/>
    <n v="4155774754"/>
    <n v="1465916051"/>
    <n v="5"/>
    <n v="3"/>
    <n v="8"/>
    <n v="9"/>
    <n v="17"/>
    <n v="1"/>
    <n v="1"/>
    <n v="0"/>
    <n v="0"/>
    <n v="17"/>
    <n v="243"/>
  </r>
  <r>
    <x v="18"/>
    <s v="ITA"/>
    <x v="12"/>
    <x v="12"/>
    <n v="450732745"/>
    <n v="7680687483"/>
    <n v="556"/>
    <n v="135"/>
    <n v="691"/>
    <n v="103"/>
    <n v="794"/>
    <n v="240"/>
    <n v="260"/>
    <n v="0"/>
    <n v="46"/>
    <n v="840"/>
    <n v="3105"/>
  </r>
  <r>
    <x v="18"/>
    <s v="ITA"/>
    <x v="13"/>
    <x v="13"/>
    <n v="4112559576"/>
    <n v="1686736689"/>
    <n v="77"/>
    <n v="2"/>
    <n v="79"/>
    <n v="42"/>
    <n v="121"/>
    <n v="23"/>
    <n v="25"/>
    <n v="3"/>
    <n v="5"/>
    <n v="129"/>
    <n v="1449"/>
  </r>
  <r>
    <x v="18"/>
    <s v="ITA"/>
    <x v="14"/>
    <x v="14"/>
    <n v="3921531192"/>
    <n v="9110616306"/>
    <n v="12"/>
    <n v="0"/>
    <n v="12"/>
    <n v="31"/>
    <n v="43"/>
    <n v="4"/>
    <n v="4"/>
    <n v="0"/>
    <n v="0"/>
    <n v="43"/>
    <n v="504"/>
  </r>
  <r>
    <x v="18"/>
    <s v="ITA"/>
    <x v="15"/>
    <x v="15"/>
    <n v="3811569725"/>
    <n v="133623567"/>
    <n v="37"/>
    <n v="7"/>
    <n v="44"/>
    <n v="82"/>
    <n v="126"/>
    <n v="15"/>
    <n v="15"/>
    <n v="2"/>
    <n v="2"/>
    <n v="130"/>
    <n v="1950"/>
  </r>
  <r>
    <x v="18"/>
    <s v="ITA"/>
    <x v="16"/>
    <x v="16"/>
    <n v="4376923077"/>
    <n v="1125588885"/>
    <n v="134"/>
    <n v="77"/>
    <n v="211"/>
    <n v="244"/>
    <n v="455"/>
    <n v="103"/>
    <n v="106"/>
    <n v="10"/>
    <n v="5"/>
    <n v="470"/>
    <n v="4049"/>
  </r>
  <r>
    <x v="18"/>
    <s v="ITA"/>
    <x v="2"/>
    <x v="17"/>
    <n v="4606893511"/>
    <n v="1112123097"/>
    <n v="58"/>
    <n v="6"/>
    <n v="64"/>
    <n v="93"/>
    <n v="157"/>
    <n v="55"/>
    <n v="56"/>
    <n v="4"/>
    <n v="2"/>
    <n v="163"/>
    <n v="846"/>
  </r>
  <r>
    <x v="18"/>
    <s v="ITA"/>
    <x v="17"/>
    <x v="18"/>
    <n v="4310675841"/>
    <n v="1238824698"/>
    <n v="11"/>
    <n v="10"/>
    <n v="21"/>
    <n v="52"/>
    <n v="73"/>
    <n v="11"/>
    <n v="12"/>
    <n v="2"/>
    <n v="1"/>
    <n v="76"/>
    <n v="576"/>
  </r>
  <r>
    <x v="18"/>
    <s v="ITA"/>
    <x v="18"/>
    <x v="19"/>
    <n v="4573750286"/>
    <n v="7320149366"/>
    <n v="6"/>
    <n v="0"/>
    <n v="6"/>
    <n v="21"/>
    <n v="27"/>
    <n v="1"/>
    <n v="1"/>
    <n v="0"/>
    <n v="1"/>
    <n v="28"/>
    <n v="189"/>
  </r>
  <r>
    <x v="18"/>
    <s v="ITA"/>
    <x v="19"/>
    <x v="20"/>
    <n v="4543490485"/>
    <n v="1233845213"/>
    <n v="366"/>
    <n v="107"/>
    <n v="473"/>
    <n v="980"/>
    <n v="1453"/>
    <n v="156"/>
    <n v="211"/>
    <n v="100"/>
    <n v="42"/>
    <n v="1595"/>
    <n v="25691"/>
  </r>
  <r>
    <x v="19"/>
    <s v="ITA"/>
    <x v="0"/>
    <x v="0"/>
    <n v="4235122196"/>
    <n v="1339843823"/>
    <n v="51"/>
    <n v="14"/>
    <n v="65"/>
    <n v="41"/>
    <n v="106"/>
    <n v="23"/>
    <n v="23"/>
    <n v="4"/>
    <n v="2"/>
    <n v="112"/>
    <n v="1232"/>
  </r>
  <r>
    <x v="19"/>
    <s v="ITA"/>
    <x v="1"/>
    <x v="1"/>
    <n v="4063947052"/>
    <n v="1580514834"/>
    <n v="0"/>
    <n v="2"/>
    <n v="2"/>
    <n v="8"/>
    <n v="10"/>
    <n v="0"/>
    <n v="0"/>
    <n v="0"/>
    <n v="0"/>
    <n v="10"/>
    <n v="155"/>
  </r>
  <r>
    <x v="19"/>
    <s v="ITA"/>
    <x v="2"/>
    <x v="2"/>
    <n v="4649933453"/>
    <n v="1135662422"/>
    <n v="26"/>
    <n v="7"/>
    <n v="33"/>
    <n v="137"/>
    <n v="170"/>
    <n v="47"/>
    <n v="48"/>
    <n v="0"/>
    <n v="3"/>
    <n v="173"/>
    <n v="1135"/>
  </r>
  <r>
    <x v="19"/>
    <s v="ITA"/>
    <x v="3"/>
    <x v="3"/>
    <n v="3890597598"/>
    <n v="1659440194"/>
    <n v="22"/>
    <n v="4"/>
    <n v="26"/>
    <n v="33"/>
    <n v="59"/>
    <n v="22"/>
    <n v="22"/>
    <n v="1"/>
    <n v="0"/>
    <n v="60"/>
    <n v="711"/>
  </r>
  <r>
    <x v="19"/>
    <s v="ITA"/>
    <x v="4"/>
    <x v="4"/>
    <n v="4083956555"/>
    <n v="1425084984"/>
    <n v="72"/>
    <n v="17"/>
    <n v="89"/>
    <n v="154"/>
    <n v="243"/>
    <n v="30"/>
    <n v="52"/>
    <n v="23"/>
    <n v="6"/>
    <n v="272"/>
    <n v="1936"/>
  </r>
  <r>
    <x v="19"/>
    <s v="ITA"/>
    <x v="5"/>
    <x v="5"/>
    <n v="4449436681"/>
    <n v="113417208"/>
    <n v="1076"/>
    <n v="152"/>
    <n v="1228"/>
    <n v="1121"/>
    <n v="2349"/>
    <n v="338"/>
    <n v="381"/>
    <n v="54"/>
    <n v="241"/>
    <n v="2644"/>
    <n v="10043"/>
  </r>
  <r>
    <x v="19"/>
    <s v="ITA"/>
    <x v="6"/>
    <x v="6"/>
    <n v="456494354"/>
    <n v="1376813649"/>
    <n v="67"/>
    <n v="11"/>
    <n v="78"/>
    <n v="193"/>
    <n v="271"/>
    <n v="35"/>
    <n v="44"/>
    <n v="17"/>
    <n v="13"/>
    <n v="301"/>
    <n v="3376"/>
  </r>
  <r>
    <x v="19"/>
    <s v="ITA"/>
    <x v="7"/>
    <x v="7"/>
    <n v="4189277044"/>
    <n v="1248366722"/>
    <n v="181"/>
    <n v="25"/>
    <n v="206"/>
    <n v="114"/>
    <n v="320"/>
    <n v="78"/>
    <n v="80"/>
    <n v="24"/>
    <n v="13"/>
    <n v="357"/>
    <n v="7335"/>
  </r>
  <r>
    <x v="19"/>
    <s v="ITA"/>
    <x v="8"/>
    <x v="8"/>
    <n v="4441149315"/>
    <n v="89326992"/>
    <n v="213"/>
    <n v="62"/>
    <n v="275"/>
    <n v="109"/>
    <n v="384"/>
    <n v="80"/>
    <n v="118"/>
    <n v="52"/>
    <n v="27"/>
    <n v="463"/>
    <n v="1750"/>
  </r>
  <r>
    <x v="19"/>
    <s v="ITA"/>
    <x v="9"/>
    <x v="9"/>
    <n v="4546679409"/>
    <n v="9190347404"/>
    <n v="4898"/>
    <n v="732"/>
    <n v="5630"/>
    <n v="3429"/>
    <n v="9059"/>
    <n v="1327"/>
    <n v="1865"/>
    <n v="1660"/>
    <n v="966"/>
    <n v="11685"/>
    <n v="37138"/>
  </r>
  <r>
    <x v="19"/>
    <s v="ITA"/>
    <x v="10"/>
    <x v="10"/>
    <n v="4361675973"/>
    <n v="135188753"/>
    <n v="449"/>
    <n v="93"/>
    <n v="542"/>
    <n v="321"/>
    <n v="863"/>
    <n v="165"/>
    <n v="174"/>
    <n v="0"/>
    <n v="36"/>
    <n v="899"/>
    <n v="2561"/>
  </r>
  <r>
    <x v="19"/>
    <s v="ITA"/>
    <x v="11"/>
    <x v="11"/>
    <n v="4155774754"/>
    <n v="1465916051"/>
    <n v="5"/>
    <n v="3"/>
    <n v="8"/>
    <n v="9"/>
    <n v="17"/>
    <n v="0"/>
    <n v="0"/>
    <n v="0"/>
    <n v="0"/>
    <n v="17"/>
    <n v="247"/>
  </r>
  <r>
    <x v="19"/>
    <s v="ITA"/>
    <x v="12"/>
    <x v="12"/>
    <n v="450732745"/>
    <n v="7680687483"/>
    <n v="538"/>
    <n v="150"/>
    <n v="688"/>
    <n v="126"/>
    <n v="814"/>
    <n v="20"/>
    <n v="33"/>
    <n v="0"/>
    <n v="59"/>
    <n v="873"/>
    <n v="3680"/>
  </r>
  <r>
    <x v="19"/>
    <s v="ITA"/>
    <x v="13"/>
    <x v="13"/>
    <n v="4112559576"/>
    <n v="1686736689"/>
    <n v="91"/>
    <n v="6"/>
    <n v="97"/>
    <n v="59"/>
    <n v="156"/>
    <n v="35"/>
    <n v="37"/>
    <n v="2"/>
    <n v="8"/>
    <n v="166"/>
    <n v="1681"/>
  </r>
  <r>
    <x v="19"/>
    <s v="ITA"/>
    <x v="14"/>
    <x v="14"/>
    <n v="3921531192"/>
    <n v="9110616306"/>
    <n v="14"/>
    <n v="0"/>
    <n v="14"/>
    <n v="33"/>
    <n v="47"/>
    <n v="4"/>
    <n v="4"/>
    <n v="0"/>
    <n v="0"/>
    <n v="47"/>
    <n v="530"/>
  </r>
  <r>
    <x v="19"/>
    <s v="ITA"/>
    <x v="15"/>
    <x v="15"/>
    <n v="3811569725"/>
    <n v="133623567"/>
    <n v="42"/>
    <n v="11"/>
    <n v="53"/>
    <n v="97"/>
    <n v="150"/>
    <n v="24"/>
    <n v="26"/>
    <n v="4"/>
    <n v="2"/>
    <n v="156"/>
    <n v="2100"/>
  </r>
  <r>
    <x v="19"/>
    <s v="ITA"/>
    <x v="16"/>
    <x v="16"/>
    <n v="4376923077"/>
    <n v="1125588885"/>
    <n v="160"/>
    <n v="87"/>
    <n v="247"/>
    <n v="367"/>
    <n v="614"/>
    <n v="159"/>
    <n v="160"/>
    <n v="10"/>
    <n v="6"/>
    <n v="630"/>
    <n v="4595"/>
  </r>
  <r>
    <x v="19"/>
    <s v="ITA"/>
    <x v="2"/>
    <x v="17"/>
    <n v="4606893511"/>
    <n v="1112123097"/>
    <n v="68"/>
    <n v="12"/>
    <n v="80"/>
    <n v="119"/>
    <n v="199"/>
    <n v="42"/>
    <n v="43"/>
    <n v="5"/>
    <n v="2"/>
    <n v="206"/>
    <n v="1006"/>
  </r>
  <r>
    <x v="19"/>
    <s v="ITA"/>
    <x v="17"/>
    <x v="18"/>
    <n v="4310675841"/>
    <n v="1238824698"/>
    <n v="21"/>
    <n v="11"/>
    <n v="32"/>
    <n v="71"/>
    <n v="103"/>
    <n v="30"/>
    <n v="31"/>
    <n v="3"/>
    <n v="1"/>
    <n v="107"/>
    <n v="748"/>
  </r>
  <r>
    <x v="19"/>
    <s v="ITA"/>
    <x v="18"/>
    <x v="19"/>
    <n v="4573750286"/>
    <n v="7320149366"/>
    <n v="12"/>
    <n v="0"/>
    <n v="12"/>
    <n v="29"/>
    <n v="41"/>
    <n v="14"/>
    <n v="14"/>
    <n v="0"/>
    <n v="1"/>
    <n v="42"/>
    <n v="231"/>
  </r>
  <r>
    <x v="19"/>
    <s v="ITA"/>
    <x v="19"/>
    <x v="20"/>
    <n v="4543490485"/>
    <n v="1233845213"/>
    <n v="366"/>
    <n v="119"/>
    <n v="485"/>
    <n v="1290"/>
    <n v="1775"/>
    <n v="322"/>
    <n v="342"/>
    <n v="107"/>
    <n v="55"/>
    <n v="1937"/>
    <n v="26980"/>
  </r>
  <r>
    <x v="20"/>
    <s v="ITA"/>
    <x v="0"/>
    <x v="0"/>
    <n v="4235122196"/>
    <n v="1339843823"/>
    <n v="72"/>
    <n v="28"/>
    <n v="100"/>
    <n v="28"/>
    <n v="128"/>
    <n v="22"/>
    <n v="25"/>
    <n v="6"/>
    <n v="3"/>
    <n v="137"/>
    <n v="1419"/>
  </r>
  <r>
    <x v="20"/>
    <s v="ITA"/>
    <x v="1"/>
    <x v="1"/>
    <n v="4063947052"/>
    <n v="1580514834"/>
    <n v="0"/>
    <n v="2"/>
    <n v="2"/>
    <n v="9"/>
    <n v="11"/>
    <n v="1"/>
    <n v="1"/>
    <n v="0"/>
    <n v="0"/>
    <n v="11"/>
    <n v="208"/>
  </r>
  <r>
    <x v="20"/>
    <s v="ITA"/>
    <x v="2"/>
    <x v="2"/>
    <n v="4649933453"/>
    <n v="1135662422"/>
    <n v="50"/>
    <n v="4"/>
    <n v="54"/>
    <n v="145"/>
    <n v="199"/>
    <n v="29"/>
    <n v="31"/>
    <n v="0"/>
    <n v="5"/>
    <n v="204"/>
    <n v="1497"/>
  </r>
  <r>
    <x v="20"/>
    <s v="ITA"/>
    <x v="3"/>
    <x v="3"/>
    <n v="3890597598"/>
    <n v="1659440194"/>
    <n v="32"/>
    <n v="6"/>
    <n v="38"/>
    <n v="28"/>
    <n v="66"/>
    <n v="7"/>
    <n v="8"/>
    <n v="1"/>
    <n v="1"/>
    <n v="68"/>
    <n v="884"/>
  </r>
  <r>
    <x v="20"/>
    <s v="ITA"/>
    <x v="4"/>
    <x v="4"/>
    <n v="4083956555"/>
    <n v="1425084984"/>
    <n v="73"/>
    <n v="22"/>
    <n v="95"/>
    <n v="201"/>
    <n v="296"/>
    <n v="53"/>
    <n v="61"/>
    <n v="28"/>
    <n v="9"/>
    <n v="333"/>
    <n v="2213"/>
  </r>
  <r>
    <x v="20"/>
    <s v="ITA"/>
    <x v="5"/>
    <x v="5"/>
    <n v="4449436681"/>
    <n v="113417208"/>
    <n v="1215"/>
    <n v="169"/>
    <n v="1384"/>
    <n v="1357"/>
    <n v="2741"/>
    <n v="392"/>
    <n v="449"/>
    <n v="68"/>
    <n v="284"/>
    <n v="3093"/>
    <n v="12054"/>
  </r>
  <r>
    <x v="20"/>
    <s v="ITA"/>
    <x v="6"/>
    <x v="6"/>
    <n v="456494354"/>
    <n v="1376813649"/>
    <n v="98"/>
    <n v="12"/>
    <n v="110"/>
    <n v="206"/>
    <n v="316"/>
    <n v="45"/>
    <n v="46"/>
    <n v="17"/>
    <n v="14"/>
    <n v="347"/>
    <n v="3407"/>
  </r>
  <r>
    <x v="20"/>
    <s v="ITA"/>
    <x v="7"/>
    <x v="7"/>
    <n v="4189277044"/>
    <n v="1248366722"/>
    <n v="223"/>
    <n v="31"/>
    <n v="254"/>
    <n v="142"/>
    <n v="396"/>
    <n v="76"/>
    <n v="79"/>
    <n v="24"/>
    <n v="16"/>
    <n v="436"/>
    <n v="8345"/>
  </r>
  <r>
    <x v="20"/>
    <s v="ITA"/>
    <x v="8"/>
    <x v="8"/>
    <n v="4441149315"/>
    <n v="89326992"/>
    <n v="253"/>
    <n v="66"/>
    <n v="319"/>
    <n v="174"/>
    <n v="493"/>
    <n v="109"/>
    <n v="96"/>
    <n v="33"/>
    <n v="33"/>
    <n v="559"/>
    <n v="1973"/>
  </r>
  <r>
    <x v="20"/>
    <s v="ITA"/>
    <x v="9"/>
    <x v="9"/>
    <n v="4546679409"/>
    <n v="9190347404"/>
    <n v="5500"/>
    <n v="767"/>
    <n v="6267"/>
    <n v="3776"/>
    <n v="10043"/>
    <n v="984"/>
    <n v="1587"/>
    <n v="2011"/>
    <n v="1218"/>
    <n v="13272"/>
    <n v="40369"/>
  </r>
  <r>
    <x v="20"/>
    <s v="ITA"/>
    <x v="10"/>
    <x v="10"/>
    <n v="4361675973"/>
    <n v="135188753"/>
    <n v="521"/>
    <n v="98"/>
    <n v="619"/>
    <n v="468"/>
    <n v="1087"/>
    <n v="224"/>
    <n v="234"/>
    <n v="0"/>
    <n v="46"/>
    <n v="1133"/>
    <n v="2946"/>
  </r>
  <r>
    <x v="20"/>
    <s v="ITA"/>
    <x v="11"/>
    <x v="11"/>
    <n v="4155774754"/>
    <n v="1465916051"/>
    <n v="3"/>
    <n v="4"/>
    <n v="7"/>
    <n v="10"/>
    <n v="17"/>
    <n v="0"/>
    <n v="0"/>
    <n v="0"/>
    <n v="0"/>
    <n v="17"/>
    <n v="248"/>
  </r>
  <r>
    <x v="20"/>
    <s v="ITA"/>
    <x v="12"/>
    <x v="12"/>
    <n v="450732745"/>
    <n v="7680687483"/>
    <n v="726"/>
    <n v="171"/>
    <n v="897"/>
    <n v="133"/>
    <n v="1030"/>
    <n v="216"/>
    <n v="238"/>
    <n v="0"/>
    <n v="81"/>
    <n v="1111"/>
    <n v="4375"/>
  </r>
  <r>
    <x v="20"/>
    <s v="ITA"/>
    <x v="13"/>
    <x v="13"/>
    <n v="4112559576"/>
    <n v="1686736689"/>
    <n v="116"/>
    <n v="6"/>
    <n v="122"/>
    <n v="90"/>
    <n v="212"/>
    <n v="56"/>
    <n v="64"/>
    <n v="2"/>
    <n v="16"/>
    <n v="230"/>
    <n v="2017"/>
  </r>
  <r>
    <x v="20"/>
    <s v="ITA"/>
    <x v="14"/>
    <x v="14"/>
    <n v="3921531192"/>
    <n v="9110616306"/>
    <n v="16"/>
    <n v="0"/>
    <n v="16"/>
    <n v="59"/>
    <n v="75"/>
    <n v="28"/>
    <n v="30"/>
    <n v="0"/>
    <n v="2"/>
    <n v="77"/>
    <n v="613"/>
  </r>
  <r>
    <x v="20"/>
    <s v="ITA"/>
    <x v="15"/>
    <x v="15"/>
    <n v="3811569725"/>
    <n v="133623567"/>
    <n v="56"/>
    <n v="15"/>
    <n v="71"/>
    <n v="108"/>
    <n v="179"/>
    <n v="29"/>
    <n v="32"/>
    <n v="7"/>
    <n v="2"/>
    <n v="188"/>
    <n v="2452"/>
  </r>
  <r>
    <x v="20"/>
    <s v="ITA"/>
    <x v="16"/>
    <x v="16"/>
    <n v="4376923077"/>
    <n v="1125588885"/>
    <n v="175"/>
    <n v="107"/>
    <n v="282"/>
    <n v="481"/>
    <n v="763"/>
    <n v="149"/>
    <n v="151"/>
    <n v="10"/>
    <n v="8"/>
    <n v="781"/>
    <n v="5132"/>
  </r>
  <r>
    <x v="20"/>
    <s v="ITA"/>
    <x v="2"/>
    <x v="17"/>
    <n v="4606893511"/>
    <n v="1112123097"/>
    <n v="73"/>
    <n v="19"/>
    <n v="92"/>
    <n v="275"/>
    <n v="367"/>
    <n v="168"/>
    <n v="172"/>
    <n v="5"/>
    <n v="6"/>
    <n v="378"/>
    <n v="1006"/>
  </r>
  <r>
    <x v="20"/>
    <s v="ITA"/>
    <x v="17"/>
    <x v="18"/>
    <n v="4310675841"/>
    <n v="1238824698"/>
    <n v="25"/>
    <n v="13"/>
    <n v="38"/>
    <n v="101"/>
    <n v="139"/>
    <n v="36"/>
    <n v="36"/>
    <n v="3"/>
    <n v="1"/>
    <n v="143"/>
    <n v="965"/>
  </r>
  <r>
    <x v="20"/>
    <s v="ITA"/>
    <x v="18"/>
    <x v="19"/>
    <n v="4573750286"/>
    <n v="7320149366"/>
    <n v="10"/>
    <n v="3"/>
    <n v="13"/>
    <n v="43"/>
    <n v="56"/>
    <n v="15"/>
    <n v="15"/>
    <n v="0"/>
    <n v="1"/>
    <n v="57"/>
    <n v="230"/>
  </r>
  <r>
    <x v="20"/>
    <s v="ITA"/>
    <x v="19"/>
    <x v="20"/>
    <n v="4543490485"/>
    <n v="1233845213"/>
    <n v="426"/>
    <n v="129"/>
    <n v="555"/>
    <n v="1434"/>
    <n v="1989"/>
    <n v="214"/>
    <n v="235"/>
    <n v="120"/>
    <n v="63"/>
    <n v="2172"/>
    <n v="32546"/>
  </r>
  <r>
    <x v="21"/>
    <s v="ITA"/>
    <x v="0"/>
    <x v="0"/>
    <n v="4235122196"/>
    <n v="1339843823"/>
    <n v="71"/>
    <n v="37"/>
    <n v="108"/>
    <n v="57"/>
    <n v="165"/>
    <n v="37"/>
    <n v="39"/>
    <n v="7"/>
    <n v="4"/>
    <n v="176"/>
    <n v="1533"/>
  </r>
  <r>
    <x v="21"/>
    <s v="ITA"/>
    <x v="1"/>
    <x v="1"/>
    <n v="4063947052"/>
    <n v="1580514834"/>
    <n v="1"/>
    <n v="2"/>
    <n v="3"/>
    <n v="9"/>
    <n v="12"/>
    <n v="1"/>
    <n v="1"/>
    <n v="0"/>
    <n v="0"/>
    <n v="12"/>
    <n v="230"/>
  </r>
  <r>
    <x v="21"/>
    <s v="ITA"/>
    <x v="2"/>
    <x v="2"/>
    <n v="4649933453"/>
    <n v="1135662422"/>
    <n v="53"/>
    <n v="11"/>
    <n v="64"/>
    <n v="171"/>
    <n v="235"/>
    <n v="36"/>
    <n v="37"/>
    <n v="0"/>
    <n v="6"/>
    <n v="241"/>
    <n v="1740"/>
  </r>
  <r>
    <x v="21"/>
    <s v="ITA"/>
    <x v="3"/>
    <x v="3"/>
    <n v="3890597598"/>
    <n v="1659440194"/>
    <n v="36"/>
    <n v="7"/>
    <n v="43"/>
    <n v="44"/>
    <n v="87"/>
    <n v="21"/>
    <n v="21"/>
    <n v="1"/>
    <n v="1"/>
    <n v="89"/>
    <n v="1030"/>
  </r>
  <r>
    <x v="21"/>
    <s v="ITA"/>
    <x v="4"/>
    <x v="4"/>
    <n v="4083956555"/>
    <n v="1425084984"/>
    <n v="103"/>
    <n v="22"/>
    <n v="125"/>
    <n v="238"/>
    <n v="363"/>
    <n v="67"/>
    <n v="67"/>
    <n v="28"/>
    <n v="9"/>
    <n v="400"/>
    <n v="2517"/>
  </r>
  <r>
    <x v="21"/>
    <s v="ITA"/>
    <x v="5"/>
    <x v="5"/>
    <n v="4449436681"/>
    <n v="113417208"/>
    <n v="1362"/>
    <n v="197"/>
    <n v="1559"/>
    <n v="1529"/>
    <n v="3088"/>
    <n v="347"/>
    <n v="429"/>
    <n v="88"/>
    <n v="346"/>
    <n v="3522"/>
    <n v="13096"/>
  </r>
  <r>
    <x v="21"/>
    <s v="ITA"/>
    <x v="6"/>
    <x v="6"/>
    <n v="456494354"/>
    <n v="1376813649"/>
    <n v="96"/>
    <n v="19"/>
    <n v="115"/>
    <n v="231"/>
    <n v="346"/>
    <n v="30"/>
    <n v="39"/>
    <n v="18"/>
    <n v="22"/>
    <n v="386"/>
    <n v="4851"/>
  </r>
  <r>
    <x v="21"/>
    <s v="ITA"/>
    <x v="7"/>
    <x v="7"/>
    <n v="4189277044"/>
    <n v="1248366722"/>
    <n v="267"/>
    <n v="31"/>
    <n v="298"/>
    <n v="174"/>
    <n v="472"/>
    <n v="76"/>
    <n v="87"/>
    <n v="32"/>
    <n v="19"/>
    <n v="523"/>
    <n v="9330"/>
  </r>
  <r>
    <x v="21"/>
    <s v="ITA"/>
    <x v="8"/>
    <x v="8"/>
    <n v="4441149315"/>
    <n v="89326992"/>
    <n v="255"/>
    <n v="73"/>
    <n v="328"/>
    <n v="247"/>
    <n v="575"/>
    <n v="82"/>
    <n v="108"/>
    <n v="42"/>
    <n v="50"/>
    <n v="667"/>
    <n v="2189"/>
  </r>
  <r>
    <x v="21"/>
    <s v="ITA"/>
    <x v="9"/>
    <x v="9"/>
    <n v="4546679409"/>
    <n v="9190347404"/>
    <n v="6171"/>
    <n v="823"/>
    <n v="6994"/>
    <n v="3867"/>
    <n v="10861"/>
    <n v="818"/>
    <n v="1377"/>
    <n v="2368"/>
    <n v="1420"/>
    <n v="14649"/>
    <n v="43565"/>
  </r>
  <r>
    <x v="21"/>
    <s v="ITA"/>
    <x v="10"/>
    <x v="10"/>
    <n v="4361675973"/>
    <n v="135188753"/>
    <n v="528"/>
    <n v="110"/>
    <n v="638"/>
    <n v="547"/>
    <n v="1185"/>
    <n v="98"/>
    <n v="109"/>
    <n v="0"/>
    <n v="57"/>
    <n v="1242"/>
    <n v="3225"/>
  </r>
  <r>
    <x v="21"/>
    <s v="ITA"/>
    <x v="11"/>
    <x v="11"/>
    <n v="4155774754"/>
    <n v="1465916051"/>
    <n v="3"/>
    <n v="5"/>
    <n v="8"/>
    <n v="7"/>
    <n v="15"/>
    <n v="-2"/>
    <n v="4"/>
    <n v="5"/>
    <n v="1"/>
    <n v="21"/>
    <n v="253"/>
  </r>
  <r>
    <x v="21"/>
    <s v="ITA"/>
    <x v="12"/>
    <x v="12"/>
    <n v="450732745"/>
    <n v="7680687483"/>
    <n v="1045"/>
    <n v="186"/>
    <n v="1231"/>
    <n v="174"/>
    <n v="1405"/>
    <n v="375"/>
    <n v="405"/>
    <n v="0"/>
    <n v="111"/>
    <n v="1516"/>
    <n v="5588"/>
  </r>
  <r>
    <x v="21"/>
    <s v="ITA"/>
    <x v="13"/>
    <x v="13"/>
    <n v="4112559576"/>
    <n v="1686736689"/>
    <n v="116"/>
    <n v="6"/>
    <n v="122"/>
    <n v="90"/>
    <n v="212"/>
    <n v="0"/>
    <n v="0"/>
    <n v="2"/>
    <n v="16"/>
    <n v="230"/>
    <n v="2017"/>
  </r>
  <r>
    <x v="21"/>
    <s v="ITA"/>
    <x v="14"/>
    <x v="14"/>
    <n v="3921531192"/>
    <n v="9110616306"/>
    <n v="39"/>
    <n v="0"/>
    <n v="39"/>
    <n v="66"/>
    <n v="105"/>
    <n v="30"/>
    <n v="30"/>
    <n v="0"/>
    <n v="2"/>
    <n v="107"/>
    <n v="797"/>
  </r>
  <r>
    <x v="21"/>
    <s v="ITA"/>
    <x v="15"/>
    <x v="15"/>
    <n v="3811569725"/>
    <n v="133623567"/>
    <n v="75"/>
    <n v="20"/>
    <n v="95"/>
    <n v="108"/>
    <n v="203"/>
    <n v="24"/>
    <n v="25"/>
    <n v="8"/>
    <n v="2"/>
    <n v="213"/>
    <n v="2653"/>
  </r>
  <r>
    <x v="21"/>
    <s v="ITA"/>
    <x v="16"/>
    <x v="16"/>
    <n v="4376923077"/>
    <n v="1125588885"/>
    <n v="175"/>
    <n v="107"/>
    <n v="282"/>
    <n v="559"/>
    <n v="841"/>
    <n v="78"/>
    <n v="85"/>
    <n v="11"/>
    <n v="14"/>
    <n v="866"/>
    <n v="5910"/>
  </r>
  <r>
    <x v="21"/>
    <s v="ITA"/>
    <x v="2"/>
    <x v="17"/>
    <n v="4606893511"/>
    <n v="1112123097"/>
    <n v="73"/>
    <n v="19"/>
    <n v="92"/>
    <n v="275"/>
    <n v="367"/>
    <n v="0"/>
    <n v="0"/>
    <n v="5"/>
    <n v="6"/>
    <n v="378"/>
    <n v="1006"/>
  </r>
  <r>
    <x v="21"/>
    <s v="ITA"/>
    <x v="17"/>
    <x v="18"/>
    <n v="4310675841"/>
    <n v="1238824698"/>
    <n v="30"/>
    <n v="15"/>
    <n v="45"/>
    <n v="114"/>
    <n v="159"/>
    <n v="20"/>
    <n v="21"/>
    <n v="4"/>
    <n v="1"/>
    <n v="164"/>
    <n v="1093"/>
  </r>
  <r>
    <x v="21"/>
    <s v="ITA"/>
    <x v="18"/>
    <x v="19"/>
    <n v="4573750286"/>
    <n v="7320149366"/>
    <n v="28"/>
    <n v="5"/>
    <n v="33"/>
    <n v="70"/>
    <n v="103"/>
    <n v="47"/>
    <n v="48"/>
    <n v="0"/>
    <n v="2"/>
    <n v="105"/>
    <n v="287"/>
  </r>
  <r>
    <x v="21"/>
    <s v="ITA"/>
    <x v="19"/>
    <x v="20"/>
    <n v="4543490485"/>
    <n v="1233845213"/>
    <n v="498"/>
    <n v="156"/>
    <n v="654"/>
    <n v="1620"/>
    <n v="2274"/>
    <n v="285"/>
    <n v="301"/>
    <n v="130"/>
    <n v="69"/>
    <n v="2473"/>
    <n v="35052"/>
  </r>
  <r>
    <x v="22"/>
    <s v="ITA"/>
    <x v="0"/>
    <x v="0"/>
    <n v="4235122196"/>
    <n v="1339843823"/>
    <n v="94"/>
    <n v="32"/>
    <n v="126"/>
    <n v="90"/>
    <n v="216"/>
    <n v="51"/>
    <n v="53"/>
    <n v="7"/>
    <n v="6"/>
    <n v="229"/>
    <n v="1688"/>
  </r>
  <r>
    <x v="22"/>
    <s v="ITA"/>
    <x v="1"/>
    <x v="1"/>
    <n v="4063947052"/>
    <n v="1580514834"/>
    <n v="5"/>
    <n v="2"/>
    <n v="7"/>
    <n v="13"/>
    <n v="20"/>
    <n v="8"/>
    <n v="8"/>
    <n v="0"/>
    <n v="0"/>
    <n v="20"/>
    <n v="262"/>
  </r>
  <r>
    <x v="22"/>
    <s v="ITA"/>
    <x v="2"/>
    <x v="2"/>
    <n v="4649933453"/>
    <n v="1135662422"/>
    <n v="71"/>
    <n v="11"/>
    <n v="82"/>
    <n v="200"/>
    <n v="282"/>
    <n v="47"/>
    <n v="50"/>
    <n v="1"/>
    <n v="8"/>
    <n v="291"/>
    <n v="2149"/>
  </r>
  <r>
    <x v="22"/>
    <s v="ITA"/>
    <x v="3"/>
    <x v="3"/>
    <n v="3890597598"/>
    <n v="1659440194"/>
    <n v="45"/>
    <n v="10"/>
    <n v="55"/>
    <n v="57"/>
    <n v="112"/>
    <n v="25"/>
    <n v="25"/>
    <n v="1"/>
    <n v="1"/>
    <n v="114"/>
    <n v="1293"/>
  </r>
  <r>
    <x v="22"/>
    <s v="ITA"/>
    <x v="4"/>
    <x v="4"/>
    <n v="4083956555"/>
    <n v="1425084984"/>
    <n v="127"/>
    <n v="24"/>
    <n v="151"/>
    <n v="272"/>
    <n v="423"/>
    <n v="60"/>
    <n v="60"/>
    <n v="28"/>
    <n v="9"/>
    <n v="460"/>
    <n v="2685"/>
  </r>
  <r>
    <x v="22"/>
    <s v="ITA"/>
    <x v="5"/>
    <x v="5"/>
    <n v="4449436681"/>
    <n v="113417208"/>
    <n v="1566"/>
    <n v="223"/>
    <n v="1789"/>
    <n v="1615"/>
    <n v="3404"/>
    <n v="316"/>
    <n v="409"/>
    <n v="134"/>
    <n v="393"/>
    <n v="3931"/>
    <n v="14510"/>
  </r>
  <r>
    <x v="22"/>
    <s v="ITA"/>
    <x v="6"/>
    <x v="6"/>
    <n v="456494354"/>
    <n v="1376813649"/>
    <n v="104"/>
    <n v="21"/>
    <n v="125"/>
    <n v="222"/>
    <n v="347"/>
    <n v="1"/>
    <n v="8"/>
    <n v="17"/>
    <n v="30"/>
    <n v="394"/>
    <n v="4958"/>
  </r>
  <r>
    <x v="22"/>
    <s v="ITA"/>
    <x v="7"/>
    <x v="7"/>
    <n v="4189277044"/>
    <n v="1248366722"/>
    <n v="314"/>
    <n v="44"/>
    <n v="358"/>
    <n v="192"/>
    <n v="550"/>
    <n v="78"/>
    <n v="84"/>
    <n v="34"/>
    <n v="23"/>
    <n v="607"/>
    <n v="9436"/>
  </r>
  <r>
    <x v="22"/>
    <s v="ITA"/>
    <x v="8"/>
    <x v="8"/>
    <n v="4441149315"/>
    <n v="89326992"/>
    <n v="299"/>
    <n v="85"/>
    <n v="384"/>
    <n v="277"/>
    <n v="661"/>
    <n v="86"/>
    <n v="111"/>
    <n v="57"/>
    <n v="60"/>
    <n v="778"/>
    <n v="2509"/>
  </r>
  <r>
    <x v="22"/>
    <s v="ITA"/>
    <x v="9"/>
    <x v="9"/>
    <n v="4546679409"/>
    <n v="9190347404"/>
    <n v="6953"/>
    <n v="879"/>
    <n v="7832"/>
    <n v="4263"/>
    <n v="12095"/>
    <n v="1234"/>
    <n v="1571"/>
    <n v="2485"/>
    <n v="1640"/>
    <n v="16220"/>
    <n v="46449"/>
  </r>
  <r>
    <x v="22"/>
    <s v="ITA"/>
    <x v="10"/>
    <x v="10"/>
    <n v="4361675973"/>
    <n v="135188753"/>
    <n v="599"/>
    <n v="109"/>
    <n v="708"/>
    <n v="594"/>
    <n v="1302"/>
    <n v="117"/>
    <n v="129"/>
    <n v="0"/>
    <n v="69"/>
    <n v="1371"/>
    <n v="3225"/>
  </r>
  <r>
    <x v="22"/>
    <s v="ITA"/>
    <x v="11"/>
    <x v="11"/>
    <n v="4155774754"/>
    <n v="1465916051"/>
    <n v="7"/>
    <n v="5"/>
    <n v="12"/>
    <n v="7"/>
    <n v="19"/>
    <n v="4"/>
    <n v="4"/>
    <n v="5"/>
    <n v="1"/>
    <n v="25"/>
    <n v="301"/>
  </r>
  <r>
    <x v="22"/>
    <s v="ITA"/>
    <x v="12"/>
    <x v="12"/>
    <n v="450732745"/>
    <n v="7680687483"/>
    <n v="1378"/>
    <n v="206"/>
    <n v="1584"/>
    <n v="180"/>
    <n v="1764"/>
    <n v="359"/>
    <n v="381"/>
    <n v="0"/>
    <n v="133"/>
    <n v="1897"/>
    <n v="6543"/>
  </r>
  <r>
    <x v="22"/>
    <s v="ITA"/>
    <x v="13"/>
    <x v="13"/>
    <n v="4112559576"/>
    <n v="1686736689"/>
    <n v="155"/>
    <n v="14"/>
    <n v="169"/>
    <n v="151"/>
    <n v="320"/>
    <n v="108"/>
    <n v="110"/>
    <n v="2"/>
    <n v="18"/>
    <n v="340"/>
    <n v="3077"/>
  </r>
  <r>
    <x v="22"/>
    <s v="ITA"/>
    <x v="14"/>
    <x v="14"/>
    <n v="3921531192"/>
    <n v="9110616306"/>
    <n v="36"/>
    <n v="4"/>
    <n v="40"/>
    <n v="75"/>
    <n v="115"/>
    <n v="10"/>
    <n v="10"/>
    <n v="0"/>
    <n v="2"/>
    <n v="117"/>
    <n v="1003"/>
  </r>
  <r>
    <x v="22"/>
    <s v="ITA"/>
    <x v="15"/>
    <x v="15"/>
    <n v="3811569725"/>
    <n v="133623567"/>
    <n v="86"/>
    <n v="28"/>
    <n v="114"/>
    <n v="112"/>
    <n v="226"/>
    <n v="23"/>
    <n v="24"/>
    <n v="8"/>
    <n v="3"/>
    <n v="237"/>
    <n v="2916"/>
  </r>
  <r>
    <x v="22"/>
    <s v="ITA"/>
    <x v="16"/>
    <x v="16"/>
    <n v="4376923077"/>
    <n v="1125588885"/>
    <n v="329"/>
    <n v="143"/>
    <n v="472"/>
    <n v="552"/>
    <n v="1024"/>
    <n v="183"/>
    <n v="187"/>
    <n v="12"/>
    <n v="17"/>
    <n v="1053"/>
    <n v="6727"/>
  </r>
  <r>
    <x v="22"/>
    <s v="ITA"/>
    <x v="2"/>
    <x v="17"/>
    <n v="4606893511"/>
    <n v="1112123097"/>
    <n v="107"/>
    <n v="22"/>
    <n v="129"/>
    <n v="239"/>
    <n v="368"/>
    <n v="1"/>
    <n v="7"/>
    <n v="10"/>
    <n v="7"/>
    <n v="385"/>
    <n v="1727"/>
  </r>
  <r>
    <x v="22"/>
    <s v="ITA"/>
    <x v="17"/>
    <x v="18"/>
    <n v="4310675841"/>
    <n v="1238824698"/>
    <n v="36"/>
    <n v="21"/>
    <n v="57"/>
    <n v="135"/>
    <n v="192"/>
    <n v="33"/>
    <n v="33"/>
    <n v="4"/>
    <n v="1"/>
    <n v="197"/>
    <n v="1323"/>
  </r>
  <r>
    <x v="22"/>
    <s v="ITA"/>
    <x v="18"/>
    <x v="19"/>
    <n v="4573750286"/>
    <n v="7320149366"/>
    <n v="35"/>
    <n v="6"/>
    <n v="41"/>
    <n v="93"/>
    <n v="134"/>
    <n v="31"/>
    <n v="31"/>
    <n v="0"/>
    <n v="2"/>
    <n v="136"/>
    <n v="398"/>
  </r>
  <r>
    <x v="22"/>
    <s v="ITA"/>
    <x v="19"/>
    <x v="20"/>
    <n v="4543490485"/>
    <n v="1233845213"/>
    <n v="548"/>
    <n v="171"/>
    <n v="719"/>
    <n v="1769"/>
    <n v="2488"/>
    <n v="214"/>
    <n v="231"/>
    <n v="136"/>
    <n v="80"/>
    <n v="2704"/>
    <n v="35478"/>
  </r>
  <r>
    <x v="23"/>
    <s v="ITA"/>
    <x v="0"/>
    <x v="0"/>
    <n v="4235122196"/>
    <n v="1339843823"/>
    <n v="99"/>
    <n v="41"/>
    <n v="140"/>
    <n v="109"/>
    <n v="249"/>
    <n v="33"/>
    <n v="34"/>
    <n v="7"/>
    <n v="7"/>
    <n v="263"/>
    <n v="2054"/>
  </r>
  <r>
    <x v="23"/>
    <s v="ITA"/>
    <x v="1"/>
    <x v="1"/>
    <n v="4063947052"/>
    <n v="1580514834"/>
    <n v="9"/>
    <n v="2"/>
    <n v="11"/>
    <n v="16"/>
    <n v="27"/>
    <n v="7"/>
    <n v="7"/>
    <n v="0"/>
    <n v="0"/>
    <n v="27"/>
    <n v="262"/>
  </r>
  <r>
    <x v="23"/>
    <s v="ITA"/>
    <x v="2"/>
    <x v="2"/>
    <n v="4649933453"/>
    <n v="1135662422"/>
    <n v="79"/>
    <n v="18"/>
    <n v="97"/>
    <n v="269"/>
    <n v="366"/>
    <n v="84"/>
    <n v="85"/>
    <n v="1"/>
    <n v="9"/>
    <n v="376"/>
    <n v="2844"/>
  </r>
  <r>
    <x v="23"/>
    <s v="ITA"/>
    <x v="3"/>
    <x v="3"/>
    <n v="3890597598"/>
    <n v="1659440194"/>
    <n v="45"/>
    <n v="11"/>
    <n v="56"/>
    <n v="70"/>
    <n v="126"/>
    <n v="14"/>
    <n v="15"/>
    <n v="2"/>
    <n v="1"/>
    <n v="129"/>
    <n v="1668"/>
  </r>
  <r>
    <x v="23"/>
    <s v="ITA"/>
    <x v="4"/>
    <x v="4"/>
    <n v="4083956555"/>
    <n v="1425084984"/>
    <n v="127"/>
    <n v="24"/>
    <n v="151"/>
    <n v="272"/>
    <n v="423"/>
    <n v="0"/>
    <n v="0"/>
    <n v="28"/>
    <n v="9"/>
    <n v="460"/>
    <n v="2685"/>
  </r>
  <r>
    <x v="23"/>
    <s v="ITA"/>
    <x v="5"/>
    <x v="5"/>
    <n v="4449436681"/>
    <n v="113417208"/>
    <n v="1784"/>
    <n v="247"/>
    <n v="2031"/>
    <n v="1884"/>
    <n v="3915"/>
    <n v="511"/>
    <n v="594"/>
    <n v="152"/>
    <n v="458"/>
    <n v="4525"/>
    <n v="15461"/>
  </r>
  <r>
    <x v="23"/>
    <s v="ITA"/>
    <x v="6"/>
    <x v="6"/>
    <n v="456494354"/>
    <n v="1376813649"/>
    <n v="128"/>
    <n v="27"/>
    <n v="155"/>
    <n v="261"/>
    <n v="416"/>
    <n v="69"/>
    <n v="68"/>
    <n v="15"/>
    <n v="31"/>
    <n v="462"/>
    <n v="4958"/>
  </r>
  <r>
    <x v="23"/>
    <s v="ITA"/>
    <x v="7"/>
    <x v="7"/>
    <n v="4189277044"/>
    <n v="1248366722"/>
    <n v="374"/>
    <n v="44"/>
    <n v="418"/>
    <n v="232"/>
    <n v="650"/>
    <n v="100"/>
    <n v="117"/>
    <n v="42"/>
    <n v="32"/>
    <n v="724"/>
    <n v="11145"/>
  </r>
  <r>
    <x v="23"/>
    <s v="ITA"/>
    <x v="8"/>
    <x v="8"/>
    <n v="4441149315"/>
    <n v="89326992"/>
    <n v="401"/>
    <n v="100"/>
    <n v="501"/>
    <n v="243"/>
    <n v="744"/>
    <n v="83"/>
    <n v="109"/>
    <n v="70"/>
    <n v="73"/>
    <n v="887"/>
    <n v="2912"/>
  </r>
  <r>
    <x v="23"/>
    <s v="ITA"/>
    <x v="9"/>
    <x v="9"/>
    <n v="4546679409"/>
    <n v="9190347404"/>
    <n v="7285"/>
    <n v="924"/>
    <n v="8209"/>
    <n v="4057"/>
    <n v="12266"/>
    <n v="171"/>
    <n v="1493"/>
    <n v="3488"/>
    <n v="1959"/>
    <n v="17713"/>
    <n v="48983"/>
  </r>
  <r>
    <x v="23"/>
    <s v="ITA"/>
    <x v="10"/>
    <x v="10"/>
    <n v="4361675973"/>
    <n v="135188753"/>
    <n v="638"/>
    <n v="119"/>
    <n v="757"/>
    <n v="719"/>
    <n v="1476"/>
    <n v="174"/>
    <n v="197"/>
    <n v="0"/>
    <n v="92"/>
    <n v="1568"/>
    <n v="4109"/>
  </r>
  <r>
    <x v="23"/>
    <s v="ITA"/>
    <x v="11"/>
    <x v="11"/>
    <n v="4155774754"/>
    <n v="1465916051"/>
    <n v="7"/>
    <n v="6"/>
    <n v="13"/>
    <n v="8"/>
    <n v="21"/>
    <n v="2"/>
    <n v="3"/>
    <n v="6"/>
    <n v="1"/>
    <n v="28"/>
    <n v="361"/>
  </r>
  <r>
    <x v="23"/>
    <s v="ITA"/>
    <x v="12"/>
    <x v="12"/>
    <n v="450732745"/>
    <n v="7680687483"/>
    <n v="1780"/>
    <n v="227"/>
    <n v="2007"/>
    <n v="180"/>
    <n v="2187"/>
    <n v="423"/>
    <n v="444"/>
    <n v="0"/>
    <n v="154"/>
    <n v="2341"/>
    <n v="7516"/>
  </r>
  <r>
    <x v="23"/>
    <s v="ITA"/>
    <x v="13"/>
    <x v="13"/>
    <n v="4112559576"/>
    <n v="1686736689"/>
    <n v="156"/>
    <n v="30"/>
    <n v="186"/>
    <n v="176"/>
    <n v="362"/>
    <n v="42"/>
    <n v="43"/>
    <n v="2"/>
    <n v="19"/>
    <n v="383"/>
    <n v="3433"/>
  </r>
  <r>
    <x v="23"/>
    <s v="ITA"/>
    <x v="14"/>
    <x v="14"/>
    <n v="3921531192"/>
    <n v="9110616306"/>
    <n v="42"/>
    <n v="7"/>
    <n v="49"/>
    <n v="83"/>
    <n v="132"/>
    <n v="17"/>
    <n v="17"/>
    <n v="0"/>
    <n v="2"/>
    <n v="134"/>
    <n v="1135"/>
  </r>
  <r>
    <x v="23"/>
    <s v="ITA"/>
    <x v="15"/>
    <x v="15"/>
    <n v="3811569725"/>
    <n v="133623567"/>
    <n v="100"/>
    <n v="29"/>
    <n v="129"/>
    <n v="138"/>
    <n v="267"/>
    <n v="41"/>
    <n v="45"/>
    <n v="12"/>
    <n v="3"/>
    <n v="282"/>
    <n v="3294"/>
  </r>
  <r>
    <x v="23"/>
    <s v="ITA"/>
    <x v="16"/>
    <x v="16"/>
    <n v="4376923077"/>
    <n v="1125588885"/>
    <n v="427"/>
    <n v="160"/>
    <n v="587"/>
    <n v="704"/>
    <n v="1291"/>
    <n v="267"/>
    <n v="277"/>
    <n v="17"/>
    <n v="22"/>
    <n v="1330"/>
    <n v="7606"/>
  </r>
  <r>
    <x v="23"/>
    <s v="ITA"/>
    <x v="2"/>
    <x v="17"/>
    <n v="4606893511"/>
    <n v="1112123097"/>
    <n v="141"/>
    <n v="22"/>
    <n v="163"/>
    <n v="273"/>
    <n v="436"/>
    <n v="68"/>
    <n v="70"/>
    <n v="12"/>
    <n v="7"/>
    <n v="455"/>
    <n v="2187"/>
  </r>
  <r>
    <x v="23"/>
    <s v="ITA"/>
    <x v="17"/>
    <x v="18"/>
    <n v="4310675841"/>
    <n v="1238824698"/>
    <n v="54"/>
    <n v="21"/>
    <n v="75"/>
    <n v="166"/>
    <n v="241"/>
    <n v="49"/>
    <n v="50"/>
    <n v="4"/>
    <n v="2"/>
    <n v="247"/>
    <n v="1601"/>
  </r>
  <r>
    <x v="23"/>
    <s v="ITA"/>
    <x v="18"/>
    <x v="19"/>
    <n v="4573750286"/>
    <n v="7320149366"/>
    <n v="41"/>
    <n v="3"/>
    <n v="44"/>
    <n v="118"/>
    <n v="162"/>
    <n v="28"/>
    <n v="29"/>
    <n v="0"/>
    <n v="3"/>
    <n v="165"/>
    <n v="486"/>
  </r>
  <r>
    <x v="23"/>
    <s v="ITA"/>
    <x v="19"/>
    <x v="20"/>
    <n v="4543490485"/>
    <n v="1233845213"/>
    <n v="646"/>
    <n v="195"/>
    <n v="841"/>
    <n v="2112"/>
    <n v="2953"/>
    <n v="465"/>
    <n v="510"/>
    <n v="167"/>
    <n v="94"/>
    <n v="3214"/>
    <n v="40841"/>
  </r>
  <r>
    <x v="24"/>
    <s v="ITA"/>
    <x v="0"/>
    <x v="0"/>
    <n v="4235122196"/>
    <n v="1339843823"/>
    <n v="181"/>
    <n v="47"/>
    <n v="228"/>
    <n v="138"/>
    <n v="366"/>
    <n v="117"/>
    <n v="122"/>
    <n v="8"/>
    <n v="11"/>
    <n v="385"/>
    <n v="2409"/>
  </r>
  <r>
    <x v="24"/>
    <s v="ITA"/>
    <x v="1"/>
    <x v="1"/>
    <n v="4063947052"/>
    <n v="1580514834"/>
    <n v="8"/>
    <n v="5"/>
    <n v="13"/>
    <n v="24"/>
    <n v="37"/>
    <n v="10"/>
    <n v="10"/>
    <n v="0"/>
    <n v="0"/>
    <n v="37"/>
    <n v="353"/>
  </r>
  <r>
    <x v="24"/>
    <s v="ITA"/>
    <x v="2"/>
    <x v="2"/>
    <n v="4649933453"/>
    <n v="1135662422"/>
    <n v="87"/>
    <n v="18"/>
    <n v="105"/>
    <n v="316"/>
    <n v="421"/>
    <n v="55"/>
    <n v="60"/>
    <n v="1"/>
    <n v="14"/>
    <n v="436"/>
    <n v="3568"/>
  </r>
  <r>
    <x v="24"/>
    <s v="ITA"/>
    <x v="3"/>
    <x v="3"/>
    <n v="3890597598"/>
    <n v="1659440194"/>
    <n v="60"/>
    <n v="13"/>
    <n v="73"/>
    <n v="91"/>
    <n v="164"/>
    <n v="38"/>
    <n v="40"/>
    <n v="2"/>
    <n v="3"/>
    <n v="169"/>
    <n v="2342"/>
  </r>
  <r>
    <x v="24"/>
    <s v="ITA"/>
    <x v="4"/>
    <x v="4"/>
    <n v="4083956555"/>
    <n v="1425084984"/>
    <n v="213"/>
    <n v="36"/>
    <n v="249"/>
    <n v="356"/>
    <n v="605"/>
    <n v="182"/>
    <n v="192"/>
    <n v="30"/>
    <n v="17"/>
    <n v="652"/>
    <n v="3544"/>
  </r>
  <r>
    <x v="24"/>
    <s v="ITA"/>
    <x v="5"/>
    <x v="5"/>
    <n v="4449436681"/>
    <n v="113417208"/>
    <n v="1900"/>
    <n v="260"/>
    <n v="2160"/>
    <n v="2346"/>
    <n v="4506"/>
    <n v="591"/>
    <n v="689"/>
    <n v="177"/>
    <n v="531"/>
    <n v="5214"/>
    <n v="18344"/>
  </r>
  <r>
    <x v="24"/>
    <s v="ITA"/>
    <x v="6"/>
    <x v="6"/>
    <n v="456494354"/>
    <n v="1376813649"/>
    <n v="134"/>
    <n v="29"/>
    <n v="163"/>
    <n v="359"/>
    <n v="522"/>
    <n v="106"/>
    <n v="137"/>
    <n v="41"/>
    <n v="36"/>
    <n v="599"/>
    <n v="4052"/>
  </r>
  <r>
    <x v="24"/>
    <s v="ITA"/>
    <x v="7"/>
    <x v="7"/>
    <n v="4189277044"/>
    <n v="1248366722"/>
    <n v="426"/>
    <n v="45"/>
    <n v="471"/>
    <n v="270"/>
    <n v="741"/>
    <n v="91"/>
    <n v="99"/>
    <n v="44"/>
    <n v="38"/>
    <n v="823"/>
    <n v="11145"/>
  </r>
  <r>
    <x v="24"/>
    <s v="ITA"/>
    <x v="8"/>
    <x v="8"/>
    <n v="4441149315"/>
    <n v="89326992"/>
    <n v="491"/>
    <n v="112"/>
    <n v="603"/>
    <n v="280"/>
    <n v="883"/>
    <n v="139"/>
    <n v="172"/>
    <n v="85"/>
    <n v="91"/>
    <n v="1059"/>
    <n v="3348"/>
  </r>
  <r>
    <x v="24"/>
    <s v="ITA"/>
    <x v="9"/>
    <x v="9"/>
    <n v="4546679409"/>
    <n v="9190347404"/>
    <n v="7387"/>
    <n v="1006"/>
    <n v="8393"/>
    <n v="5545"/>
    <n v="13938"/>
    <n v="1672"/>
    <n v="2171"/>
    <n v="3778"/>
    <n v="2168"/>
    <n v="19884"/>
    <n v="52244"/>
  </r>
  <r>
    <x v="24"/>
    <s v="ITA"/>
    <x v="10"/>
    <x v="10"/>
    <n v="4361675973"/>
    <n v="135188753"/>
    <n v="656"/>
    <n v="141"/>
    <n v="797"/>
    <n v="825"/>
    <n v="1622"/>
    <n v="146"/>
    <n v="169"/>
    <n v="0"/>
    <n v="115"/>
    <n v="1737"/>
    <n v="4512"/>
  </r>
  <r>
    <x v="24"/>
    <s v="ITA"/>
    <x v="11"/>
    <x v="11"/>
    <n v="4155774754"/>
    <n v="1465916051"/>
    <n v="19"/>
    <n v="6"/>
    <n v="25"/>
    <n v="13"/>
    <n v="38"/>
    <n v="17"/>
    <n v="18"/>
    <n v="6"/>
    <n v="2"/>
    <n v="46"/>
    <n v="426"/>
  </r>
  <r>
    <x v="24"/>
    <s v="ITA"/>
    <x v="12"/>
    <x v="12"/>
    <n v="450732745"/>
    <n v="7680687483"/>
    <n v="2279"/>
    <n v="257"/>
    <n v="2536"/>
    <n v="218"/>
    <n v="2754"/>
    <n v="567"/>
    <n v="591"/>
    <n v="3"/>
    <n v="175"/>
    <n v="2932"/>
    <n v="8853"/>
  </r>
  <r>
    <x v="24"/>
    <s v="ITA"/>
    <x v="13"/>
    <x v="13"/>
    <n v="4112559576"/>
    <n v="1686736689"/>
    <n v="173"/>
    <n v="31"/>
    <n v="204"/>
    <n v="245"/>
    <n v="449"/>
    <n v="87"/>
    <n v="95"/>
    <n v="4"/>
    <n v="25"/>
    <n v="478"/>
    <n v="4046"/>
  </r>
  <r>
    <x v="24"/>
    <s v="ITA"/>
    <x v="14"/>
    <x v="14"/>
    <n v="3921531192"/>
    <n v="9110616306"/>
    <n v="43"/>
    <n v="9"/>
    <n v="52"/>
    <n v="152"/>
    <n v="204"/>
    <n v="72"/>
    <n v="72"/>
    <n v="0"/>
    <n v="2"/>
    <n v="206"/>
    <n v="1334"/>
  </r>
  <r>
    <x v="24"/>
    <s v="ITA"/>
    <x v="15"/>
    <x v="15"/>
    <n v="3811569725"/>
    <n v="133623567"/>
    <n v="143"/>
    <n v="36"/>
    <n v="179"/>
    <n v="142"/>
    <n v="321"/>
    <n v="54"/>
    <n v="58"/>
    <n v="15"/>
    <n v="4"/>
    <n v="340"/>
    <n v="3961"/>
  </r>
  <r>
    <x v="24"/>
    <s v="ITA"/>
    <x v="16"/>
    <x v="16"/>
    <n v="4376923077"/>
    <n v="1125588885"/>
    <n v="501"/>
    <n v="178"/>
    <n v="679"/>
    <n v="743"/>
    <n v="1422"/>
    <n v="131"/>
    <n v="152"/>
    <n v="22"/>
    <n v="38"/>
    <n v="1482"/>
    <n v="8873"/>
  </r>
  <r>
    <x v="24"/>
    <s v="ITA"/>
    <x v="2"/>
    <x v="17"/>
    <n v="4606893511"/>
    <n v="1112123097"/>
    <n v="169"/>
    <n v="30"/>
    <n v="199"/>
    <n v="292"/>
    <n v="491"/>
    <n v="55"/>
    <n v="68"/>
    <n v="20"/>
    <n v="12"/>
    <n v="523"/>
    <n v="2203"/>
  </r>
  <r>
    <x v="24"/>
    <s v="ITA"/>
    <x v="17"/>
    <x v="18"/>
    <n v="4310675841"/>
    <n v="1238824698"/>
    <n v="69"/>
    <n v="21"/>
    <n v="90"/>
    <n v="238"/>
    <n v="328"/>
    <n v="87"/>
    <n v="87"/>
    <n v="4"/>
    <n v="2"/>
    <n v="334"/>
    <n v="1954"/>
  </r>
  <r>
    <x v="24"/>
    <s v="ITA"/>
    <x v="18"/>
    <x v="19"/>
    <n v="4573750286"/>
    <n v="7320149366"/>
    <n v="47"/>
    <n v="9"/>
    <n v="56"/>
    <n v="153"/>
    <n v="209"/>
    <n v="47"/>
    <n v="50"/>
    <n v="0"/>
    <n v="6"/>
    <n v="215"/>
    <n v="608"/>
  </r>
  <r>
    <x v="24"/>
    <s v="ITA"/>
    <x v="19"/>
    <x v="20"/>
    <n v="4543490485"/>
    <n v="1233845213"/>
    <n v="771"/>
    <n v="209"/>
    <n v="980"/>
    <n v="2189"/>
    <n v="3169"/>
    <n v="216"/>
    <n v="270"/>
    <n v="200"/>
    <n v="115"/>
    <n v="3484"/>
    <n v="44658"/>
  </r>
  <r>
    <x v="25"/>
    <s v="ITA"/>
    <x v="0"/>
    <x v="0"/>
    <n v="4235122196"/>
    <n v="1339843823"/>
    <n v="190"/>
    <n v="48"/>
    <n v="238"/>
    <n v="184"/>
    <n v="422"/>
    <n v="56"/>
    <n v="64"/>
    <n v="10"/>
    <n v="17"/>
    <n v="449"/>
    <n v="2695"/>
  </r>
  <r>
    <x v="25"/>
    <s v="ITA"/>
    <x v="1"/>
    <x v="1"/>
    <n v="4063947052"/>
    <n v="1580514834"/>
    <n v="8"/>
    <n v="5"/>
    <n v="13"/>
    <n v="39"/>
    <n v="52"/>
    <n v="15"/>
    <n v="15"/>
    <n v="0"/>
    <n v="0"/>
    <n v="52"/>
    <n v="443"/>
  </r>
  <r>
    <x v="25"/>
    <s v="ITA"/>
    <x v="2"/>
    <x v="2"/>
    <n v="4649933453"/>
    <n v="1135662422"/>
    <n v="99"/>
    <n v="24"/>
    <n v="123"/>
    <n v="407"/>
    <n v="530"/>
    <n v="109"/>
    <n v="112"/>
    <n v="1"/>
    <n v="17"/>
    <n v="548"/>
    <n v="4433"/>
  </r>
  <r>
    <x v="25"/>
    <s v="ITA"/>
    <x v="3"/>
    <x v="3"/>
    <n v="3890597598"/>
    <n v="1659440194"/>
    <n v="71"/>
    <n v="16"/>
    <n v="87"/>
    <n v="114"/>
    <n v="201"/>
    <n v="37"/>
    <n v="38"/>
    <n v="2"/>
    <n v="4"/>
    <n v="207"/>
    <n v="2690"/>
  </r>
  <r>
    <x v="25"/>
    <s v="ITA"/>
    <x v="4"/>
    <x v="4"/>
    <n v="4083956555"/>
    <n v="1425084984"/>
    <n v="130"/>
    <n v="41"/>
    <n v="171"/>
    <n v="531"/>
    <n v="702"/>
    <n v="97"/>
    <n v="97"/>
    <n v="30"/>
    <n v="17"/>
    <n v="749"/>
    <n v="3845"/>
  </r>
  <r>
    <x v="25"/>
    <s v="ITA"/>
    <x v="5"/>
    <x v="5"/>
    <n v="4449436681"/>
    <n v="113417208"/>
    <n v="2083"/>
    <n v="267"/>
    <n v="2350"/>
    <n v="2739"/>
    <n v="5089"/>
    <n v="583"/>
    <n v="754"/>
    <n v="239"/>
    <n v="640"/>
    <n v="5968"/>
    <n v="20753"/>
  </r>
  <r>
    <x v="25"/>
    <s v="ITA"/>
    <x v="6"/>
    <x v="6"/>
    <n v="456494354"/>
    <n v="1376813649"/>
    <n v="143"/>
    <n v="32"/>
    <n v="175"/>
    <n v="380"/>
    <n v="555"/>
    <n v="33"/>
    <n v="57"/>
    <n v="63"/>
    <n v="38"/>
    <n v="656"/>
    <n v="4964"/>
  </r>
  <r>
    <x v="25"/>
    <s v="ITA"/>
    <x v="7"/>
    <x v="7"/>
    <n v="4189277044"/>
    <n v="1248366722"/>
    <n v="537"/>
    <n v="47"/>
    <n v="584"/>
    <n v="328"/>
    <n v="912"/>
    <n v="171"/>
    <n v="185"/>
    <n v="53"/>
    <n v="43"/>
    <n v="1008"/>
    <n v="13889"/>
  </r>
  <r>
    <x v="25"/>
    <s v="ITA"/>
    <x v="8"/>
    <x v="8"/>
    <n v="4441149315"/>
    <n v="89326992"/>
    <n v="573"/>
    <n v="121"/>
    <n v="694"/>
    <n v="307"/>
    <n v="1001"/>
    <n v="118"/>
    <n v="162"/>
    <n v="101"/>
    <n v="119"/>
    <n v="1221"/>
    <n v="3794"/>
  </r>
  <r>
    <x v="25"/>
    <s v="ITA"/>
    <x v="9"/>
    <x v="9"/>
    <n v="4546679409"/>
    <n v="9190347404"/>
    <n v="7735"/>
    <n v="1050"/>
    <n v="8785"/>
    <n v="6635"/>
    <n v="15420"/>
    <n v="1482"/>
    <n v="2380"/>
    <n v="4295"/>
    <n v="2549"/>
    <n v="22264"/>
    <n v="57174"/>
  </r>
  <r>
    <x v="25"/>
    <s v="ITA"/>
    <x v="10"/>
    <x v="10"/>
    <n v="4361675973"/>
    <n v="135188753"/>
    <n v="704"/>
    <n v="138"/>
    <n v="842"/>
    <n v="1002"/>
    <n v="1844"/>
    <n v="222"/>
    <n v="244"/>
    <n v="0"/>
    <n v="137"/>
    <n v="1981"/>
    <n v="5170"/>
  </r>
  <r>
    <x v="25"/>
    <s v="ITA"/>
    <x v="11"/>
    <x v="11"/>
    <n v="4155774754"/>
    <n v="1465916051"/>
    <n v="20"/>
    <n v="6"/>
    <n v="26"/>
    <n v="13"/>
    <n v="39"/>
    <n v="1"/>
    <n v="4"/>
    <n v="6"/>
    <n v="5"/>
    <n v="50"/>
    <n v="426"/>
  </r>
  <r>
    <x v="25"/>
    <s v="ITA"/>
    <x v="12"/>
    <x v="12"/>
    <n v="450732745"/>
    <n v="7680687483"/>
    <n v="1541"/>
    <n v="280"/>
    <n v="1821"/>
    <n v="1423"/>
    <n v="3244"/>
    <n v="490"/>
    <n v="529"/>
    <n v="8"/>
    <n v="209"/>
    <n v="3461"/>
    <n v="9975"/>
  </r>
  <r>
    <x v="25"/>
    <s v="ITA"/>
    <x v="13"/>
    <x v="13"/>
    <n v="4112559576"/>
    <n v="1686736689"/>
    <n v="191"/>
    <n v="31"/>
    <n v="222"/>
    <n v="329"/>
    <n v="551"/>
    <n v="102"/>
    <n v="103"/>
    <n v="4"/>
    <n v="26"/>
    <n v="581"/>
    <n v="4789"/>
  </r>
  <r>
    <x v="25"/>
    <s v="ITA"/>
    <x v="14"/>
    <x v="14"/>
    <n v="3921531192"/>
    <n v="9110616306"/>
    <n v="56"/>
    <n v="15"/>
    <n v="71"/>
    <n v="217"/>
    <n v="288"/>
    <n v="84"/>
    <n v="87"/>
    <n v="3"/>
    <n v="2"/>
    <n v="293"/>
    <n v="1912"/>
  </r>
  <r>
    <x v="25"/>
    <s v="ITA"/>
    <x v="15"/>
    <x v="15"/>
    <n v="3811569725"/>
    <n v="133623567"/>
    <n v="168"/>
    <n v="42"/>
    <n v="210"/>
    <n v="169"/>
    <n v="379"/>
    <n v="58"/>
    <n v="68"/>
    <n v="25"/>
    <n v="4"/>
    <n v="408"/>
    <n v="4468"/>
  </r>
  <r>
    <x v="25"/>
    <s v="ITA"/>
    <x v="16"/>
    <x v="16"/>
    <n v="4376923077"/>
    <n v="1125588885"/>
    <n v="601"/>
    <n v="189"/>
    <n v="790"/>
    <n v="923"/>
    <n v="1713"/>
    <n v="291"/>
    <n v="311"/>
    <n v="33"/>
    <n v="47"/>
    <n v="1793"/>
    <n v="10405"/>
  </r>
  <r>
    <x v="25"/>
    <s v="ITA"/>
    <x v="2"/>
    <x v="17"/>
    <n v="4606893511"/>
    <n v="1112123097"/>
    <n v="198"/>
    <n v="34"/>
    <n v="232"/>
    <n v="368"/>
    <n v="600"/>
    <n v="109"/>
    <n v="119"/>
    <n v="29"/>
    <n v="13"/>
    <n v="642"/>
    <n v="2656"/>
  </r>
  <r>
    <x v="25"/>
    <s v="ITA"/>
    <x v="17"/>
    <x v="18"/>
    <n v="4310675841"/>
    <n v="1238824698"/>
    <n v="75"/>
    <n v="24"/>
    <n v="99"/>
    <n v="285"/>
    <n v="384"/>
    <n v="56"/>
    <n v="61"/>
    <n v="4"/>
    <n v="7"/>
    <n v="395"/>
    <n v="2303"/>
  </r>
  <r>
    <x v="25"/>
    <s v="ITA"/>
    <x v="18"/>
    <x v="19"/>
    <n v="4573750286"/>
    <n v="7320149366"/>
    <n v="54"/>
    <n v="9"/>
    <n v="63"/>
    <n v="194"/>
    <n v="257"/>
    <n v="48"/>
    <n v="49"/>
    <n v="0"/>
    <n v="7"/>
    <n v="264"/>
    <n v="814"/>
  </r>
  <r>
    <x v="25"/>
    <s v="ITA"/>
    <x v="19"/>
    <x v="20"/>
    <n v="4543490485"/>
    <n v="1233845213"/>
    <n v="843"/>
    <n v="236"/>
    <n v="1079"/>
    <n v="2598"/>
    <n v="3677"/>
    <n v="508"/>
    <n v="547"/>
    <n v="223"/>
    <n v="131"/>
    <n v="4031"/>
    <n v="49288"/>
  </r>
  <r>
    <x v="26"/>
    <s v="ITA"/>
    <x v="0"/>
    <x v="0"/>
    <n v="4235122196"/>
    <n v="1339843823"/>
    <n v="185"/>
    <n v="44"/>
    <n v="229"/>
    <n v="265"/>
    <n v="494"/>
    <n v="72"/>
    <n v="80"/>
    <n v="13"/>
    <n v="22"/>
    <n v="529"/>
    <n v="3035"/>
  </r>
  <r>
    <x v="26"/>
    <s v="ITA"/>
    <x v="1"/>
    <x v="1"/>
    <n v="4063947052"/>
    <n v="1580514834"/>
    <n v="12"/>
    <n v="7"/>
    <n v="19"/>
    <n v="47"/>
    <n v="66"/>
    <n v="14"/>
    <n v="14"/>
    <n v="0"/>
    <n v="0"/>
    <n v="66"/>
    <n v="522"/>
  </r>
  <r>
    <x v="26"/>
    <s v="ITA"/>
    <x v="2"/>
    <x v="2"/>
    <n v="4649933453"/>
    <n v="1135662422"/>
    <n v="127"/>
    <n v="30"/>
    <n v="157"/>
    <n v="443"/>
    <n v="600"/>
    <n v="70"/>
    <n v="73"/>
    <n v="1"/>
    <n v="20"/>
    <n v="621"/>
    <n v="5179"/>
  </r>
  <r>
    <x v="26"/>
    <s v="ITA"/>
    <x v="3"/>
    <x v="3"/>
    <n v="3890597598"/>
    <n v="1659440194"/>
    <n v="73"/>
    <n v="16"/>
    <n v="89"/>
    <n v="136"/>
    <n v="225"/>
    <n v="24"/>
    <n v="28"/>
    <n v="5"/>
    <n v="5"/>
    <n v="235"/>
    <n v="3050"/>
  </r>
  <r>
    <x v="26"/>
    <s v="ITA"/>
    <x v="4"/>
    <x v="4"/>
    <n v="4083956555"/>
    <n v="1425084984"/>
    <n v="233"/>
    <n v="87"/>
    <n v="320"/>
    <n v="473"/>
    <n v="793"/>
    <n v="91"/>
    <n v="95"/>
    <n v="29"/>
    <n v="22"/>
    <n v="844"/>
    <n v="4448"/>
  </r>
  <r>
    <x v="26"/>
    <s v="ITA"/>
    <x v="5"/>
    <x v="5"/>
    <n v="4449436681"/>
    <n v="113417208"/>
    <n v="2267"/>
    <n v="265"/>
    <n v="2532"/>
    <n v="3129"/>
    <n v="5661"/>
    <n v="572"/>
    <n v="737"/>
    <n v="329"/>
    <n v="715"/>
    <n v="6705"/>
    <n v="24620"/>
  </r>
  <r>
    <x v="26"/>
    <s v="ITA"/>
    <x v="6"/>
    <x v="6"/>
    <n v="456494354"/>
    <n v="1376813649"/>
    <n v="152"/>
    <n v="37"/>
    <n v="189"/>
    <n v="477"/>
    <n v="666"/>
    <n v="111"/>
    <n v="134"/>
    <n v="82"/>
    <n v="42"/>
    <n v="790"/>
    <n v="5955"/>
  </r>
  <r>
    <x v="26"/>
    <s v="ITA"/>
    <x v="7"/>
    <x v="7"/>
    <n v="4189277044"/>
    <n v="1248366722"/>
    <n v="591"/>
    <n v="70"/>
    <n v="661"/>
    <n v="425"/>
    <n v="1086"/>
    <n v="174"/>
    <n v="182"/>
    <n v="54"/>
    <n v="50"/>
    <n v="1190"/>
    <n v="13889"/>
  </r>
  <r>
    <x v="26"/>
    <s v="ITA"/>
    <x v="8"/>
    <x v="8"/>
    <n v="4441149315"/>
    <n v="89326992"/>
    <n v="598"/>
    <n v="129"/>
    <n v="727"/>
    <n v="432"/>
    <n v="1159"/>
    <n v="158"/>
    <n v="215"/>
    <n v="125"/>
    <n v="152"/>
    <n v="1436"/>
    <n v="4304"/>
  </r>
  <r>
    <x v="26"/>
    <s v="ITA"/>
    <x v="9"/>
    <x v="9"/>
    <n v="4546679409"/>
    <n v="9190347404"/>
    <n v="8258"/>
    <n v="1093"/>
    <n v="9351"/>
    <n v="8019"/>
    <n v="17370"/>
    <n v="1950"/>
    <n v="3251"/>
    <n v="5050"/>
    <n v="3095"/>
    <n v="25515"/>
    <n v="66730"/>
  </r>
  <r>
    <x v="26"/>
    <s v="ITA"/>
    <x v="10"/>
    <x v="10"/>
    <n v="4361675973"/>
    <n v="135188753"/>
    <n v="742"/>
    <n v="141"/>
    <n v="883"/>
    <n v="1114"/>
    <n v="1997"/>
    <n v="153"/>
    <n v="172"/>
    <n v="2"/>
    <n v="154"/>
    <n v="2153"/>
    <n v="5740"/>
  </r>
  <r>
    <x v="26"/>
    <s v="ITA"/>
    <x v="11"/>
    <x v="11"/>
    <n v="4155774754"/>
    <n v="1465916051"/>
    <n v="21"/>
    <n v="6"/>
    <n v="27"/>
    <n v="20"/>
    <n v="47"/>
    <n v="8"/>
    <n v="11"/>
    <n v="7"/>
    <n v="7"/>
    <n v="61"/>
    <n v="449"/>
  </r>
  <r>
    <x v="26"/>
    <s v="ITA"/>
    <x v="12"/>
    <x v="12"/>
    <n v="450732745"/>
    <n v="7680687483"/>
    <n v="1976"/>
    <n v="301"/>
    <n v="2277"/>
    <n v="1229"/>
    <n v="3506"/>
    <n v="262"/>
    <n v="291"/>
    <n v="8"/>
    <n v="238"/>
    <n v="3752"/>
    <n v="10701"/>
  </r>
  <r>
    <x v="26"/>
    <s v="ITA"/>
    <x v="13"/>
    <x v="13"/>
    <n v="4112559576"/>
    <n v="1686736689"/>
    <n v="209"/>
    <n v="33"/>
    <n v="242"/>
    <n v="400"/>
    <n v="642"/>
    <n v="91"/>
    <n v="94"/>
    <n v="4"/>
    <n v="29"/>
    <n v="675"/>
    <n v="5617"/>
  </r>
  <r>
    <x v="26"/>
    <s v="ITA"/>
    <x v="14"/>
    <x v="14"/>
    <n v="3921531192"/>
    <n v="9110616306"/>
    <n v="65"/>
    <n v="16"/>
    <n v="81"/>
    <n v="240"/>
    <n v="321"/>
    <n v="33"/>
    <n v="37"/>
    <n v="5"/>
    <n v="4"/>
    <n v="330"/>
    <n v="2297"/>
  </r>
  <r>
    <x v="26"/>
    <s v="ITA"/>
    <x v="15"/>
    <x v="15"/>
    <n v="3811569725"/>
    <n v="133623567"/>
    <n v="206"/>
    <n v="48"/>
    <n v="254"/>
    <n v="204"/>
    <n v="458"/>
    <n v="79"/>
    <n v="82"/>
    <n v="26"/>
    <n v="6"/>
    <n v="490"/>
    <n v="4883"/>
  </r>
  <r>
    <x v="26"/>
    <s v="ITA"/>
    <x v="16"/>
    <x v="16"/>
    <n v="4376923077"/>
    <n v="1125588885"/>
    <n v="664"/>
    <n v="202"/>
    <n v="866"/>
    <n v="1039"/>
    <n v="1905"/>
    <n v="192"/>
    <n v="219"/>
    <n v="35"/>
    <n v="72"/>
    <n v="2012"/>
    <n v="11909"/>
  </r>
  <r>
    <x v="26"/>
    <s v="ITA"/>
    <x v="2"/>
    <x v="17"/>
    <n v="4606893511"/>
    <n v="1112123097"/>
    <n v="233"/>
    <n v="39"/>
    <n v="272"/>
    <n v="448"/>
    <n v="720"/>
    <n v="120"/>
    <n v="140"/>
    <n v="34"/>
    <n v="28"/>
    <n v="782"/>
    <n v="2656"/>
  </r>
  <r>
    <x v="26"/>
    <s v="ITA"/>
    <x v="17"/>
    <x v="18"/>
    <n v="4310675841"/>
    <n v="1238824698"/>
    <n v="92"/>
    <n v="29"/>
    <n v="121"/>
    <n v="326"/>
    <n v="447"/>
    <n v="63"/>
    <n v="67"/>
    <n v="5"/>
    <n v="10"/>
    <n v="462"/>
    <n v="2712"/>
  </r>
  <r>
    <x v="26"/>
    <s v="ITA"/>
    <x v="18"/>
    <x v="19"/>
    <n v="4573750286"/>
    <n v="7320149366"/>
    <n v="62"/>
    <n v="15"/>
    <n v="77"/>
    <n v="227"/>
    <n v="304"/>
    <n v="47"/>
    <n v="49"/>
    <n v="1"/>
    <n v="8"/>
    <n v="313"/>
    <n v="884"/>
  </r>
  <r>
    <x v="26"/>
    <s v="ITA"/>
    <x v="19"/>
    <x v="20"/>
    <n v="4543490485"/>
    <n v="1233845213"/>
    <n v="942"/>
    <n v="249"/>
    <n v="1191"/>
    <n v="3023"/>
    <n v="4214"/>
    <n v="537"/>
    <n v="586"/>
    <n v="257"/>
    <n v="146"/>
    <n v="4617"/>
    <n v="53642"/>
  </r>
  <r>
    <x v="27"/>
    <s v="ITA"/>
    <x v="0"/>
    <x v="0"/>
    <n v="4235122196"/>
    <n v="1339843823"/>
    <n v="218"/>
    <n v="49"/>
    <n v="267"/>
    <n v="272"/>
    <n v="539"/>
    <n v="45"/>
    <n v="58"/>
    <n v="15"/>
    <n v="33"/>
    <n v="587"/>
    <n v="3375"/>
  </r>
  <r>
    <x v="27"/>
    <s v="ITA"/>
    <x v="1"/>
    <x v="1"/>
    <n v="4063947052"/>
    <n v="1580514834"/>
    <n v="13"/>
    <n v="10"/>
    <n v="23"/>
    <n v="58"/>
    <n v="81"/>
    <n v="15"/>
    <n v="15"/>
    <n v="0"/>
    <n v="0"/>
    <n v="81"/>
    <n v="643"/>
  </r>
  <r>
    <x v="27"/>
    <s v="ITA"/>
    <x v="2"/>
    <x v="2"/>
    <n v="4649933453"/>
    <n v="1135662422"/>
    <n v="146"/>
    <n v="32"/>
    <n v="178"/>
    <n v="470"/>
    <n v="648"/>
    <n v="48"/>
    <n v="57"/>
    <n v="7"/>
    <n v="23"/>
    <n v="678"/>
    <n v="5718"/>
  </r>
  <r>
    <x v="27"/>
    <s v="ITA"/>
    <x v="3"/>
    <x v="3"/>
    <n v="3890597598"/>
    <n v="1659440194"/>
    <n v="77"/>
    <n v="17"/>
    <n v="94"/>
    <n v="166"/>
    <n v="260"/>
    <n v="35"/>
    <n v="38"/>
    <n v="5"/>
    <n v="8"/>
    <n v="273"/>
    <n v="3666"/>
  </r>
  <r>
    <x v="27"/>
    <s v="ITA"/>
    <x v="4"/>
    <x v="4"/>
    <n v="4083956555"/>
    <n v="1425084984"/>
    <n v="243"/>
    <n v="99"/>
    <n v="342"/>
    <n v="524"/>
    <n v="866"/>
    <n v="73"/>
    <n v="92"/>
    <n v="41"/>
    <n v="29"/>
    <n v="936"/>
    <n v="4943"/>
  </r>
  <r>
    <x v="27"/>
    <s v="ITA"/>
    <x v="5"/>
    <x v="5"/>
    <n v="4449436681"/>
    <n v="113417208"/>
    <n v="2429"/>
    <n v="269"/>
    <n v="2698"/>
    <n v="3692"/>
    <n v="6390"/>
    <n v="729"/>
    <n v="850"/>
    <n v="349"/>
    <n v="816"/>
    <n v="7555"/>
    <n v="28022"/>
  </r>
  <r>
    <x v="27"/>
    <s v="ITA"/>
    <x v="6"/>
    <x v="6"/>
    <n v="456494354"/>
    <n v="1376813649"/>
    <n v="163"/>
    <n v="47"/>
    <n v="210"/>
    <n v="528"/>
    <n v="738"/>
    <n v="72"/>
    <n v="84"/>
    <n v="89"/>
    <n v="47"/>
    <n v="874"/>
    <n v="6761"/>
  </r>
  <r>
    <x v="27"/>
    <s v="ITA"/>
    <x v="7"/>
    <x v="7"/>
    <n v="4189277044"/>
    <n v="1248366722"/>
    <n v="671"/>
    <n v="79"/>
    <n v="750"/>
    <n v="522"/>
    <n v="1272"/>
    <n v="186"/>
    <n v="193"/>
    <n v="58"/>
    <n v="53"/>
    <n v="1383"/>
    <n v="17845"/>
  </r>
  <r>
    <x v="27"/>
    <s v="ITA"/>
    <x v="8"/>
    <x v="8"/>
    <n v="4441149315"/>
    <n v="89326992"/>
    <n v="736"/>
    <n v="132"/>
    <n v="868"/>
    <n v="483"/>
    <n v="1351"/>
    <n v="192"/>
    <n v="229"/>
    <n v="143"/>
    <n v="171"/>
    <n v="1665"/>
    <n v="4995"/>
  </r>
  <r>
    <x v="27"/>
    <s v="ITA"/>
    <x v="9"/>
    <x v="9"/>
    <n v="4546679409"/>
    <n v="9190347404"/>
    <n v="9439"/>
    <n v="1142"/>
    <n v="10581"/>
    <n v="7304"/>
    <n v="17885"/>
    <n v="515"/>
    <n v="1691"/>
    <n v="5865"/>
    <n v="3456"/>
    <n v="27206"/>
    <n v="70598"/>
  </r>
  <r>
    <x v="27"/>
    <s v="ITA"/>
    <x v="10"/>
    <x v="10"/>
    <n v="4361675973"/>
    <n v="135188753"/>
    <n v="816"/>
    <n v="138"/>
    <n v="954"/>
    <n v="1277"/>
    <n v="2231"/>
    <n v="234"/>
    <n v="268"/>
    <n v="6"/>
    <n v="184"/>
    <n v="2421"/>
    <n v="6391"/>
  </r>
  <r>
    <x v="27"/>
    <s v="ITA"/>
    <x v="11"/>
    <x v="11"/>
    <n v="4155774754"/>
    <n v="1465916051"/>
    <n v="24"/>
    <n v="7"/>
    <n v="31"/>
    <n v="21"/>
    <n v="52"/>
    <n v="5"/>
    <n v="5"/>
    <n v="7"/>
    <n v="7"/>
    <n v="66"/>
    <n v="532"/>
  </r>
  <r>
    <x v="27"/>
    <s v="ITA"/>
    <x v="12"/>
    <x v="12"/>
    <n v="450732745"/>
    <n v="7680687483"/>
    <n v="2118"/>
    <n v="308"/>
    <n v="2426"/>
    <n v="1701"/>
    <n v="4127"/>
    <n v="621"/>
    <n v="668"/>
    <n v="10"/>
    <n v="283"/>
    <n v="4420"/>
    <n v="12701"/>
  </r>
  <r>
    <x v="27"/>
    <s v="ITA"/>
    <x v="13"/>
    <x v="13"/>
    <n v="4112559576"/>
    <n v="1686736689"/>
    <n v="252"/>
    <n v="37"/>
    <n v="289"/>
    <n v="459"/>
    <n v="748"/>
    <n v="106"/>
    <n v="111"/>
    <n v="7"/>
    <n v="31"/>
    <n v="786"/>
    <n v="6160"/>
  </r>
  <r>
    <x v="27"/>
    <s v="ITA"/>
    <x v="14"/>
    <x v="14"/>
    <n v="3921531192"/>
    <n v="9110616306"/>
    <n v="67"/>
    <n v="16"/>
    <n v="83"/>
    <n v="244"/>
    <n v="327"/>
    <n v="6"/>
    <n v="9"/>
    <n v="5"/>
    <n v="7"/>
    <n v="339"/>
    <n v="2402"/>
  </r>
  <r>
    <x v="27"/>
    <s v="ITA"/>
    <x v="15"/>
    <x v="15"/>
    <n v="3811569725"/>
    <n v="133623567"/>
    <n v="220"/>
    <n v="55"/>
    <n v="275"/>
    <n v="321"/>
    <n v="596"/>
    <n v="138"/>
    <n v="140"/>
    <n v="26"/>
    <n v="8"/>
    <n v="630"/>
    <n v="5580"/>
  </r>
  <r>
    <x v="27"/>
    <s v="ITA"/>
    <x v="16"/>
    <x v="16"/>
    <n v="4376923077"/>
    <n v="1125588885"/>
    <n v="706"/>
    <n v="215"/>
    <n v="921"/>
    <n v="1223"/>
    <n v="2144"/>
    <n v="239"/>
    <n v="265"/>
    <n v="42"/>
    <n v="91"/>
    <n v="2277"/>
    <n v="13264"/>
  </r>
  <r>
    <x v="27"/>
    <s v="ITA"/>
    <x v="2"/>
    <x v="17"/>
    <n v="4606893511"/>
    <n v="1112123097"/>
    <n v="235"/>
    <n v="46"/>
    <n v="281"/>
    <n v="604"/>
    <n v="885"/>
    <n v="165"/>
    <n v="172"/>
    <n v="34"/>
    <n v="35"/>
    <n v="954"/>
    <n v="3050"/>
  </r>
  <r>
    <x v="27"/>
    <s v="ITA"/>
    <x v="17"/>
    <x v="18"/>
    <n v="4310675841"/>
    <n v="1238824698"/>
    <n v="97"/>
    <n v="35"/>
    <n v="132"/>
    <n v="368"/>
    <n v="500"/>
    <n v="53"/>
    <n v="59"/>
    <n v="5"/>
    <n v="16"/>
    <n v="521"/>
    <n v="3135"/>
  </r>
  <r>
    <x v="27"/>
    <s v="ITA"/>
    <x v="18"/>
    <x v="19"/>
    <n v="4573750286"/>
    <n v="7320149366"/>
    <n v="63"/>
    <n v="21"/>
    <n v="84"/>
    <n v="270"/>
    <n v="354"/>
    <n v="50"/>
    <n v="51"/>
    <n v="1"/>
    <n v="9"/>
    <n v="364"/>
    <n v="950"/>
  </r>
  <r>
    <x v="27"/>
    <s v="ITA"/>
    <x v="19"/>
    <x v="20"/>
    <n v="4543490485"/>
    <n v="1233845213"/>
    <n v="1113"/>
    <n v="255"/>
    <n v="1368"/>
    <n v="3276"/>
    <n v="4644"/>
    <n v="430"/>
    <n v="505"/>
    <n v="309"/>
    <n v="169"/>
    <n v="5122"/>
    <n v="57671"/>
  </r>
  <r>
    <x v="28"/>
    <s v="ITA"/>
    <x v="0"/>
    <x v="0"/>
    <n v="4235122196"/>
    <n v="1339843823"/>
    <n v="228"/>
    <n v="52"/>
    <n v="280"/>
    <n v="325"/>
    <n v="605"/>
    <n v="66"/>
    <n v="76"/>
    <n v="20"/>
    <n v="38"/>
    <n v="663"/>
    <n v="3674"/>
  </r>
  <r>
    <x v="28"/>
    <s v="ITA"/>
    <x v="1"/>
    <x v="1"/>
    <n v="4063947052"/>
    <n v="1580514834"/>
    <n v="15"/>
    <n v="12"/>
    <n v="27"/>
    <n v="62"/>
    <n v="89"/>
    <n v="8"/>
    <n v="9"/>
    <n v="0"/>
    <n v="1"/>
    <n v="90"/>
    <n v="696"/>
  </r>
  <r>
    <x v="28"/>
    <s v="ITA"/>
    <x v="2"/>
    <x v="2"/>
    <n v="4649933453"/>
    <n v="1135662422"/>
    <n v="145"/>
    <n v="33"/>
    <n v="178"/>
    <n v="510"/>
    <n v="688"/>
    <n v="40"/>
    <n v="46"/>
    <n v="7"/>
    <n v="29"/>
    <n v="724"/>
    <n v="6084"/>
  </r>
  <r>
    <x v="28"/>
    <s v="ITA"/>
    <x v="3"/>
    <x v="3"/>
    <n v="3890597598"/>
    <n v="1659440194"/>
    <n v="82"/>
    <n v="20"/>
    <n v="102"/>
    <n v="178"/>
    <n v="280"/>
    <n v="20"/>
    <n v="19"/>
    <n v="5"/>
    <n v="7"/>
    <n v="292"/>
    <n v="4073"/>
  </r>
  <r>
    <x v="28"/>
    <s v="ITA"/>
    <x v="4"/>
    <x v="4"/>
    <n v="4083956555"/>
    <n v="1425084984"/>
    <n v="266"/>
    <n v="110"/>
    <n v="376"/>
    <n v="553"/>
    <n v="929"/>
    <n v="63"/>
    <n v="90"/>
    <n v="48"/>
    <n v="49"/>
    <n v="1026"/>
    <n v="5813"/>
  </r>
  <r>
    <x v="28"/>
    <s v="ITA"/>
    <x v="5"/>
    <x v="5"/>
    <n v="4449436681"/>
    <n v="113417208"/>
    <n v="2846"/>
    <n v="276"/>
    <n v="3122"/>
    <n v="4098"/>
    <n v="7220"/>
    <n v="830"/>
    <n v="980"/>
    <n v="423"/>
    <n v="892"/>
    <n v="8535"/>
    <n v="31200"/>
  </r>
  <r>
    <x v="28"/>
    <s v="ITA"/>
    <x v="6"/>
    <x v="6"/>
    <n v="456494354"/>
    <n v="1376813649"/>
    <n v="185"/>
    <n v="41"/>
    <n v="226"/>
    <n v="545"/>
    <n v="771"/>
    <n v="33"/>
    <n v="56"/>
    <n v="105"/>
    <n v="54"/>
    <n v="930"/>
    <n v="7424"/>
  </r>
  <r>
    <x v="28"/>
    <s v="ITA"/>
    <x v="7"/>
    <x v="7"/>
    <n v="4189277044"/>
    <n v="1248366722"/>
    <n v="718"/>
    <n v="96"/>
    <n v="814"/>
    <n v="600"/>
    <n v="1414"/>
    <n v="142"/>
    <n v="157"/>
    <n v="63"/>
    <n v="63"/>
    <n v="1540"/>
    <n v="18371"/>
  </r>
  <r>
    <x v="28"/>
    <s v="ITA"/>
    <x v="8"/>
    <x v="8"/>
    <n v="4441149315"/>
    <n v="89326992"/>
    <n v="761"/>
    <n v="133"/>
    <n v="894"/>
    <n v="659"/>
    <n v="1553"/>
    <n v="202"/>
    <n v="259"/>
    <n v="159"/>
    <n v="212"/>
    <n v="1924"/>
    <n v="5538"/>
  </r>
  <r>
    <x v="28"/>
    <s v="ITA"/>
    <x v="9"/>
    <x v="9"/>
    <n v="4546679409"/>
    <n v="9190347404"/>
    <n v="9266"/>
    <n v="1183"/>
    <n v="10449"/>
    <n v="8461"/>
    <n v="18910"/>
    <n v="1025"/>
    <n v="1555"/>
    <n v="6075"/>
    <n v="3776"/>
    <n v="28761"/>
    <n v="73242"/>
  </r>
  <r>
    <x v="28"/>
    <s v="ITA"/>
    <x v="10"/>
    <x v="10"/>
    <n v="4361675973"/>
    <n v="135188753"/>
    <n v="882"/>
    <n v="148"/>
    <n v="1030"/>
    <n v="1328"/>
    <n v="2358"/>
    <n v="127"/>
    <n v="148"/>
    <n v="8"/>
    <n v="203"/>
    <n v="2569"/>
    <n v="6782"/>
  </r>
  <r>
    <x v="28"/>
    <s v="ITA"/>
    <x v="11"/>
    <x v="11"/>
    <n v="4155774754"/>
    <n v="1465916051"/>
    <n v="25"/>
    <n v="7"/>
    <n v="32"/>
    <n v="18"/>
    <n v="50"/>
    <n v="-2"/>
    <n v="1"/>
    <n v="10"/>
    <n v="7"/>
    <n v="67"/>
    <n v="532"/>
  </r>
  <r>
    <x v="28"/>
    <s v="ITA"/>
    <x v="12"/>
    <x v="12"/>
    <n v="450732745"/>
    <n v="7680687483"/>
    <n v="2194"/>
    <n v="343"/>
    <n v="2537"/>
    <n v="1992"/>
    <n v="4529"/>
    <n v="402"/>
    <n v="441"/>
    <n v="17"/>
    <n v="315"/>
    <n v="4861"/>
    <n v="13560"/>
  </r>
  <r>
    <x v="28"/>
    <s v="ITA"/>
    <x v="13"/>
    <x v="13"/>
    <n v="4112559576"/>
    <n v="1686736689"/>
    <n v="285"/>
    <n v="45"/>
    <n v="330"/>
    <n v="532"/>
    <n v="862"/>
    <n v="114"/>
    <n v="120"/>
    <n v="7"/>
    <n v="37"/>
    <n v="906"/>
    <n v="6761"/>
  </r>
  <r>
    <x v="28"/>
    <s v="ITA"/>
    <x v="14"/>
    <x v="14"/>
    <n v="3921531192"/>
    <n v="9110616306"/>
    <n v="76"/>
    <n v="18"/>
    <n v="94"/>
    <n v="249"/>
    <n v="343"/>
    <n v="16"/>
    <n v="20"/>
    <n v="5"/>
    <n v="11"/>
    <n v="359"/>
    <n v="2568"/>
  </r>
  <r>
    <x v="28"/>
    <s v="ITA"/>
    <x v="15"/>
    <x v="15"/>
    <n v="3811569725"/>
    <n v="133623567"/>
    <n v="250"/>
    <n v="60"/>
    <n v="310"/>
    <n v="371"/>
    <n v="681"/>
    <n v="85"/>
    <n v="91"/>
    <n v="27"/>
    <n v="13"/>
    <n v="721"/>
    <n v="6375"/>
  </r>
  <r>
    <x v="28"/>
    <s v="ITA"/>
    <x v="16"/>
    <x v="16"/>
    <n v="4376923077"/>
    <n v="1125588885"/>
    <n v="838"/>
    <n v="238"/>
    <n v="1076"/>
    <n v="1225"/>
    <n v="2301"/>
    <n v="157"/>
    <n v="184"/>
    <n v="51"/>
    <n v="109"/>
    <n v="2461"/>
    <n v="13851"/>
  </r>
  <r>
    <x v="28"/>
    <s v="ITA"/>
    <x v="2"/>
    <x v="17"/>
    <n v="4606893511"/>
    <n v="1112123097"/>
    <n v="249"/>
    <n v="46"/>
    <n v="295"/>
    <n v="619"/>
    <n v="914"/>
    <n v="29"/>
    <n v="69"/>
    <n v="68"/>
    <n v="41"/>
    <n v="1023"/>
    <n v="3150"/>
  </r>
  <r>
    <x v="28"/>
    <s v="ITA"/>
    <x v="17"/>
    <x v="18"/>
    <n v="4310675841"/>
    <n v="1238824698"/>
    <n v="106"/>
    <n v="42"/>
    <n v="148"/>
    <n v="408"/>
    <n v="556"/>
    <n v="56"/>
    <n v="56"/>
    <n v="5"/>
    <n v="16"/>
    <n v="577"/>
    <n v="3561"/>
  </r>
  <r>
    <x v="28"/>
    <s v="ITA"/>
    <x v="18"/>
    <x v="19"/>
    <n v="4573750286"/>
    <n v="7320149366"/>
    <n v="69"/>
    <n v="20"/>
    <n v="89"/>
    <n v="290"/>
    <n v="379"/>
    <n v="25"/>
    <n v="29"/>
    <n v="2"/>
    <n v="12"/>
    <n v="393"/>
    <n v="1098"/>
  </r>
  <r>
    <x v="28"/>
    <s v="ITA"/>
    <x v="19"/>
    <x v="20"/>
    <n v="4543490485"/>
    <n v="1233845213"/>
    <n v="1206"/>
    <n v="281"/>
    <n v="1487"/>
    <n v="3499"/>
    <n v="4986"/>
    <n v="342"/>
    <n v="383"/>
    <n v="327"/>
    <n v="192"/>
    <n v="5505"/>
    <n v="61115"/>
  </r>
  <r>
    <x v="29"/>
    <s v="ITA"/>
    <x v="0"/>
    <x v="0"/>
    <n v="4235122196"/>
    <n v="1339843823"/>
    <n v="234"/>
    <n v="57"/>
    <n v="291"/>
    <n v="331"/>
    <n v="622"/>
    <n v="17"/>
    <n v="26"/>
    <n v="21"/>
    <n v="46"/>
    <n v="689"/>
    <n v="4294"/>
  </r>
  <r>
    <x v="29"/>
    <s v="ITA"/>
    <x v="1"/>
    <x v="1"/>
    <n v="4063947052"/>
    <n v="1580514834"/>
    <n v="14"/>
    <n v="12"/>
    <n v="26"/>
    <n v="65"/>
    <n v="91"/>
    <n v="2"/>
    <n v="2"/>
    <n v="0"/>
    <n v="1"/>
    <n v="92"/>
    <n v="744"/>
  </r>
  <r>
    <x v="29"/>
    <s v="ITA"/>
    <x v="2"/>
    <x v="2"/>
    <n v="4649933453"/>
    <n v="1135662422"/>
    <n v="166"/>
    <n v="38"/>
    <n v="204"/>
    <n v="495"/>
    <n v="699"/>
    <n v="11"/>
    <n v="57"/>
    <n v="44"/>
    <n v="38"/>
    <n v="781"/>
    <n v="6509"/>
  </r>
  <r>
    <x v="29"/>
    <s v="ITA"/>
    <x v="3"/>
    <x v="3"/>
    <n v="3890597598"/>
    <n v="1659440194"/>
    <n v="88"/>
    <n v="21"/>
    <n v="109"/>
    <n v="195"/>
    <n v="304"/>
    <n v="24"/>
    <n v="27"/>
    <n v="5"/>
    <n v="10"/>
    <n v="319"/>
    <n v="4486"/>
  </r>
  <r>
    <x v="29"/>
    <s v="ITA"/>
    <x v="4"/>
    <x v="4"/>
    <n v="4083956555"/>
    <n v="1425084984"/>
    <n v="345"/>
    <n v="181"/>
    <n v="526"/>
    <n v="466"/>
    <n v="992"/>
    <n v="63"/>
    <n v="75"/>
    <n v="53"/>
    <n v="56"/>
    <n v="1101"/>
    <n v="6297"/>
  </r>
  <r>
    <x v="29"/>
    <s v="ITA"/>
    <x v="5"/>
    <x v="5"/>
    <n v="4449436681"/>
    <n v="113417208"/>
    <n v="2974"/>
    <n v="291"/>
    <n v="3265"/>
    <n v="4446"/>
    <n v="7711"/>
    <n v="491"/>
    <n v="719"/>
    <n v="558"/>
    <n v="985"/>
    <n v="9254"/>
    <n v="33527"/>
  </r>
  <r>
    <x v="29"/>
    <s v="ITA"/>
    <x v="6"/>
    <x v="6"/>
    <n v="456494354"/>
    <n v="1376813649"/>
    <n v="195"/>
    <n v="49"/>
    <n v="244"/>
    <n v="604"/>
    <n v="848"/>
    <n v="77"/>
    <n v="62"/>
    <n v="80"/>
    <n v="64"/>
    <n v="992"/>
    <n v="8526"/>
  </r>
  <r>
    <x v="29"/>
    <s v="ITA"/>
    <x v="7"/>
    <x v="7"/>
    <n v="4189277044"/>
    <n v="1248366722"/>
    <n v="747"/>
    <n v="94"/>
    <n v="841"/>
    <n v="704"/>
    <n v="1545"/>
    <n v="131"/>
    <n v="188"/>
    <n v="103"/>
    <n v="80"/>
    <n v="1728"/>
    <n v="18371"/>
  </r>
  <r>
    <x v="29"/>
    <s v="ITA"/>
    <x v="8"/>
    <x v="8"/>
    <n v="4441149315"/>
    <n v="89326992"/>
    <n v="803"/>
    <n v="147"/>
    <n v="950"/>
    <n v="742"/>
    <n v="1692"/>
    <n v="139"/>
    <n v="192"/>
    <n v="193"/>
    <n v="231"/>
    <n v="2116"/>
    <n v="5992"/>
  </r>
  <r>
    <x v="29"/>
    <s v="ITA"/>
    <x v="9"/>
    <x v="9"/>
    <n v="4546679409"/>
    <n v="9190347404"/>
    <n v="9711"/>
    <n v="1194"/>
    <n v="10905"/>
    <n v="8963"/>
    <n v="19868"/>
    <n v="958"/>
    <n v="1942"/>
    <n v="6657"/>
    <n v="4178"/>
    <n v="30703"/>
    <n v="76695"/>
  </r>
  <r>
    <x v="29"/>
    <s v="ITA"/>
    <x v="10"/>
    <x v="10"/>
    <n v="4361675973"/>
    <n v="135188753"/>
    <n v="862"/>
    <n v="149"/>
    <n v="1011"/>
    <n v="1486"/>
    <n v="2497"/>
    <n v="139"/>
    <n v="167"/>
    <n v="8"/>
    <n v="231"/>
    <n v="2736"/>
    <n v="7229"/>
  </r>
  <r>
    <x v="29"/>
    <s v="ITA"/>
    <x v="11"/>
    <x v="11"/>
    <n v="4155774754"/>
    <n v="1465916051"/>
    <n v="27"/>
    <n v="7"/>
    <n v="34"/>
    <n v="21"/>
    <n v="55"/>
    <n v="5"/>
    <n v="6"/>
    <n v="10"/>
    <n v="8"/>
    <n v="73"/>
    <n v="572"/>
  </r>
  <r>
    <x v="29"/>
    <s v="ITA"/>
    <x v="12"/>
    <x v="12"/>
    <n v="450732745"/>
    <n v="7680687483"/>
    <n v="2404"/>
    <n v="360"/>
    <n v="2764"/>
    <n v="2360"/>
    <n v="5124"/>
    <n v="595"/>
    <n v="654"/>
    <n v="17"/>
    <n v="374"/>
    <n v="5515"/>
    <n v="15469"/>
  </r>
  <r>
    <x v="29"/>
    <s v="ITA"/>
    <x v="13"/>
    <x v="13"/>
    <n v="4112559576"/>
    <n v="1686736689"/>
    <n v="317"/>
    <n v="57"/>
    <n v="374"/>
    <n v="566"/>
    <n v="940"/>
    <n v="78"/>
    <n v="99"/>
    <n v="21"/>
    <n v="44"/>
    <n v="1005"/>
    <n v="7345"/>
  </r>
  <r>
    <x v="29"/>
    <s v="ITA"/>
    <x v="14"/>
    <x v="14"/>
    <n v="3921531192"/>
    <n v="9110616306"/>
    <n v="80"/>
    <n v="19"/>
    <n v="99"/>
    <n v="296"/>
    <n v="395"/>
    <n v="52"/>
    <n v="62"/>
    <n v="11"/>
    <n v="15"/>
    <n v="421"/>
    <n v="2859"/>
  </r>
  <r>
    <x v="29"/>
    <s v="ITA"/>
    <x v="15"/>
    <x v="15"/>
    <n v="3811569725"/>
    <n v="133623567"/>
    <n v="250"/>
    <n v="60"/>
    <n v="310"/>
    <n v="489"/>
    <n v="799"/>
    <n v="118"/>
    <n v="125"/>
    <n v="27"/>
    <n v="20"/>
    <n v="846"/>
    <n v="7170"/>
  </r>
  <r>
    <x v="29"/>
    <s v="ITA"/>
    <x v="16"/>
    <x v="16"/>
    <n v="4376923077"/>
    <n v="1125588885"/>
    <n v="918"/>
    <n v="244"/>
    <n v="1162"/>
    <n v="1357"/>
    <n v="2519"/>
    <n v="218"/>
    <n v="238"/>
    <n v="51"/>
    <n v="129"/>
    <n v="2699"/>
    <n v="15701"/>
  </r>
  <r>
    <x v="29"/>
    <s v="ITA"/>
    <x v="2"/>
    <x v="17"/>
    <n v="4606893511"/>
    <n v="1112123097"/>
    <n v="308"/>
    <n v="49"/>
    <n v="357"/>
    <n v="618"/>
    <n v="975"/>
    <n v="61"/>
    <n v="87"/>
    <n v="79"/>
    <n v="56"/>
    <n v="1110"/>
    <n v="3712"/>
  </r>
  <r>
    <x v="29"/>
    <s v="ITA"/>
    <x v="17"/>
    <x v="18"/>
    <n v="4310675841"/>
    <n v="1238824698"/>
    <n v="105"/>
    <n v="43"/>
    <n v="148"/>
    <n v="476"/>
    <n v="624"/>
    <n v="68"/>
    <n v="71"/>
    <n v="5"/>
    <n v="19"/>
    <n v="648"/>
    <n v="4108"/>
  </r>
  <r>
    <x v="29"/>
    <s v="ITA"/>
    <x v="18"/>
    <x v="19"/>
    <n v="4573750286"/>
    <n v="7320149366"/>
    <n v="71"/>
    <n v="20"/>
    <n v="91"/>
    <n v="288"/>
    <n v="379"/>
    <n v="0"/>
    <n v="7"/>
    <n v="2"/>
    <n v="19"/>
    <n v="400"/>
    <n v="1180"/>
  </r>
  <r>
    <x v="29"/>
    <s v="ITA"/>
    <x v="19"/>
    <x v="20"/>
    <n v="4543490485"/>
    <n v="1233845213"/>
    <n v="1318"/>
    <n v="304"/>
    <n v="1622"/>
    <n v="3729"/>
    <n v="5351"/>
    <n v="365"/>
    <n v="443"/>
    <n v="381"/>
    <n v="216"/>
    <n v="5948"/>
    <n v="66178"/>
  </r>
  <r>
    <x v="30"/>
    <s v="ITA"/>
    <x v="0"/>
    <x v="0"/>
    <n v="4235122196"/>
    <n v="1339843823"/>
    <n v="248"/>
    <n v="59"/>
    <n v="307"/>
    <n v="431"/>
    <n v="738"/>
    <n v="116"/>
    <n v="124"/>
    <n v="23"/>
    <n v="52"/>
    <n v="813"/>
    <n v="4982"/>
  </r>
  <r>
    <x v="30"/>
    <s v="ITA"/>
    <x v="1"/>
    <x v="1"/>
    <n v="4063947052"/>
    <n v="1580514834"/>
    <n v="20"/>
    <n v="14"/>
    <n v="34"/>
    <n v="78"/>
    <n v="112"/>
    <n v="21"/>
    <n v="21"/>
    <n v="0"/>
    <n v="1"/>
    <n v="113"/>
    <n v="857"/>
  </r>
  <r>
    <x v="30"/>
    <s v="ITA"/>
    <x v="2"/>
    <x v="2"/>
    <n v="4649933453"/>
    <n v="1135662422"/>
    <n v="190"/>
    <n v="40"/>
    <n v="230"/>
    <n v="518"/>
    <n v="748"/>
    <n v="49"/>
    <n v="77"/>
    <n v="67"/>
    <n v="43"/>
    <n v="858"/>
    <n v="6649"/>
  </r>
  <r>
    <x v="30"/>
    <s v="ITA"/>
    <x v="3"/>
    <x v="3"/>
    <n v="3890597598"/>
    <n v="1659440194"/>
    <n v="93"/>
    <n v="23"/>
    <n v="116"/>
    <n v="217"/>
    <n v="333"/>
    <n v="29"/>
    <n v="32"/>
    <n v="7"/>
    <n v="11"/>
    <n v="351"/>
    <n v="5058"/>
  </r>
  <r>
    <x v="30"/>
    <s v="ITA"/>
    <x v="4"/>
    <x v="4"/>
    <n v="4083956555"/>
    <n v="1425084984"/>
    <n v="318"/>
    <n v="123"/>
    <n v="441"/>
    <n v="631"/>
    <n v="1072"/>
    <n v="80"/>
    <n v="98"/>
    <n v="53"/>
    <n v="74"/>
    <n v="1199"/>
    <n v="6972"/>
  </r>
  <r>
    <x v="30"/>
    <s v="ITA"/>
    <x v="5"/>
    <x v="5"/>
    <n v="4449436681"/>
    <n v="113417208"/>
    <n v="3180"/>
    <n v="294"/>
    <n v="3474"/>
    <n v="4782"/>
    <n v="8256"/>
    <n v="545"/>
    <n v="800"/>
    <n v="721"/>
    <n v="1077"/>
    <n v="10054"/>
    <n v="38045"/>
  </r>
  <r>
    <x v="30"/>
    <s v="ITA"/>
    <x v="6"/>
    <x v="6"/>
    <n v="456494354"/>
    <n v="1376813649"/>
    <n v="200"/>
    <n v="52"/>
    <n v="252"/>
    <n v="659"/>
    <n v="911"/>
    <n v="63"/>
    <n v="147"/>
    <n v="158"/>
    <n v="70"/>
    <n v="1139"/>
    <n v="9494"/>
  </r>
  <r>
    <x v="30"/>
    <s v="ITA"/>
    <x v="7"/>
    <x v="7"/>
    <n v="4189277044"/>
    <n v="1248366722"/>
    <n v="805"/>
    <n v="101"/>
    <n v="906"/>
    <n v="769"/>
    <n v="1675"/>
    <n v="130"/>
    <n v="173"/>
    <n v="131"/>
    <n v="95"/>
    <n v="1901"/>
    <n v="20669"/>
  </r>
  <r>
    <x v="30"/>
    <s v="ITA"/>
    <x v="8"/>
    <x v="8"/>
    <n v="4441149315"/>
    <n v="89326992"/>
    <n v="927"/>
    <n v="147"/>
    <n v="1074"/>
    <n v="752"/>
    <n v="1826"/>
    <n v="134"/>
    <n v="189"/>
    <n v="225"/>
    <n v="254"/>
    <n v="2305"/>
    <n v="6602"/>
  </r>
  <r>
    <x v="30"/>
    <s v="ITA"/>
    <x v="9"/>
    <x v="9"/>
    <n v="4546679409"/>
    <n v="9190347404"/>
    <n v="10026"/>
    <n v="1236"/>
    <n v="11262"/>
    <n v="9329"/>
    <n v="20591"/>
    <n v="723"/>
    <n v="1643"/>
    <n v="7281"/>
    <n v="4474"/>
    <n v="32346"/>
    <n v="81666"/>
  </r>
  <r>
    <x v="30"/>
    <s v="ITA"/>
    <x v="10"/>
    <x v="10"/>
    <n v="4361675973"/>
    <n v="135188753"/>
    <n v="938"/>
    <n v="148"/>
    <n v="1086"/>
    <n v="1553"/>
    <n v="2639"/>
    <n v="142"/>
    <n v="198"/>
    <n v="8"/>
    <n v="287"/>
    <n v="2934"/>
    <n v="7896"/>
  </r>
  <r>
    <x v="30"/>
    <s v="ITA"/>
    <x v="11"/>
    <x v="11"/>
    <n v="4155774754"/>
    <n v="1465916051"/>
    <n v="26"/>
    <n v="7"/>
    <n v="33"/>
    <n v="20"/>
    <n v="53"/>
    <n v="-2"/>
    <n v="0"/>
    <n v="12"/>
    <n v="8"/>
    <n v="73"/>
    <n v="580"/>
  </r>
  <r>
    <x v="30"/>
    <s v="ITA"/>
    <x v="12"/>
    <x v="12"/>
    <n v="450732745"/>
    <n v="7680687483"/>
    <n v="2544"/>
    <n v="381"/>
    <n v="2925"/>
    <n v="2631"/>
    <n v="5556"/>
    <n v="432"/>
    <n v="509"/>
    <n v="19"/>
    <n v="449"/>
    <n v="6024"/>
    <n v="16655"/>
  </r>
  <r>
    <x v="30"/>
    <s v="ITA"/>
    <x v="13"/>
    <x v="13"/>
    <n v="4112559576"/>
    <n v="1686736689"/>
    <n v="349"/>
    <n v="64"/>
    <n v="413"/>
    <n v="610"/>
    <n v="1023"/>
    <n v="83"/>
    <n v="88"/>
    <n v="22"/>
    <n v="48"/>
    <n v="1093"/>
    <n v="8223"/>
  </r>
  <r>
    <x v="30"/>
    <s v="ITA"/>
    <x v="14"/>
    <x v="14"/>
    <n v="3921531192"/>
    <n v="9110616306"/>
    <n v="82"/>
    <n v="19"/>
    <n v="101"/>
    <n v="311"/>
    <n v="412"/>
    <n v="17"/>
    <n v="21"/>
    <n v="12"/>
    <n v="18"/>
    <n v="442"/>
    <n v="3019"/>
  </r>
  <r>
    <x v="30"/>
    <s v="ITA"/>
    <x v="15"/>
    <x v="15"/>
    <n v="3811569725"/>
    <n v="133623567"/>
    <n v="259"/>
    <n v="80"/>
    <n v="339"/>
    <n v="597"/>
    <n v="936"/>
    <n v="137"/>
    <n v="148"/>
    <n v="33"/>
    <n v="25"/>
    <n v="994"/>
    <n v="8312"/>
  </r>
  <r>
    <x v="30"/>
    <s v="ITA"/>
    <x v="16"/>
    <x v="16"/>
    <n v="4376923077"/>
    <n v="1125588885"/>
    <n v="999"/>
    <n v="251"/>
    <n v="1250"/>
    <n v="1526"/>
    <n v="2776"/>
    <n v="257"/>
    <n v="273"/>
    <n v="54"/>
    <n v="142"/>
    <n v="2972"/>
    <n v="17868"/>
  </r>
  <r>
    <x v="30"/>
    <s v="ITA"/>
    <x v="2"/>
    <x v="17"/>
    <n v="4606893511"/>
    <n v="1112123097"/>
    <n v="308"/>
    <n v="65"/>
    <n v="373"/>
    <n v="685"/>
    <n v="1058"/>
    <n v="83"/>
    <n v="112"/>
    <n v="90"/>
    <n v="74"/>
    <n v="1222"/>
    <n v="4114"/>
  </r>
  <r>
    <x v="30"/>
    <s v="ITA"/>
    <x v="17"/>
    <x v="18"/>
    <n v="4310675841"/>
    <n v="1238824698"/>
    <n v="123"/>
    <n v="44"/>
    <n v="167"/>
    <n v="519"/>
    <n v="686"/>
    <n v="62"/>
    <n v="62"/>
    <n v="5"/>
    <n v="19"/>
    <n v="710"/>
    <n v="4707"/>
  </r>
  <r>
    <x v="30"/>
    <s v="ITA"/>
    <x v="18"/>
    <x v="19"/>
    <n v="4573750286"/>
    <n v="7320149366"/>
    <n v="70"/>
    <n v="25"/>
    <n v="95"/>
    <n v="280"/>
    <n v="375"/>
    <n v="-4"/>
    <n v="1"/>
    <n v="2"/>
    <n v="24"/>
    <n v="401"/>
    <n v="1200"/>
  </r>
  <r>
    <x v="30"/>
    <s v="ITA"/>
    <x v="19"/>
    <x v="20"/>
    <n v="4543490485"/>
    <n v="1233845213"/>
    <n v="1407"/>
    <n v="316"/>
    <n v="1723"/>
    <n v="4022"/>
    <n v="5745"/>
    <n v="394"/>
    <n v="494"/>
    <n v="439"/>
    <n v="258"/>
    <n v="6442"/>
    <n v="70877"/>
  </r>
  <r>
    <x v="31"/>
    <s v="ITA"/>
    <x v="0"/>
    <x v="0"/>
    <n v="4235122196"/>
    <n v="1339843823"/>
    <n v="280"/>
    <n v="64"/>
    <n v="344"/>
    <n v="516"/>
    <n v="860"/>
    <n v="122"/>
    <n v="133"/>
    <n v="23"/>
    <n v="63"/>
    <n v="946"/>
    <n v="5488"/>
  </r>
  <r>
    <x v="31"/>
    <s v="ITA"/>
    <x v="1"/>
    <x v="1"/>
    <n v="4063947052"/>
    <n v="1580514834"/>
    <n v="22"/>
    <n v="16"/>
    <n v="38"/>
    <n v="95"/>
    <n v="133"/>
    <n v="21"/>
    <n v="21"/>
    <n v="0"/>
    <n v="1"/>
    <n v="134"/>
    <n v="1046"/>
  </r>
  <r>
    <x v="31"/>
    <s v="ITA"/>
    <x v="2"/>
    <x v="2"/>
    <n v="4649933453"/>
    <n v="1135662422"/>
    <n v="223"/>
    <n v="43"/>
    <n v="266"/>
    <n v="525"/>
    <n v="791"/>
    <n v="43"/>
    <n v="48"/>
    <n v="67"/>
    <n v="48"/>
    <n v="906"/>
    <n v="7744"/>
  </r>
  <r>
    <x v="31"/>
    <s v="ITA"/>
    <x v="3"/>
    <x v="3"/>
    <n v="3890597598"/>
    <n v="1659440194"/>
    <n v="101"/>
    <n v="23"/>
    <n v="124"/>
    <n v="248"/>
    <n v="372"/>
    <n v="39"/>
    <n v="42"/>
    <n v="7"/>
    <n v="14"/>
    <n v="393"/>
    <n v="5933"/>
  </r>
  <r>
    <x v="31"/>
    <s v="ITA"/>
    <x v="4"/>
    <x v="4"/>
    <n v="4083956555"/>
    <n v="1425084984"/>
    <n v="448"/>
    <n v="114"/>
    <n v="562"/>
    <n v="607"/>
    <n v="1169"/>
    <n v="97"/>
    <n v="111"/>
    <n v="58"/>
    <n v="83"/>
    <n v="1310"/>
    <n v="8346"/>
  </r>
  <r>
    <x v="31"/>
    <s v="ITA"/>
    <x v="5"/>
    <x v="5"/>
    <n v="4449436681"/>
    <n v="113417208"/>
    <n v="3354"/>
    <n v="301"/>
    <n v="3655"/>
    <n v="5195"/>
    <n v="8850"/>
    <n v="594"/>
    <n v="762"/>
    <n v="792"/>
    <n v="1174"/>
    <n v="10816"/>
    <n v="42395"/>
  </r>
  <r>
    <x v="31"/>
    <s v="ITA"/>
    <x v="6"/>
    <x v="6"/>
    <n v="456494354"/>
    <n v="1376813649"/>
    <n v="212"/>
    <n v="54"/>
    <n v="266"/>
    <n v="688"/>
    <n v="954"/>
    <n v="43"/>
    <n v="84"/>
    <n v="197"/>
    <n v="72"/>
    <n v="1223"/>
    <n v="10721"/>
  </r>
  <r>
    <x v="31"/>
    <s v="ITA"/>
    <x v="7"/>
    <x v="7"/>
    <n v="4189277044"/>
    <n v="1248366722"/>
    <n v="878"/>
    <n v="113"/>
    <n v="991"/>
    <n v="844"/>
    <n v="1835"/>
    <n v="160"/>
    <n v="195"/>
    <n v="155"/>
    <n v="106"/>
    <n v="2096"/>
    <n v="22771"/>
  </r>
  <r>
    <x v="31"/>
    <s v="ITA"/>
    <x v="8"/>
    <x v="8"/>
    <n v="4441149315"/>
    <n v="89326992"/>
    <n v="998"/>
    <n v="154"/>
    <n v="1152"/>
    <n v="875"/>
    <n v="2027"/>
    <n v="201"/>
    <n v="262"/>
    <n v="260"/>
    <n v="280"/>
    <n v="2567"/>
    <n v="7304"/>
  </r>
  <r>
    <x v="31"/>
    <s v="ITA"/>
    <x v="9"/>
    <x v="9"/>
    <n v="4546679409"/>
    <n v="9190347404"/>
    <n v="10681"/>
    <n v="1263"/>
    <n v="11944"/>
    <n v="10245"/>
    <n v="22189"/>
    <n v="1598"/>
    <n v="2543"/>
    <n v="7839"/>
    <n v="4861"/>
    <n v="34889"/>
    <n v="87713"/>
  </r>
  <r>
    <x v="31"/>
    <s v="ITA"/>
    <x v="10"/>
    <x v="10"/>
    <n v="4361675973"/>
    <n v="135188753"/>
    <n v="977"/>
    <n v="166"/>
    <n v="1143"/>
    <n v="1652"/>
    <n v="2795"/>
    <n v="156"/>
    <n v="180"/>
    <n v="9"/>
    <n v="310"/>
    <n v="3114"/>
    <n v="8623"/>
  </r>
  <r>
    <x v="31"/>
    <s v="ITA"/>
    <x v="11"/>
    <x v="11"/>
    <n v="4155774754"/>
    <n v="1465916051"/>
    <n v="27"/>
    <n v="8"/>
    <n v="35"/>
    <n v="46"/>
    <n v="81"/>
    <n v="28"/>
    <n v="30"/>
    <n v="14"/>
    <n v="8"/>
    <n v="103"/>
    <n v="670"/>
  </r>
  <r>
    <x v="31"/>
    <s v="ITA"/>
    <x v="12"/>
    <x v="12"/>
    <n v="450732745"/>
    <n v="7680687483"/>
    <n v="2633"/>
    <n v="408"/>
    <n v="3041"/>
    <n v="2909"/>
    <n v="5950"/>
    <n v="394"/>
    <n v="510"/>
    <n v="135"/>
    <n v="449"/>
    <n v="6534"/>
    <n v="18054"/>
  </r>
  <r>
    <x v="31"/>
    <s v="ITA"/>
    <x v="13"/>
    <x v="13"/>
    <n v="4112559576"/>
    <n v="1686736689"/>
    <n v="480"/>
    <n v="76"/>
    <n v="556"/>
    <n v="539"/>
    <n v="1095"/>
    <n v="72"/>
    <n v="89"/>
    <n v="22"/>
    <n v="65"/>
    <n v="1182"/>
    <n v="9191"/>
  </r>
  <r>
    <x v="31"/>
    <s v="ITA"/>
    <x v="14"/>
    <x v="14"/>
    <n v="3921531192"/>
    <n v="9110616306"/>
    <n v="92"/>
    <n v="20"/>
    <n v="112"/>
    <n v="350"/>
    <n v="462"/>
    <n v="50"/>
    <n v="52"/>
    <n v="13"/>
    <n v="19"/>
    <n v="494"/>
    <n v="3461"/>
  </r>
  <r>
    <x v="31"/>
    <s v="ITA"/>
    <x v="15"/>
    <x v="15"/>
    <n v="3811569725"/>
    <n v="133623567"/>
    <n v="346"/>
    <n v="68"/>
    <n v="414"/>
    <n v="681"/>
    <n v="1095"/>
    <n v="159"/>
    <n v="170"/>
    <n v="36"/>
    <n v="33"/>
    <n v="1164"/>
    <n v="9658"/>
  </r>
  <r>
    <x v="31"/>
    <s v="ITA"/>
    <x v="16"/>
    <x v="16"/>
    <n v="4376923077"/>
    <n v="1125588885"/>
    <n v="1037"/>
    <n v="259"/>
    <n v="1296"/>
    <n v="1677"/>
    <n v="2973"/>
    <n v="197"/>
    <n v="254"/>
    <n v="95"/>
    <n v="158"/>
    <n v="3226"/>
    <n v="20952"/>
  </r>
  <r>
    <x v="31"/>
    <s v="ITA"/>
    <x v="2"/>
    <x v="17"/>
    <n v="4606893511"/>
    <n v="1112123097"/>
    <n v="300"/>
    <n v="66"/>
    <n v="366"/>
    <n v="728"/>
    <n v="1094"/>
    <n v="36"/>
    <n v="75"/>
    <n v="117"/>
    <n v="86"/>
    <n v="1297"/>
    <n v="4600"/>
  </r>
  <r>
    <x v="31"/>
    <s v="ITA"/>
    <x v="17"/>
    <x v="18"/>
    <n v="4310675841"/>
    <n v="1238824698"/>
    <n v="144"/>
    <n v="46"/>
    <n v="190"/>
    <n v="580"/>
    <n v="770"/>
    <n v="84"/>
    <n v="92"/>
    <n v="12"/>
    <n v="20"/>
    <n v="802"/>
    <n v="5428"/>
  </r>
  <r>
    <x v="31"/>
    <s v="ITA"/>
    <x v="18"/>
    <x v="19"/>
    <n v="4573750286"/>
    <n v="7320149366"/>
    <n v="73"/>
    <n v="24"/>
    <n v="97"/>
    <n v="281"/>
    <n v="378"/>
    <n v="3"/>
    <n v="7"/>
    <n v="2"/>
    <n v="28"/>
    <n v="408"/>
    <n v="1203"/>
  </r>
  <r>
    <x v="31"/>
    <s v="ITA"/>
    <x v="19"/>
    <x v="20"/>
    <n v="4543490485"/>
    <n v="1233845213"/>
    <n v="1447"/>
    <n v="326"/>
    <n v="1773"/>
    <n v="4367"/>
    <n v="6140"/>
    <n v="395"/>
    <n v="493"/>
    <n v="508"/>
    <n v="287"/>
    <n v="6935"/>
    <n v="79759"/>
  </r>
  <r>
    <x v="32"/>
    <s v="ITA"/>
    <x v="0"/>
    <x v="0"/>
    <n v="4235122196"/>
    <n v="1339843823"/>
    <n v="289"/>
    <n v="71"/>
    <n v="360"/>
    <n v="565"/>
    <n v="925"/>
    <n v="65"/>
    <n v="71"/>
    <n v="24"/>
    <n v="68"/>
    <n v="1017"/>
    <n v="6109"/>
  </r>
  <r>
    <x v="32"/>
    <s v="ITA"/>
    <x v="1"/>
    <x v="1"/>
    <n v="4063947052"/>
    <n v="1580514834"/>
    <n v="22"/>
    <n v="15"/>
    <n v="37"/>
    <n v="110"/>
    <n v="147"/>
    <n v="14"/>
    <n v="17"/>
    <n v="1"/>
    <n v="3"/>
    <n v="151"/>
    <n v="1254"/>
  </r>
  <r>
    <x v="32"/>
    <s v="ITA"/>
    <x v="2"/>
    <x v="2"/>
    <n v="4649933453"/>
    <n v="1135662422"/>
    <n v="249"/>
    <n v="45"/>
    <n v="294"/>
    <n v="539"/>
    <n v="833"/>
    <n v="42"/>
    <n v="97"/>
    <n v="110"/>
    <n v="60"/>
    <n v="1003"/>
    <n v="8520"/>
  </r>
  <r>
    <x v="32"/>
    <s v="ITA"/>
    <x v="3"/>
    <x v="3"/>
    <n v="3890597598"/>
    <n v="1659440194"/>
    <n v="103"/>
    <n v="22"/>
    <n v="125"/>
    <n v="344"/>
    <n v="469"/>
    <n v="97"/>
    <n v="101"/>
    <n v="7"/>
    <n v="18"/>
    <n v="494"/>
    <n v="6901"/>
  </r>
  <r>
    <x v="32"/>
    <s v="ITA"/>
    <x v="4"/>
    <x v="4"/>
    <n v="4083956555"/>
    <n v="1425084984"/>
    <n v="456"/>
    <n v="113"/>
    <n v="569"/>
    <n v="723"/>
    <n v="1292"/>
    <n v="123"/>
    <n v="144"/>
    <n v="64"/>
    <n v="98"/>
    <n v="1454"/>
    <n v="9613"/>
  </r>
  <r>
    <x v="32"/>
    <s v="ITA"/>
    <x v="5"/>
    <x v="5"/>
    <n v="4449436681"/>
    <n v="113417208"/>
    <n v="3461"/>
    <n v="308"/>
    <n v="3769"/>
    <n v="5592"/>
    <n v="9361"/>
    <n v="511"/>
    <n v="772"/>
    <n v="960"/>
    <n v="1267"/>
    <n v="11588"/>
    <n v="47798"/>
  </r>
  <r>
    <x v="32"/>
    <s v="ITA"/>
    <x v="6"/>
    <x v="6"/>
    <n v="456494354"/>
    <n v="1376813649"/>
    <n v="222"/>
    <n v="57"/>
    <n v="279"/>
    <n v="748"/>
    <n v="1027"/>
    <n v="73"/>
    <n v="94"/>
    <n v="214"/>
    <n v="76"/>
    <n v="1317"/>
    <n v="11841"/>
  </r>
  <r>
    <x v="32"/>
    <s v="ITA"/>
    <x v="7"/>
    <x v="7"/>
    <n v="4189277044"/>
    <n v="1248366722"/>
    <n v="992"/>
    <n v="126"/>
    <n v="1118"/>
    <n v="895"/>
    <n v="2013"/>
    <n v="178"/>
    <n v="199"/>
    <n v="164"/>
    <n v="118"/>
    <n v="2295"/>
    <n v="24106"/>
  </r>
  <r>
    <x v="32"/>
    <s v="ITA"/>
    <x v="8"/>
    <x v="8"/>
    <n v="4441149315"/>
    <n v="89326992"/>
    <n v="1023"/>
    <n v="157"/>
    <n v="1180"/>
    <n v="880"/>
    <n v="2060"/>
    <n v="33"/>
    <n v="129"/>
    <n v="305"/>
    <n v="331"/>
    <n v="2696"/>
    <n v="7804"/>
  </r>
  <r>
    <x v="32"/>
    <s v="ITA"/>
    <x v="9"/>
    <x v="9"/>
    <n v="4546679409"/>
    <n v="9190347404"/>
    <n v="11137"/>
    <n v="1292"/>
    <n v="12429"/>
    <n v="11466"/>
    <n v="23895"/>
    <n v="1706"/>
    <n v="2409"/>
    <n v="8001"/>
    <n v="5402"/>
    <n v="37298"/>
    <n v="95860"/>
  </r>
  <r>
    <x v="32"/>
    <s v="ITA"/>
    <x v="10"/>
    <x v="10"/>
    <n v="4361675973"/>
    <n v="135188753"/>
    <n v="979"/>
    <n v="162"/>
    <n v="1141"/>
    <n v="1709"/>
    <n v="2850"/>
    <n v="55"/>
    <n v="82"/>
    <n v="10"/>
    <n v="336"/>
    <n v="3196"/>
    <n v="9060"/>
  </r>
  <r>
    <x v="32"/>
    <s v="ITA"/>
    <x v="11"/>
    <x v="11"/>
    <n v="4155774754"/>
    <n v="1465916051"/>
    <n v="26"/>
    <n v="9"/>
    <n v="35"/>
    <n v="51"/>
    <n v="86"/>
    <n v="5"/>
    <n v="6"/>
    <n v="14"/>
    <n v="9"/>
    <n v="109"/>
    <n v="710"/>
  </r>
  <r>
    <x v="32"/>
    <s v="ITA"/>
    <x v="12"/>
    <x v="12"/>
    <n v="450732745"/>
    <n v="7680687483"/>
    <n v="2852"/>
    <n v="431"/>
    <n v="3283"/>
    <n v="3064"/>
    <n v="6347"/>
    <n v="397"/>
    <n v="558"/>
    <n v="176"/>
    <n v="569"/>
    <n v="7092"/>
    <n v="19705"/>
  </r>
  <r>
    <x v="32"/>
    <s v="ITA"/>
    <x v="13"/>
    <x v="13"/>
    <n v="4112559576"/>
    <n v="1686736689"/>
    <n v="530"/>
    <n v="82"/>
    <n v="612"/>
    <n v="624"/>
    <n v="1236"/>
    <n v="141"/>
    <n v="152"/>
    <n v="29"/>
    <n v="69"/>
    <n v="1334"/>
    <n v="10233"/>
  </r>
  <r>
    <x v="32"/>
    <s v="ITA"/>
    <x v="14"/>
    <x v="14"/>
    <n v="3921531192"/>
    <n v="9110616306"/>
    <n v="93"/>
    <n v="19"/>
    <n v="112"/>
    <n v="384"/>
    <n v="496"/>
    <n v="34"/>
    <n v="36"/>
    <n v="13"/>
    <n v="21"/>
    <n v="530"/>
    <n v="3801"/>
  </r>
  <r>
    <x v="32"/>
    <s v="ITA"/>
    <x v="15"/>
    <x v="15"/>
    <n v="3811569725"/>
    <n v="133623567"/>
    <n v="425"/>
    <n v="75"/>
    <n v="500"/>
    <n v="658"/>
    <n v="1158"/>
    <n v="63"/>
    <n v="86"/>
    <n v="53"/>
    <n v="39"/>
    <n v="1250"/>
    <n v="11079"/>
  </r>
  <r>
    <x v="32"/>
    <s v="ITA"/>
    <x v="16"/>
    <x v="16"/>
    <n v="4376923077"/>
    <n v="1125588885"/>
    <n v="1053"/>
    <n v="274"/>
    <n v="1327"/>
    <n v="1843"/>
    <n v="3170"/>
    <n v="197"/>
    <n v="224"/>
    <n v="103"/>
    <n v="177"/>
    <n v="3450"/>
    <n v="23746"/>
  </r>
  <r>
    <x v="32"/>
    <s v="ITA"/>
    <x v="2"/>
    <x v="17"/>
    <n v="4606893511"/>
    <n v="1112123097"/>
    <n v="341"/>
    <n v="66"/>
    <n v="407"/>
    <n v="757"/>
    <n v="1164"/>
    <n v="70"/>
    <n v="94"/>
    <n v="125"/>
    <n v="102"/>
    <n v="1391"/>
    <n v="4923"/>
  </r>
  <r>
    <x v="32"/>
    <s v="ITA"/>
    <x v="17"/>
    <x v="18"/>
    <n v="4310675841"/>
    <n v="1238824698"/>
    <n v="149"/>
    <n v="46"/>
    <n v="195"/>
    <n v="629"/>
    <n v="824"/>
    <n v="54"/>
    <n v="82"/>
    <n v="39"/>
    <n v="21"/>
    <n v="884"/>
    <n v="6137"/>
  </r>
  <r>
    <x v="32"/>
    <s v="ITA"/>
    <x v="18"/>
    <x v="19"/>
    <n v="4573750286"/>
    <n v="7320149366"/>
    <n v="91"/>
    <n v="24"/>
    <n v="115"/>
    <n v="298"/>
    <n v="413"/>
    <n v="35"/>
    <n v="44"/>
    <n v="2"/>
    <n v="37"/>
    <n v="452"/>
    <n v="1252"/>
  </r>
  <r>
    <x v="32"/>
    <s v="ITA"/>
    <x v="19"/>
    <x v="20"/>
    <n v="4543490485"/>
    <n v="1233845213"/>
    <n v="1536"/>
    <n v="338"/>
    <n v="1874"/>
    <n v="4774"/>
    <n v="6648"/>
    <n v="508"/>
    <n v="562"/>
    <n v="536"/>
    <n v="313"/>
    <n v="7497"/>
    <n v="83627"/>
  </r>
  <r>
    <x v="33"/>
    <s v="ITA"/>
    <x v="0"/>
    <x v="0"/>
    <n v="4235122196"/>
    <n v="1339843823"/>
    <n v="311"/>
    <n v="70"/>
    <n v="381"/>
    <n v="646"/>
    <n v="1027"/>
    <n v="102"/>
    <n v="116"/>
    <n v="30"/>
    <n v="76"/>
    <n v="1133"/>
    <n v="7003"/>
  </r>
  <r>
    <x v="33"/>
    <s v="ITA"/>
    <x v="1"/>
    <x v="1"/>
    <n v="4063947052"/>
    <n v="1580514834"/>
    <n v="26"/>
    <n v="19"/>
    <n v="45"/>
    <n v="133"/>
    <n v="178"/>
    <n v="31"/>
    <n v="31"/>
    <n v="1"/>
    <n v="3"/>
    <n v="182"/>
    <n v="1421"/>
  </r>
  <r>
    <x v="33"/>
    <s v="ITA"/>
    <x v="2"/>
    <x v="2"/>
    <n v="4649933453"/>
    <n v="1135662422"/>
    <n v="225"/>
    <n v="51"/>
    <n v="276"/>
    <n v="653"/>
    <n v="929"/>
    <n v="96"/>
    <n v="106"/>
    <n v="116"/>
    <n v="64"/>
    <n v="1109"/>
    <n v="9168"/>
  </r>
  <r>
    <x v="33"/>
    <s v="ITA"/>
    <x v="3"/>
    <x v="3"/>
    <n v="3890597598"/>
    <n v="1659440194"/>
    <n v="107"/>
    <n v="22"/>
    <n v="129"/>
    <n v="394"/>
    <n v="523"/>
    <n v="54"/>
    <n v="61"/>
    <n v="11"/>
    <n v="21"/>
    <n v="555"/>
    <n v="7760"/>
  </r>
  <r>
    <x v="33"/>
    <s v="ITA"/>
    <x v="4"/>
    <x v="4"/>
    <n v="4083956555"/>
    <n v="1425084984"/>
    <n v="463"/>
    <n v="132"/>
    <n v="595"/>
    <n v="812"/>
    <n v="1407"/>
    <n v="115"/>
    <n v="138"/>
    <n v="76"/>
    <n v="109"/>
    <n v="1592"/>
    <n v="10616"/>
  </r>
  <r>
    <x v="33"/>
    <s v="ITA"/>
    <x v="5"/>
    <x v="5"/>
    <n v="4449436681"/>
    <n v="113417208"/>
    <n v="3695"/>
    <n v="316"/>
    <n v="4011"/>
    <n v="5953"/>
    <n v="9964"/>
    <n v="603"/>
    <n v="795"/>
    <n v="1075"/>
    <n v="1344"/>
    <n v="12383"/>
    <n v="52991"/>
  </r>
  <r>
    <x v="33"/>
    <s v="ITA"/>
    <x v="6"/>
    <x v="6"/>
    <n v="456494354"/>
    <n v="1376813649"/>
    <n v="223"/>
    <n v="59"/>
    <n v="282"/>
    <n v="838"/>
    <n v="1120"/>
    <n v="93"/>
    <n v="119"/>
    <n v="229"/>
    <n v="87"/>
    <n v="1436"/>
    <n v="12723"/>
  </r>
  <r>
    <x v="33"/>
    <s v="ITA"/>
    <x v="7"/>
    <x v="7"/>
    <n v="4189277044"/>
    <n v="1248366722"/>
    <n v="985"/>
    <n v="133"/>
    <n v="1118"/>
    <n v="1063"/>
    <n v="2181"/>
    <n v="168"/>
    <n v="210"/>
    <n v="200"/>
    <n v="124"/>
    <n v="2505"/>
    <n v="27179"/>
  </r>
  <r>
    <x v="33"/>
    <s v="ITA"/>
    <x v="8"/>
    <x v="8"/>
    <n v="4441149315"/>
    <n v="89326992"/>
    <n v="1031"/>
    <n v="167"/>
    <n v="1198"/>
    <n v="888"/>
    <n v="2086"/>
    <n v="26"/>
    <n v="126"/>
    <n v="378"/>
    <n v="358"/>
    <n v="2822"/>
    <n v="8177"/>
  </r>
  <r>
    <x v="33"/>
    <s v="ITA"/>
    <x v="9"/>
    <x v="9"/>
    <n v="4546679409"/>
    <n v="9190347404"/>
    <n v="11152"/>
    <n v="1319"/>
    <n v="12471"/>
    <n v="12038"/>
    <n v="24509"/>
    <n v="614"/>
    <n v="2117"/>
    <n v="8962"/>
    <n v="5944"/>
    <n v="39415"/>
    <n v="102503"/>
  </r>
  <r>
    <x v="33"/>
    <s v="ITA"/>
    <x v="10"/>
    <x v="10"/>
    <n v="4361675973"/>
    <n v="135188753"/>
    <n v="987"/>
    <n v="166"/>
    <n v="1153"/>
    <n v="1846"/>
    <n v="2999"/>
    <n v="149"/>
    <n v="177"/>
    <n v="10"/>
    <n v="364"/>
    <n v="3373"/>
    <n v="9884"/>
  </r>
  <r>
    <x v="33"/>
    <s v="ITA"/>
    <x v="11"/>
    <x v="11"/>
    <n v="4155774754"/>
    <n v="1465916051"/>
    <n v="26"/>
    <n v="9"/>
    <n v="35"/>
    <n v="63"/>
    <n v="98"/>
    <n v="12"/>
    <n v="14"/>
    <n v="16"/>
    <n v="9"/>
    <n v="123"/>
    <n v="807"/>
  </r>
  <r>
    <x v="33"/>
    <s v="ITA"/>
    <x v="12"/>
    <x v="12"/>
    <n v="450732745"/>
    <n v="7680687483"/>
    <n v="3094"/>
    <n v="439"/>
    <n v="3533"/>
    <n v="3318"/>
    <n v="6851"/>
    <n v="504"/>
    <n v="579"/>
    <n v="203"/>
    <n v="617"/>
    <n v="7671"/>
    <n v="21511"/>
  </r>
  <r>
    <x v="33"/>
    <s v="ITA"/>
    <x v="13"/>
    <x v="13"/>
    <n v="4112559576"/>
    <n v="1686736689"/>
    <n v="563"/>
    <n v="98"/>
    <n v="661"/>
    <n v="697"/>
    <n v="1358"/>
    <n v="122"/>
    <n v="124"/>
    <n v="29"/>
    <n v="71"/>
    <n v="1458"/>
    <n v="11500"/>
  </r>
  <r>
    <x v="33"/>
    <s v="ITA"/>
    <x v="14"/>
    <x v="14"/>
    <n v="3921531192"/>
    <n v="9110616306"/>
    <n v="95"/>
    <n v="22"/>
    <n v="117"/>
    <n v="452"/>
    <n v="569"/>
    <n v="73"/>
    <n v="94"/>
    <n v="29"/>
    <n v="26"/>
    <n v="624"/>
    <n v="4225"/>
  </r>
  <r>
    <x v="33"/>
    <s v="ITA"/>
    <x v="15"/>
    <x v="15"/>
    <n v="3811569725"/>
    <n v="133623567"/>
    <n v="441"/>
    <n v="71"/>
    <n v="512"/>
    <n v="730"/>
    <n v="1242"/>
    <n v="84"/>
    <n v="109"/>
    <n v="60"/>
    <n v="57"/>
    <n v="1359"/>
    <n v="13096"/>
  </r>
  <r>
    <x v="33"/>
    <s v="ITA"/>
    <x v="16"/>
    <x v="16"/>
    <n v="4376923077"/>
    <n v="1125588885"/>
    <n v="1093"/>
    <n v="277"/>
    <n v="1370"/>
    <n v="2141"/>
    <n v="3511"/>
    <n v="341"/>
    <n v="367"/>
    <n v="108"/>
    <n v="198"/>
    <n v="3817"/>
    <n v="25613"/>
  </r>
  <r>
    <x v="33"/>
    <s v="ITA"/>
    <x v="2"/>
    <x v="17"/>
    <n v="4606893511"/>
    <n v="1112123097"/>
    <n v="351"/>
    <n v="72"/>
    <n v="423"/>
    <n v="811"/>
    <n v="1234"/>
    <n v="70"/>
    <n v="114"/>
    <n v="151"/>
    <n v="120"/>
    <n v="1505"/>
    <n v="5561"/>
  </r>
  <r>
    <x v="33"/>
    <s v="ITA"/>
    <x v="17"/>
    <x v="18"/>
    <n v="4310675841"/>
    <n v="1238824698"/>
    <n v="159"/>
    <n v="44"/>
    <n v="203"/>
    <n v="695"/>
    <n v="898"/>
    <n v="74"/>
    <n v="85"/>
    <n v="43"/>
    <n v="28"/>
    <n v="969"/>
    <n v="7028"/>
  </r>
  <r>
    <x v="33"/>
    <s v="ITA"/>
    <x v="18"/>
    <x v="19"/>
    <n v="4573750286"/>
    <n v="7320149366"/>
    <n v="90"/>
    <n v="26"/>
    <n v="116"/>
    <n v="352"/>
    <n v="468"/>
    <n v="55"/>
    <n v="59"/>
    <n v="2"/>
    <n v="41"/>
    <n v="511"/>
    <n v="1380"/>
  </r>
  <r>
    <x v="33"/>
    <s v="ITA"/>
    <x v="19"/>
    <x v="20"/>
    <n v="4543490485"/>
    <n v="1233845213"/>
    <n v="1559"/>
    <n v="344"/>
    <n v="1903"/>
    <n v="5010"/>
    <n v="6913"/>
    <n v="265"/>
    <n v="433"/>
    <n v="655"/>
    <n v="362"/>
    <n v="7930"/>
    <n v="89380"/>
  </r>
  <r>
    <x v="34"/>
    <s v="ITA"/>
    <x v="0"/>
    <x v="0"/>
    <n v="4235122196"/>
    <n v="1339843823"/>
    <n v="329"/>
    <n v="68"/>
    <n v="397"/>
    <n v="772"/>
    <n v="1169"/>
    <n v="142"/>
    <n v="160"/>
    <n v="36"/>
    <n v="88"/>
    <n v="1293"/>
    <n v="7730"/>
  </r>
  <r>
    <x v="34"/>
    <s v="ITA"/>
    <x v="1"/>
    <x v="1"/>
    <n v="4063947052"/>
    <n v="1580514834"/>
    <n v="32"/>
    <n v="18"/>
    <n v="50"/>
    <n v="147"/>
    <n v="197"/>
    <n v="19"/>
    <n v="20"/>
    <n v="1"/>
    <n v="4"/>
    <n v="202"/>
    <n v="1585"/>
  </r>
  <r>
    <x v="34"/>
    <s v="ITA"/>
    <x v="2"/>
    <x v="2"/>
    <n v="4649933453"/>
    <n v="1135662422"/>
    <n v="234"/>
    <n v="56"/>
    <n v="290"/>
    <n v="744"/>
    <n v="1034"/>
    <n v="105"/>
    <n v="105"/>
    <n v="116"/>
    <n v="64"/>
    <n v="1214"/>
    <n v="10137"/>
  </r>
  <r>
    <x v="34"/>
    <s v="ITA"/>
    <x v="3"/>
    <x v="3"/>
    <n v="3890597598"/>
    <n v="1659440194"/>
    <n v="124"/>
    <n v="19"/>
    <n v="143"/>
    <n v="434"/>
    <n v="577"/>
    <n v="54"/>
    <n v="59"/>
    <n v="12"/>
    <n v="25"/>
    <n v="614"/>
    <n v="8485"/>
  </r>
  <r>
    <x v="34"/>
    <s v="ITA"/>
    <x v="4"/>
    <x v="4"/>
    <n v="4083956555"/>
    <n v="1425084984"/>
    <n v="476"/>
    <n v="135"/>
    <n v="611"/>
    <n v="945"/>
    <n v="1556"/>
    <n v="149"/>
    <n v="167"/>
    <n v="86"/>
    <n v="117"/>
    <n v="1759"/>
    <n v="11805"/>
  </r>
  <r>
    <x v="34"/>
    <s v="ITA"/>
    <x v="5"/>
    <x v="5"/>
    <n v="4449436681"/>
    <n v="113417208"/>
    <n v="3769"/>
    <n v="333"/>
    <n v="4102"/>
    <n v="6433"/>
    <n v="10535"/>
    <n v="571"/>
    <n v="736"/>
    <n v="1141"/>
    <n v="1443"/>
    <n v="13119"/>
    <n v="52991"/>
  </r>
  <r>
    <x v="34"/>
    <s v="ITA"/>
    <x v="6"/>
    <x v="6"/>
    <n v="456494354"/>
    <n v="1376813649"/>
    <n v="236"/>
    <n v="60"/>
    <n v="296"/>
    <n v="845"/>
    <n v="1141"/>
    <n v="21"/>
    <n v="44"/>
    <n v="241"/>
    <n v="98"/>
    <n v="1480"/>
    <n v="13397"/>
  </r>
  <r>
    <x v="34"/>
    <s v="ITA"/>
    <x v="7"/>
    <x v="7"/>
    <n v="4189277044"/>
    <n v="1248366722"/>
    <n v="1062"/>
    <n v="133"/>
    <n v="1195"/>
    <n v="1167"/>
    <n v="2362"/>
    <n v="181"/>
    <n v="201"/>
    <n v="208"/>
    <n v="136"/>
    <n v="2706"/>
    <n v="27744"/>
  </r>
  <r>
    <x v="34"/>
    <s v="ITA"/>
    <x v="8"/>
    <x v="8"/>
    <n v="4441149315"/>
    <n v="89326992"/>
    <n v="1077"/>
    <n v="166"/>
    <n v="1243"/>
    <n v="1036"/>
    <n v="2279"/>
    <n v="193"/>
    <n v="254"/>
    <n v="420"/>
    <n v="377"/>
    <n v="3076"/>
    <n v="9100"/>
  </r>
  <r>
    <x v="34"/>
    <s v="ITA"/>
    <x v="9"/>
    <x v="9"/>
    <n v="4546679409"/>
    <n v="9190347404"/>
    <n v="11613"/>
    <n v="1328"/>
    <n v="12941"/>
    <n v="12451"/>
    <n v="25392"/>
    <n v="883"/>
    <n v="1592"/>
    <n v="9255"/>
    <n v="6360"/>
    <n v="41007"/>
    <n v="107398"/>
  </r>
  <r>
    <x v="34"/>
    <s v="ITA"/>
    <x v="10"/>
    <x v="10"/>
    <n v="4361675973"/>
    <n v="135188753"/>
    <n v="1000"/>
    <n v="168"/>
    <n v="1168"/>
    <n v="1992"/>
    <n v="3160"/>
    <n v="161"/>
    <n v="185"/>
    <n v="12"/>
    <n v="386"/>
    <n v="3558"/>
    <n v="10431"/>
  </r>
  <r>
    <x v="34"/>
    <s v="ITA"/>
    <x v="11"/>
    <x v="11"/>
    <n v="4155774754"/>
    <n v="1465916051"/>
    <n v="25"/>
    <n v="9"/>
    <n v="34"/>
    <n v="66"/>
    <n v="100"/>
    <n v="2"/>
    <n v="4"/>
    <n v="18"/>
    <n v="9"/>
    <n v="127"/>
    <n v="918"/>
  </r>
  <r>
    <x v="34"/>
    <s v="ITA"/>
    <x v="12"/>
    <x v="12"/>
    <n v="450732745"/>
    <n v="7680687483"/>
    <n v="2985"/>
    <n v="443"/>
    <n v="3428"/>
    <n v="3840"/>
    <n v="7268"/>
    <n v="417"/>
    <n v="535"/>
    <n v="254"/>
    <n v="684"/>
    <n v="8206"/>
    <n v="24058"/>
  </r>
  <r>
    <x v="34"/>
    <s v="ITA"/>
    <x v="13"/>
    <x v="13"/>
    <n v="4112559576"/>
    <n v="1686736689"/>
    <n v="559"/>
    <n v="99"/>
    <n v="658"/>
    <n v="774"/>
    <n v="1432"/>
    <n v="74"/>
    <n v="91"/>
    <n v="31"/>
    <n v="86"/>
    <n v="1549"/>
    <n v="12361"/>
  </r>
  <r>
    <x v="34"/>
    <s v="ITA"/>
    <x v="14"/>
    <x v="14"/>
    <n v="3921531192"/>
    <n v="9110616306"/>
    <n v="105"/>
    <n v="23"/>
    <n v="128"/>
    <n v="454"/>
    <n v="582"/>
    <n v="13"/>
    <n v="14"/>
    <n v="29"/>
    <n v="27"/>
    <n v="638"/>
    <n v="4598"/>
  </r>
  <r>
    <x v="34"/>
    <s v="ITA"/>
    <x v="15"/>
    <x v="15"/>
    <n v="3811569725"/>
    <n v="133623567"/>
    <n v="451"/>
    <n v="71"/>
    <n v="522"/>
    <n v="808"/>
    <n v="1330"/>
    <n v="88"/>
    <n v="101"/>
    <n v="65"/>
    <n v="65"/>
    <n v="1460"/>
    <n v="13814"/>
  </r>
  <r>
    <x v="34"/>
    <s v="ITA"/>
    <x v="16"/>
    <x v="16"/>
    <n v="4376923077"/>
    <n v="1125588885"/>
    <n v="1111"/>
    <n v="275"/>
    <n v="1386"/>
    <n v="2400"/>
    <n v="3786"/>
    <n v="275"/>
    <n v="305"/>
    <n v="121"/>
    <n v="215"/>
    <n v="4122"/>
    <n v="27579"/>
  </r>
  <r>
    <x v="34"/>
    <s v="ITA"/>
    <x v="2"/>
    <x v="17"/>
    <n v="4606893511"/>
    <n v="1112123097"/>
    <n v="356"/>
    <n v="75"/>
    <n v="431"/>
    <n v="862"/>
    <n v="1293"/>
    <n v="59"/>
    <n v="89"/>
    <n v="172"/>
    <n v="129"/>
    <n v="1594"/>
    <n v="5950"/>
  </r>
  <r>
    <x v="34"/>
    <s v="ITA"/>
    <x v="17"/>
    <x v="18"/>
    <n v="4310675841"/>
    <n v="1238824698"/>
    <n v="166"/>
    <n v="46"/>
    <n v="212"/>
    <n v="685"/>
    <n v="897"/>
    <n v="-1"/>
    <n v="54"/>
    <n v="95"/>
    <n v="31"/>
    <n v="1023"/>
    <n v="7685"/>
  </r>
  <r>
    <x v="34"/>
    <s v="ITA"/>
    <x v="18"/>
    <x v="19"/>
    <n v="4573750286"/>
    <n v="7320149366"/>
    <n v="90"/>
    <n v="26"/>
    <n v="116"/>
    <n v="423"/>
    <n v="539"/>
    <n v="71"/>
    <n v="73"/>
    <n v="2"/>
    <n v="43"/>
    <n v="584"/>
    <n v="1480"/>
  </r>
  <r>
    <x v="34"/>
    <s v="ITA"/>
    <x v="19"/>
    <x v="20"/>
    <n v="4543490485"/>
    <n v="1233845213"/>
    <n v="1586"/>
    <n v="355"/>
    <n v="1941"/>
    <n v="5310"/>
    <n v="7251"/>
    <n v="338"/>
    <n v="428"/>
    <n v="715"/>
    <n v="392"/>
    <n v="8358"/>
    <n v="94784"/>
  </r>
  <r>
    <x v="35"/>
    <s v="ITA"/>
    <x v="0"/>
    <x v="0"/>
    <n v="4235122196"/>
    <n v="1339843823"/>
    <n v="322"/>
    <n v="69"/>
    <n v="391"/>
    <n v="778"/>
    <n v="1169"/>
    <n v="0"/>
    <n v="52"/>
    <n v="74"/>
    <n v="102"/>
    <n v="1345"/>
    <n v="7948"/>
  </r>
  <r>
    <x v="35"/>
    <s v="ITA"/>
    <x v="1"/>
    <x v="1"/>
    <n v="4063947052"/>
    <n v="1580514834"/>
    <n v="36"/>
    <n v="18"/>
    <n v="54"/>
    <n v="154"/>
    <n v="208"/>
    <n v="11"/>
    <n v="12"/>
    <n v="1"/>
    <n v="5"/>
    <n v="214"/>
    <n v="1833"/>
  </r>
  <r>
    <x v="35"/>
    <s v="ITA"/>
    <x v="2"/>
    <x v="2"/>
    <n v="4649933453"/>
    <n v="1135662422"/>
    <n v="231"/>
    <n v="62"/>
    <n v="293"/>
    <n v="805"/>
    <n v="1098"/>
    <n v="64"/>
    <n v="111"/>
    <n v="153"/>
    <n v="74"/>
    <n v="1325"/>
    <n v="10640"/>
  </r>
  <r>
    <x v="35"/>
    <s v="ITA"/>
    <x v="3"/>
    <x v="3"/>
    <n v="3890597598"/>
    <n v="1659440194"/>
    <n v="130"/>
    <n v="18"/>
    <n v="148"/>
    <n v="454"/>
    <n v="602"/>
    <n v="25"/>
    <n v="33"/>
    <n v="14"/>
    <n v="31"/>
    <n v="647"/>
    <n v="9013"/>
  </r>
  <r>
    <x v="35"/>
    <s v="ITA"/>
    <x v="4"/>
    <x v="4"/>
    <n v="4083956555"/>
    <n v="1425084984"/>
    <n v="468"/>
    <n v="126"/>
    <n v="594"/>
    <n v="1145"/>
    <n v="1739"/>
    <n v="183"/>
    <n v="193"/>
    <n v="88"/>
    <n v="125"/>
    <n v="1952"/>
    <n v="12969"/>
  </r>
  <r>
    <x v="35"/>
    <s v="ITA"/>
    <x v="5"/>
    <x v="5"/>
    <n v="4449436681"/>
    <n v="113417208"/>
    <n v="3779"/>
    <n v="351"/>
    <n v="4130"/>
    <n v="6636"/>
    <n v="10766"/>
    <n v="231"/>
    <n v="412"/>
    <n v="1227"/>
    <n v="1538"/>
    <n v="13531"/>
    <n v="50990"/>
  </r>
  <r>
    <x v="35"/>
    <s v="ITA"/>
    <x v="6"/>
    <x v="6"/>
    <n v="456494354"/>
    <n v="1376813649"/>
    <n v="229"/>
    <n v="60"/>
    <n v="289"/>
    <n v="820"/>
    <n v="1109"/>
    <n v="-32"/>
    <n v="21"/>
    <n v="285"/>
    <n v="107"/>
    <n v="1501"/>
    <n v="14003"/>
  </r>
  <r>
    <x v="35"/>
    <s v="ITA"/>
    <x v="7"/>
    <x v="7"/>
    <n v="4189277044"/>
    <n v="1248366722"/>
    <n v="1079"/>
    <n v="154"/>
    <n v="1233"/>
    <n v="1264"/>
    <n v="2497"/>
    <n v="135"/>
    <n v="208"/>
    <n v="267"/>
    <n v="150"/>
    <n v="2914"/>
    <n v="32846"/>
  </r>
  <r>
    <x v="35"/>
    <s v="ITA"/>
    <x v="8"/>
    <x v="8"/>
    <n v="4441149315"/>
    <n v="89326992"/>
    <n v="1142"/>
    <n v="175"/>
    <n v="1317"/>
    <n v="1066"/>
    <n v="2383"/>
    <n v="104"/>
    <n v="141"/>
    <n v="437"/>
    <n v="397"/>
    <n v="3217"/>
    <n v="9677"/>
  </r>
  <r>
    <x v="35"/>
    <s v="ITA"/>
    <x v="9"/>
    <x v="9"/>
    <n v="4546679409"/>
    <n v="9190347404"/>
    <n v="11815"/>
    <n v="1330"/>
    <n v="13145"/>
    <n v="11861"/>
    <n v="25006"/>
    <n v="-386"/>
    <n v="1154"/>
    <n v="10337"/>
    <n v="6818"/>
    <n v="42161"/>
    <n v="111057"/>
  </r>
  <r>
    <x v="35"/>
    <s v="ITA"/>
    <x v="10"/>
    <x v="10"/>
    <n v="4361675973"/>
    <n v="135188753"/>
    <n v="998"/>
    <n v="167"/>
    <n v="1165"/>
    <n v="2086"/>
    <n v="3251"/>
    <n v="91"/>
    <n v="126"/>
    <n v="16"/>
    <n v="417"/>
    <n v="3684"/>
    <n v="10979"/>
  </r>
  <r>
    <x v="35"/>
    <s v="ITA"/>
    <x v="11"/>
    <x v="11"/>
    <n v="4155774754"/>
    <n v="1465916051"/>
    <n v="27"/>
    <n v="8"/>
    <n v="35"/>
    <n v="72"/>
    <n v="107"/>
    <n v="7"/>
    <n v="7"/>
    <n v="18"/>
    <n v="9"/>
    <n v="134"/>
    <n v="955"/>
  </r>
  <r>
    <x v="35"/>
    <s v="ITA"/>
    <x v="12"/>
    <x v="12"/>
    <n v="450732745"/>
    <n v="7680687483"/>
    <n v="2985"/>
    <n v="452"/>
    <n v="3437"/>
    <n v="4218"/>
    <n v="7655"/>
    <n v="387"/>
    <n v="506"/>
    <n v="308"/>
    <n v="749"/>
    <n v="8712"/>
    <n v="25478"/>
  </r>
  <r>
    <x v="35"/>
    <s v="ITA"/>
    <x v="13"/>
    <x v="13"/>
    <n v="4112559576"/>
    <n v="1686736689"/>
    <n v="590"/>
    <n v="106"/>
    <n v="696"/>
    <n v="889"/>
    <n v="1585"/>
    <n v="153"/>
    <n v="163"/>
    <n v="36"/>
    <n v="91"/>
    <n v="1712"/>
    <n v="13117"/>
  </r>
  <r>
    <x v="35"/>
    <s v="ITA"/>
    <x v="14"/>
    <x v="14"/>
    <n v="3921531192"/>
    <n v="9110616306"/>
    <n v="113"/>
    <n v="24"/>
    <n v="137"/>
    <n v="485"/>
    <n v="622"/>
    <n v="40"/>
    <n v="44"/>
    <n v="32"/>
    <n v="28"/>
    <n v="682"/>
    <n v="4993"/>
  </r>
  <r>
    <x v="35"/>
    <s v="ITA"/>
    <x v="15"/>
    <x v="15"/>
    <n v="3811569725"/>
    <n v="133623567"/>
    <n v="484"/>
    <n v="75"/>
    <n v="559"/>
    <n v="849"/>
    <n v="1408"/>
    <n v="78"/>
    <n v="95"/>
    <n v="71"/>
    <n v="76"/>
    <n v="1555"/>
    <n v="14758"/>
  </r>
  <r>
    <x v="35"/>
    <s v="ITA"/>
    <x v="16"/>
    <x v="16"/>
    <n v="4376923077"/>
    <n v="1125588885"/>
    <n v="1116"/>
    <n v="279"/>
    <n v="1395"/>
    <n v="2655"/>
    <n v="4050"/>
    <n v="264"/>
    <n v="290"/>
    <n v="131"/>
    <n v="231"/>
    <n v="4412"/>
    <n v="30099"/>
  </r>
  <r>
    <x v="35"/>
    <s v="ITA"/>
    <x v="2"/>
    <x v="17"/>
    <n v="4606893511"/>
    <n v="1112123097"/>
    <n v="353"/>
    <n v="78"/>
    <n v="431"/>
    <n v="926"/>
    <n v="1357"/>
    <n v="64"/>
    <n v="88"/>
    <n v="178"/>
    <n v="147"/>
    <n v="1682"/>
    <n v="6377"/>
  </r>
  <r>
    <x v="35"/>
    <s v="ITA"/>
    <x v="17"/>
    <x v="18"/>
    <n v="4310675841"/>
    <n v="1238824698"/>
    <n v="173"/>
    <n v="47"/>
    <n v="220"/>
    <n v="614"/>
    <n v="834"/>
    <n v="-63"/>
    <n v="28"/>
    <n v="184"/>
    <n v="33"/>
    <n v="1051"/>
    <n v="8150"/>
  </r>
  <r>
    <x v="35"/>
    <s v="ITA"/>
    <x v="18"/>
    <x v="19"/>
    <n v="4573750286"/>
    <n v="7320149366"/>
    <n v="92"/>
    <n v="26"/>
    <n v="118"/>
    <n v="400"/>
    <n v="518"/>
    <n v="-21"/>
    <n v="0"/>
    <n v="16"/>
    <n v="50"/>
    <n v="584"/>
    <n v="1536"/>
  </r>
  <r>
    <x v="35"/>
    <s v="ITA"/>
    <x v="19"/>
    <x v="20"/>
    <n v="4543490485"/>
    <n v="1233845213"/>
    <n v="1633"/>
    <n v="356"/>
    <n v="1989"/>
    <n v="5575"/>
    <n v="7564"/>
    <n v="313"/>
    <n v="366"/>
    <n v="747"/>
    <n v="413"/>
    <n v="8724"/>
    <n v="99941"/>
  </r>
  <r>
    <x v="36"/>
    <s v="ITA"/>
    <x v="0"/>
    <x v="0"/>
    <n v="4235122196"/>
    <n v="1339843823"/>
    <n v="335"/>
    <n v="73"/>
    <n v="408"/>
    <n v="783"/>
    <n v="1191"/>
    <n v="22"/>
    <n v="56"/>
    <n v="95"/>
    <n v="115"/>
    <n v="1401"/>
    <n v="8758"/>
  </r>
  <r>
    <x v="36"/>
    <s v="ITA"/>
    <x v="1"/>
    <x v="1"/>
    <n v="4063947052"/>
    <n v="1580514834"/>
    <n v="37"/>
    <n v="17"/>
    <n v="54"/>
    <n v="162"/>
    <n v="216"/>
    <n v="8"/>
    <n v="12"/>
    <n v="3"/>
    <n v="7"/>
    <n v="226"/>
    <n v="2043"/>
  </r>
  <r>
    <x v="36"/>
    <s v="ITA"/>
    <x v="2"/>
    <x v="2"/>
    <n v="4649933453"/>
    <n v="1135662422"/>
    <n v="249"/>
    <n v="62"/>
    <n v="311"/>
    <n v="831"/>
    <n v="1142"/>
    <n v="44"/>
    <n v="46"/>
    <n v="153"/>
    <n v="76"/>
    <n v="1371"/>
    <n v="11275"/>
  </r>
  <r>
    <x v="36"/>
    <s v="ITA"/>
    <x v="3"/>
    <x v="3"/>
    <n v="3890597598"/>
    <n v="1659440194"/>
    <n v="132"/>
    <n v="17"/>
    <n v="149"/>
    <n v="457"/>
    <n v="606"/>
    <n v="4"/>
    <n v="12"/>
    <n v="17"/>
    <n v="36"/>
    <n v="659"/>
    <n v="9327"/>
  </r>
  <r>
    <x v="36"/>
    <s v="ITA"/>
    <x v="4"/>
    <x v="4"/>
    <n v="4083956555"/>
    <n v="1425084984"/>
    <n v="501"/>
    <n v="133"/>
    <n v="634"/>
    <n v="1237"/>
    <n v="1871"/>
    <n v="132"/>
    <n v="140"/>
    <n v="88"/>
    <n v="133"/>
    <n v="2092"/>
    <n v="14403"/>
  </r>
  <r>
    <x v="36"/>
    <s v="ITA"/>
    <x v="5"/>
    <x v="5"/>
    <n v="4449436681"/>
    <n v="113417208"/>
    <n v="3765"/>
    <n v="353"/>
    <n v="4118"/>
    <n v="6835"/>
    <n v="10953"/>
    <n v="187"/>
    <n v="543"/>
    <n v="1477"/>
    <n v="1644"/>
    <n v="14074"/>
    <n v="54532"/>
  </r>
  <r>
    <x v="36"/>
    <s v="ITA"/>
    <x v="6"/>
    <x v="6"/>
    <n v="456494354"/>
    <n v="1376813649"/>
    <n v="215"/>
    <n v="60"/>
    <n v="275"/>
    <n v="885"/>
    <n v="1160"/>
    <n v="51"/>
    <n v="92"/>
    <n v="320"/>
    <n v="113"/>
    <n v="1593"/>
    <n v="14899"/>
  </r>
  <r>
    <x v="36"/>
    <s v="ITA"/>
    <x v="7"/>
    <x v="7"/>
    <n v="4189277044"/>
    <n v="1248366722"/>
    <n v="1127"/>
    <n v="173"/>
    <n v="1300"/>
    <n v="1342"/>
    <n v="2642"/>
    <n v="145"/>
    <n v="181"/>
    <n v="291"/>
    <n v="162"/>
    <n v="3095"/>
    <n v="34677"/>
  </r>
  <r>
    <x v="36"/>
    <s v="ITA"/>
    <x v="8"/>
    <x v="8"/>
    <n v="4441149315"/>
    <n v="89326992"/>
    <n v="1153"/>
    <n v="179"/>
    <n v="1332"/>
    <n v="1176"/>
    <n v="2508"/>
    <n v="125"/>
    <n v="199"/>
    <n v="480"/>
    <n v="428"/>
    <n v="3416"/>
    <n v="10376"/>
  </r>
  <r>
    <x v="36"/>
    <s v="ITA"/>
    <x v="9"/>
    <x v="9"/>
    <n v="4546679409"/>
    <n v="9190347404"/>
    <n v="11883"/>
    <n v="1324"/>
    <n v="13207"/>
    <n v="11917"/>
    <n v="25124"/>
    <n v="118"/>
    <n v="1047"/>
    <n v="10885"/>
    <n v="7199"/>
    <n v="43208"/>
    <n v="114640"/>
  </r>
  <r>
    <x v="36"/>
    <s v="ITA"/>
    <x v="10"/>
    <x v="10"/>
    <n v="4361675973"/>
    <n v="135188753"/>
    <n v="946"/>
    <n v="169"/>
    <n v="1115"/>
    <n v="2237"/>
    <n v="3352"/>
    <n v="101"/>
    <n v="141"/>
    <n v="21"/>
    <n v="452"/>
    <n v="3825"/>
    <n v="11724"/>
  </r>
  <r>
    <x v="36"/>
    <s v="ITA"/>
    <x v="11"/>
    <x v="11"/>
    <n v="4155774754"/>
    <n v="1465916051"/>
    <n v="29"/>
    <n v="8"/>
    <n v="37"/>
    <n v="80"/>
    <n v="117"/>
    <n v="10"/>
    <n v="10"/>
    <n v="18"/>
    <n v="9"/>
    <n v="144"/>
    <n v="1049"/>
  </r>
  <r>
    <x v="36"/>
    <s v="ITA"/>
    <x v="12"/>
    <x v="12"/>
    <n v="450732745"/>
    <n v="7680687483"/>
    <n v="3174"/>
    <n v="452"/>
    <n v="3626"/>
    <n v="4456"/>
    <n v="8082"/>
    <n v="427"/>
    <n v="589"/>
    <n v="365"/>
    <n v="854"/>
    <n v="9301"/>
    <n v="27658"/>
  </r>
  <r>
    <x v="36"/>
    <s v="ITA"/>
    <x v="13"/>
    <x v="13"/>
    <n v="4112559576"/>
    <n v="1686736689"/>
    <n v="609"/>
    <n v="105"/>
    <n v="714"/>
    <n v="940"/>
    <n v="1654"/>
    <n v="69"/>
    <n v="91"/>
    <n v="39"/>
    <n v="110"/>
    <n v="1803"/>
    <n v="14073"/>
  </r>
  <r>
    <x v="36"/>
    <s v="ITA"/>
    <x v="14"/>
    <x v="14"/>
    <n v="3921531192"/>
    <n v="9110616306"/>
    <n v="113"/>
    <n v="28"/>
    <n v="141"/>
    <n v="516"/>
    <n v="657"/>
    <n v="35"/>
    <n v="40"/>
    <n v="34"/>
    <n v="31"/>
    <n v="722"/>
    <n v="5257"/>
  </r>
  <r>
    <x v="36"/>
    <s v="ITA"/>
    <x v="15"/>
    <x v="15"/>
    <n v="3811569725"/>
    <n v="133623567"/>
    <n v="503"/>
    <n v="72"/>
    <n v="575"/>
    <n v="917"/>
    <n v="1492"/>
    <n v="84"/>
    <n v="92"/>
    <n v="74"/>
    <n v="81"/>
    <n v="1647"/>
    <n v="15634"/>
  </r>
  <r>
    <x v="36"/>
    <s v="ITA"/>
    <x v="16"/>
    <x v="16"/>
    <n v="4376923077"/>
    <n v="1125588885"/>
    <n v="1120"/>
    <n v="293"/>
    <n v="1413"/>
    <n v="2813"/>
    <n v="4226"/>
    <n v="176"/>
    <n v="196"/>
    <n v="138"/>
    <n v="244"/>
    <n v="4608"/>
    <n v="33165"/>
  </r>
  <r>
    <x v="36"/>
    <s v="ITA"/>
    <x v="2"/>
    <x v="17"/>
    <n v="4606893511"/>
    <n v="1112123097"/>
    <n v="354"/>
    <n v="80"/>
    <n v="434"/>
    <n v="955"/>
    <n v="1389"/>
    <n v="32"/>
    <n v="64"/>
    <n v="193"/>
    <n v="164"/>
    <n v="1746"/>
    <n v="6973"/>
  </r>
  <r>
    <x v="36"/>
    <s v="ITA"/>
    <x v="17"/>
    <x v="18"/>
    <n v="4310675841"/>
    <n v="1238824698"/>
    <n v="176"/>
    <n v="43"/>
    <n v="219"/>
    <n v="632"/>
    <n v="851"/>
    <n v="17"/>
    <n v="27"/>
    <n v="190"/>
    <n v="37"/>
    <n v="1078"/>
    <n v="8685"/>
  </r>
  <r>
    <x v="36"/>
    <s v="ITA"/>
    <x v="18"/>
    <x v="19"/>
    <n v="4573750286"/>
    <n v="7320149366"/>
    <n v="91"/>
    <n v="26"/>
    <n v="117"/>
    <n v="435"/>
    <n v="552"/>
    <n v="34"/>
    <n v="44"/>
    <n v="20"/>
    <n v="56"/>
    <n v="628"/>
    <n v="1582"/>
  </r>
  <r>
    <x v="36"/>
    <s v="ITA"/>
    <x v="19"/>
    <x v="20"/>
    <n v="4543490485"/>
    <n v="1233845213"/>
    <n v="1680"/>
    <n v="356"/>
    <n v="2036"/>
    <n v="5814"/>
    <n v="7850"/>
    <n v="286"/>
    <n v="431"/>
    <n v="828"/>
    <n v="477"/>
    <n v="9155"/>
    <n v="106238"/>
  </r>
  <r>
    <x v="37"/>
    <s v="ITA"/>
    <x v="0"/>
    <x v="0"/>
    <n v="4235122196"/>
    <n v="1339843823"/>
    <n v="342"/>
    <n v="71"/>
    <n v="413"/>
    <n v="798"/>
    <n v="1211"/>
    <n v="20"/>
    <n v="35"/>
    <n v="102"/>
    <n v="123"/>
    <n v="1436"/>
    <n v="9610"/>
  </r>
  <r>
    <x v="37"/>
    <s v="ITA"/>
    <x v="1"/>
    <x v="1"/>
    <n v="4063947052"/>
    <n v="1580514834"/>
    <n v="39"/>
    <n v="15"/>
    <n v="54"/>
    <n v="171"/>
    <n v="225"/>
    <n v="9"/>
    <n v="11"/>
    <n v="3"/>
    <n v="9"/>
    <n v="237"/>
    <n v="2262"/>
  </r>
  <r>
    <x v="37"/>
    <s v="ITA"/>
    <x v="2"/>
    <x v="2"/>
    <n v="4649933453"/>
    <n v="1135662422"/>
    <n v="269"/>
    <n v="57"/>
    <n v="326"/>
    <n v="786"/>
    <n v="1112"/>
    <n v="-30"/>
    <n v="47"/>
    <n v="190"/>
    <n v="116"/>
    <n v="1418"/>
    <n v="11951"/>
  </r>
  <r>
    <x v="37"/>
    <s v="ITA"/>
    <x v="3"/>
    <x v="3"/>
    <n v="3890597598"/>
    <n v="1659440194"/>
    <n v="144"/>
    <n v="16"/>
    <n v="160"/>
    <n v="450"/>
    <n v="610"/>
    <n v="4"/>
    <n v="10"/>
    <n v="21"/>
    <n v="38"/>
    <n v="669"/>
    <n v="9983"/>
  </r>
  <r>
    <x v="37"/>
    <s v="ITA"/>
    <x v="4"/>
    <x v="4"/>
    <n v="4083956555"/>
    <n v="1425084984"/>
    <n v="478"/>
    <n v="129"/>
    <n v="607"/>
    <n v="1369"/>
    <n v="1976"/>
    <n v="105"/>
    <n v="139"/>
    <n v="107"/>
    <n v="148"/>
    <n v="2231"/>
    <n v="15728"/>
  </r>
  <r>
    <x v="37"/>
    <s v="ITA"/>
    <x v="5"/>
    <x v="5"/>
    <n v="4449436681"/>
    <n v="113417208"/>
    <n v="3898"/>
    <n v="359"/>
    <n v="4257"/>
    <n v="7232"/>
    <n v="11489"/>
    <n v="536"/>
    <n v="713"/>
    <n v="1566"/>
    <n v="1732"/>
    <n v="14787"/>
    <n v="58457"/>
  </r>
  <r>
    <x v="37"/>
    <s v="ITA"/>
    <x v="6"/>
    <x v="6"/>
    <n v="456494354"/>
    <n v="1376813649"/>
    <n v="206"/>
    <n v="60"/>
    <n v="266"/>
    <n v="940"/>
    <n v="1206"/>
    <n v="46"/>
    <n v="92"/>
    <n v="357"/>
    <n v="122"/>
    <n v="1685"/>
    <n v="15987"/>
  </r>
  <r>
    <x v="37"/>
    <s v="ITA"/>
    <x v="7"/>
    <x v="7"/>
    <n v="4189277044"/>
    <n v="1248366722"/>
    <n v="1131"/>
    <n v="177"/>
    <n v="1308"/>
    <n v="1450"/>
    <n v="2758"/>
    <n v="116"/>
    <n v="169"/>
    <n v="337"/>
    <n v="169"/>
    <n v="3264"/>
    <n v="35810"/>
  </r>
  <r>
    <x v="37"/>
    <s v="ITA"/>
    <x v="8"/>
    <x v="8"/>
    <n v="4441149315"/>
    <n v="89326992"/>
    <n v="1114"/>
    <n v="179"/>
    <n v="1293"/>
    <n v="1352"/>
    <n v="2645"/>
    <n v="137"/>
    <n v="244"/>
    <n v="555"/>
    <n v="460"/>
    <n v="3660"/>
    <n v="11334"/>
  </r>
  <r>
    <x v="37"/>
    <s v="ITA"/>
    <x v="9"/>
    <x v="9"/>
    <n v="4546679409"/>
    <n v="9190347404"/>
    <n v="11927"/>
    <n v="1342"/>
    <n v="13269"/>
    <n v="12496"/>
    <n v="25765"/>
    <n v="641"/>
    <n v="1565"/>
    <n v="11415"/>
    <n v="7593"/>
    <n v="44773"/>
    <n v="121449"/>
  </r>
  <r>
    <x v="37"/>
    <s v="ITA"/>
    <x v="10"/>
    <x v="10"/>
    <n v="4361675973"/>
    <n v="135188753"/>
    <n v="984"/>
    <n v="168"/>
    <n v="1152"/>
    <n v="2304"/>
    <n v="3456"/>
    <n v="104"/>
    <n v="137"/>
    <n v="29"/>
    <n v="477"/>
    <n v="3962"/>
    <n v="12296"/>
  </r>
  <r>
    <x v="37"/>
    <s v="ITA"/>
    <x v="11"/>
    <x v="11"/>
    <n v="4155774754"/>
    <n v="1465916051"/>
    <n v="32"/>
    <n v="8"/>
    <n v="40"/>
    <n v="91"/>
    <n v="131"/>
    <n v="14"/>
    <n v="16"/>
    <n v="19"/>
    <n v="10"/>
    <n v="160"/>
    <n v="1157"/>
  </r>
  <r>
    <x v="37"/>
    <s v="ITA"/>
    <x v="12"/>
    <x v="12"/>
    <n v="450732745"/>
    <n v="7680687483"/>
    <n v="3146"/>
    <n v="453"/>
    <n v="3599"/>
    <n v="4871"/>
    <n v="8470"/>
    <n v="388"/>
    <n v="494"/>
    <n v="439"/>
    <n v="886"/>
    <n v="9795"/>
    <n v="30060"/>
  </r>
  <r>
    <x v="37"/>
    <s v="ITA"/>
    <x v="13"/>
    <x v="13"/>
    <n v="4112559576"/>
    <n v="1686736689"/>
    <n v="637"/>
    <n v="107"/>
    <n v="744"/>
    <n v="1012"/>
    <n v="1756"/>
    <n v="102"/>
    <n v="143"/>
    <n v="61"/>
    <n v="129"/>
    <n v="1946"/>
    <n v="15209"/>
  </r>
  <r>
    <x v="37"/>
    <s v="ITA"/>
    <x v="14"/>
    <x v="14"/>
    <n v="3921531192"/>
    <n v="9110616306"/>
    <n v="119"/>
    <n v="27"/>
    <n v="146"/>
    <n v="529"/>
    <n v="675"/>
    <n v="18"/>
    <n v="23"/>
    <n v="36"/>
    <n v="34"/>
    <n v="745"/>
    <n v="5501"/>
  </r>
  <r>
    <x v="37"/>
    <s v="ITA"/>
    <x v="15"/>
    <x v="15"/>
    <n v="3811569725"/>
    <n v="133623567"/>
    <n v="496"/>
    <n v="72"/>
    <n v="568"/>
    <n v="976"/>
    <n v="1544"/>
    <n v="52"/>
    <n v="71"/>
    <n v="86"/>
    <n v="88"/>
    <n v="1718"/>
    <n v="16836"/>
  </r>
  <r>
    <x v="37"/>
    <s v="ITA"/>
    <x v="16"/>
    <x v="16"/>
    <n v="4376923077"/>
    <n v="1125588885"/>
    <n v="1120"/>
    <n v="297"/>
    <n v="1417"/>
    <n v="3015"/>
    <n v="4432"/>
    <n v="206"/>
    <n v="259"/>
    <n v="182"/>
    <n v="253"/>
    <n v="4867"/>
    <n v="36575"/>
  </r>
  <r>
    <x v="37"/>
    <s v="ITA"/>
    <x v="2"/>
    <x v="17"/>
    <n v="4606893511"/>
    <n v="1112123097"/>
    <n v="345"/>
    <n v="76"/>
    <n v="421"/>
    <n v="1062"/>
    <n v="1483"/>
    <n v="94"/>
    <n v="124"/>
    <n v="214"/>
    <n v="173"/>
    <n v="1870"/>
    <n v="7675"/>
  </r>
  <r>
    <x v="37"/>
    <s v="ITA"/>
    <x v="17"/>
    <x v="18"/>
    <n v="4310675841"/>
    <n v="1238824698"/>
    <n v="173"/>
    <n v="45"/>
    <n v="218"/>
    <n v="646"/>
    <n v="864"/>
    <n v="13"/>
    <n v="17"/>
    <n v="194"/>
    <n v="37"/>
    <n v="1095"/>
    <n v="9080"/>
  </r>
  <r>
    <x v="37"/>
    <s v="ITA"/>
    <x v="18"/>
    <x v="19"/>
    <n v="4573750286"/>
    <n v="7320149366"/>
    <n v="85"/>
    <n v="27"/>
    <n v="112"/>
    <n v="428"/>
    <n v="540"/>
    <n v="-12"/>
    <n v="3"/>
    <n v="32"/>
    <n v="59"/>
    <n v="631"/>
    <n v="1717"/>
  </r>
  <r>
    <x v="37"/>
    <s v="ITA"/>
    <x v="19"/>
    <x v="20"/>
    <n v="4543490485"/>
    <n v="1233845213"/>
    <n v="1718"/>
    <n v="350"/>
    <n v="2068"/>
    <n v="6156"/>
    <n v="8224"/>
    <n v="374"/>
    <n v="470"/>
    <n v="902"/>
    <n v="499"/>
    <n v="9625"/>
    <n v="112746"/>
  </r>
  <r>
    <x v="38"/>
    <s v="ITA"/>
    <x v="0"/>
    <x v="0"/>
    <n v="4235122196"/>
    <n v="1339843823"/>
    <n v="341"/>
    <n v="75"/>
    <n v="416"/>
    <n v="835"/>
    <n v="1251"/>
    <n v="40"/>
    <n v="61"/>
    <n v="113"/>
    <n v="133"/>
    <n v="1497"/>
    <n v="10647"/>
  </r>
  <r>
    <x v="38"/>
    <s v="ITA"/>
    <x v="1"/>
    <x v="1"/>
    <n v="4063947052"/>
    <n v="1580514834"/>
    <n v="38"/>
    <n v="19"/>
    <n v="57"/>
    <n v="176"/>
    <n v="233"/>
    <n v="8"/>
    <n v="9"/>
    <n v="3"/>
    <n v="10"/>
    <n v="246"/>
    <n v="2427"/>
  </r>
  <r>
    <x v="38"/>
    <s v="ITA"/>
    <x v="2"/>
    <x v="2"/>
    <n v="4649933453"/>
    <n v="1135662422"/>
    <n v="279"/>
    <n v="60"/>
    <n v="339"/>
    <n v="821"/>
    <n v="1160"/>
    <n v="48"/>
    <n v="61"/>
    <n v="190"/>
    <n v="129"/>
    <n v="1479"/>
    <n v="12677"/>
  </r>
  <r>
    <x v="38"/>
    <s v="ITA"/>
    <x v="3"/>
    <x v="3"/>
    <n v="3890597598"/>
    <n v="1659440194"/>
    <n v="163"/>
    <n v="19"/>
    <n v="182"/>
    <n v="445"/>
    <n v="627"/>
    <n v="17"/>
    <n v="22"/>
    <n v="23"/>
    <n v="41"/>
    <n v="691"/>
    <n v="10679"/>
  </r>
  <r>
    <x v="38"/>
    <s v="ITA"/>
    <x v="4"/>
    <x v="4"/>
    <n v="4083956555"/>
    <n v="1425084984"/>
    <n v="503"/>
    <n v="120"/>
    <n v="623"/>
    <n v="1517"/>
    <n v="2140"/>
    <n v="164"/>
    <n v="225"/>
    <n v="149"/>
    <n v="167"/>
    <n v="2456"/>
    <n v="17404"/>
  </r>
  <r>
    <x v="38"/>
    <s v="ITA"/>
    <x v="5"/>
    <x v="5"/>
    <n v="4449436681"/>
    <n v="113417208"/>
    <n v="3944"/>
    <n v="366"/>
    <n v="4310"/>
    <n v="7549"/>
    <n v="11859"/>
    <n v="370"/>
    <n v="546"/>
    <n v="1663"/>
    <n v="1811"/>
    <n v="15333"/>
    <n v="60507"/>
  </r>
  <r>
    <x v="38"/>
    <s v="ITA"/>
    <x v="6"/>
    <x v="6"/>
    <n v="456494354"/>
    <n v="1376813649"/>
    <n v="199"/>
    <n v="60"/>
    <n v="259"/>
    <n v="1035"/>
    <n v="1294"/>
    <n v="88"/>
    <n v="114"/>
    <n v="376"/>
    <n v="129"/>
    <n v="1799"/>
    <n v="17121"/>
  </r>
  <r>
    <x v="38"/>
    <s v="ITA"/>
    <x v="7"/>
    <x v="7"/>
    <n v="4189277044"/>
    <n v="1248366722"/>
    <n v="1169"/>
    <n v="181"/>
    <n v="1350"/>
    <n v="1529"/>
    <n v="2879"/>
    <n v="121"/>
    <n v="169"/>
    <n v="369"/>
    <n v="185"/>
    <n v="3433"/>
    <n v="41575"/>
  </r>
  <r>
    <x v="38"/>
    <s v="ITA"/>
    <x v="8"/>
    <x v="8"/>
    <n v="4441149315"/>
    <n v="89326992"/>
    <n v="1120"/>
    <n v="172"/>
    <n v="1292"/>
    <n v="1368"/>
    <n v="2660"/>
    <n v="15"/>
    <n v="122"/>
    <n v="634"/>
    <n v="488"/>
    <n v="3782"/>
    <n v="12069"/>
  </r>
  <r>
    <x v="38"/>
    <s v="ITA"/>
    <x v="9"/>
    <x v="9"/>
    <n v="4546679409"/>
    <n v="9190347404"/>
    <n v="11762"/>
    <n v="1351"/>
    <n v="13113"/>
    <n v="12763"/>
    <n v="25876"/>
    <n v="111"/>
    <n v="1292"/>
    <n v="12229"/>
    <n v="7960"/>
    <n v="46065"/>
    <n v="128286"/>
  </r>
  <r>
    <x v="38"/>
    <s v="ITA"/>
    <x v="10"/>
    <x v="10"/>
    <n v="4361675973"/>
    <n v="135188753"/>
    <n v="986"/>
    <n v="164"/>
    <n v="1150"/>
    <n v="2405"/>
    <n v="3555"/>
    <n v="99"/>
    <n v="136"/>
    <n v="40"/>
    <n v="503"/>
    <n v="4098"/>
    <n v="12943"/>
  </r>
  <r>
    <x v="38"/>
    <s v="ITA"/>
    <x v="11"/>
    <x v="11"/>
    <n v="4155774754"/>
    <n v="1465916051"/>
    <n v="30"/>
    <n v="8"/>
    <n v="38"/>
    <n v="95"/>
    <n v="133"/>
    <n v="2"/>
    <n v="5"/>
    <n v="21"/>
    <n v="11"/>
    <n v="165"/>
    <n v="1229"/>
  </r>
  <r>
    <x v="38"/>
    <s v="ITA"/>
    <x v="12"/>
    <x v="12"/>
    <n v="450732745"/>
    <n v="7680687483"/>
    <n v="3341"/>
    <n v="453"/>
    <n v="3794"/>
    <n v="5005"/>
    <n v="8799"/>
    <n v="329"/>
    <n v="558"/>
    <n v="571"/>
    <n v="983"/>
    <n v="10353"/>
    <n v="32100"/>
  </r>
  <r>
    <x v="38"/>
    <s v="ITA"/>
    <x v="13"/>
    <x v="13"/>
    <n v="4112559576"/>
    <n v="1686736689"/>
    <n v="645"/>
    <n v="118"/>
    <n v="763"/>
    <n v="1101"/>
    <n v="1864"/>
    <n v="108"/>
    <n v="131"/>
    <n v="69"/>
    <n v="144"/>
    <n v="2077"/>
    <n v="16554"/>
  </r>
  <r>
    <x v="38"/>
    <s v="ITA"/>
    <x v="14"/>
    <x v="14"/>
    <n v="3921531192"/>
    <n v="9110616306"/>
    <n v="117"/>
    <n v="24"/>
    <n v="141"/>
    <n v="577"/>
    <n v="718"/>
    <n v="43"/>
    <n v="49"/>
    <n v="36"/>
    <n v="40"/>
    <n v="794"/>
    <n v="5970"/>
  </r>
  <r>
    <x v="38"/>
    <s v="ITA"/>
    <x v="15"/>
    <x v="15"/>
    <n v="3811569725"/>
    <n v="133623567"/>
    <n v="503"/>
    <n v="73"/>
    <n v="576"/>
    <n v="1030"/>
    <n v="1606"/>
    <n v="62"/>
    <n v="73"/>
    <n v="92"/>
    <n v="93"/>
    <n v="1791"/>
    <n v="17833"/>
  </r>
  <r>
    <x v="38"/>
    <s v="ITA"/>
    <x v="16"/>
    <x v="16"/>
    <n v="4376923077"/>
    <n v="1125588885"/>
    <n v="1135"/>
    <n v="295"/>
    <n v="1430"/>
    <n v="3359"/>
    <n v="4789"/>
    <n v="357"/>
    <n v="406"/>
    <n v="216"/>
    <n v="268"/>
    <n v="5273"/>
    <n v="40724"/>
  </r>
  <r>
    <x v="38"/>
    <s v="ITA"/>
    <x v="2"/>
    <x v="17"/>
    <n v="4606893511"/>
    <n v="1112123097"/>
    <n v="339"/>
    <n v="78"/>
    <n v="417"/>
    <n v="1170"/>
    <n v="1587"/>
    <n v="104"/>
    <n v="133"/>
    <n v="229"/>
    <n v="187"/>
    <n v="2003"/>
    <n v="8496"/>
  </r>
  <r>
    <x v="38"/>
    <s v="ITA"/>
    <x v="17"/>
    <x v="18"/>
    <n v="4310675841"/>
    <n v="1238824698"/>
    <n v="171"/>
    <n v="47"/>
    <n v="218"/>
    <n v="667"/>
    <n v="885"/>
    <n v="21"/>
    <n v="33"/>
    <n v="205"/>
    <n v="38"/>
    <n v="1128"/>
    <n v="9737"/>
  </r>
  <r>
    <x v="38"/>
    <s v="ITA"/>
    <x v="18"/>
    <x v="19"/>
    <n v="4573750286"/>
    <n v="7320149366"/>
    <n v="85"/>
    <n v="25"/>
    <n v="110"/>
    <n v="446"/>
    <n v="556"/>
    <n v="16"/>
    <n v="37"/>
    <n v="49"/>
    <n v="63"/>
    <n v="668"/>
    <n v="1934"/>
  </r>
  <r>
    <x v="38"/>
    <s v="ITA"/>
    <x v="19"/>
    <x v="20"/>
    <n v="4543490485"/>
    <n v="1233845213"/>
    <n v="1670"/>
    <n v="345"/>
    <n v="2015"/>
    <n v="6563"/>
    <n v="8578"/>
    <n v="354"/>
    <n v="486"/>
    <n v="1001"/>
    <n v="532"/>
    <n v="10111"/>
    <n v="120320"/>
  </r>
  <r>
    <x v="39"/>
    <s v="ITA"/>
    <x v="0"/>
    <x v="0"/>
    <n v="4235122196"/>
    <n v="1339843823"/>
    <n v="361"/>
    <n v="76"/>
    <n v="437"/>
    <n v="864"/>
    <n v="1301"/>
    <n v="50"/>
    <n v="66"/>
    <n v="116"/>
    <n v="146"/>
    <n v="1563"/>
    <n v="11890"/>
  </r>
  <r>
    <x v="39"/>
    <s v="ITA"/>
    <x v="1"/>
    <x v="1"/>
    <n v="4063947052"/>
    <n v="1580514834"/>
    <n v="41"/>
    <n v="19"/>
    <n v="60"/>
    <n v="187"/>
    <n v="247"/>
    <n v="14"/>
    <n v="15"/>
    <n v="3"/>
    <n v="11"/>
    <n v="261"/>
    <n v="2622"/>
  </r>
  <r>
    <x v="39"/>
    <s v="ITA"/>
    <x v="2"/>
    <x v="2"/>
    <n v="4649933453"/>
    <n v="1135662422"/>
    <n v="291"/>
    <n v="60"/>
    <n v="351"/>
    <n v="858"/>
    <n v="1209"/>
    <n v="49"/>
    <n v="80"/>
    <n v="211"/>
    <n v="139"/>
    <n v="1559"/>
    <n v="13976"/>
  </r>
  <r>
    <x v="39"/>
    <s v="ITA"/>
    <x v="3"/>
    <x v="3"/>
    <n v="3890597598"/>
    <n v="1659440194"/>
    <n v="183"/>
    <n v="17"/>
    <n v="200"/>
    <n v="462"/>
    <n v="662"/>
    <n v="35"/>
    <n v="42"/>
    <n v="26"/>
    <n v="45"/>
    <n v="733"/>
    <n v="11608"/>
  </r>
  <r>
    <x v="39"/>
    <s v="ITA"/>
    <x v="4"/>
    <x v="4"/>
    <n v="4083956555"/>
    <n v="1425084984"/>
    <n v="532"/>
    <n v="115"/>
    <n v="647"/>
    <n v="1705"/>
    <n v="2352"/>
    <n v="212"/>
    <n v="221"/>
    <n v="144"/>
    <n v="181"/>
    <n v="2677"/>
    <n v="19237"/>
  </r>
  <r>
    <x v="39"/>
    <s v="ITA"/>
    <x v="5"/>
    <x v="5"/>
    <n v="4449436681"/>
    <n v="113417208"/>
    <n v="3915"/>
    <n v="364"/>
    <n v="4279"/>
    <n v="7899"/>
    <n v="12178"/>
    <n v="319"/>
    <n v="599"/>
    <n v="1852"/>
    <n v="1902"/>
    <n v="15932"/>
    <n v="63682"/>
  </r>
  <r>
    <x v="39"/>
    <s v="ITA"/>
    <x v="6"/>
    <x v="6"/>
    <n v="456494354"/>
    <n v="1376813649"/>
    <n v="201"/>
    <n v="61"/>
    <n v="262"/>
    <n v="1062"/>
    <n v="1324"/>
    <n v="30"/>
    <n v="80"/>
    <n v="419"/>
    <n v="136"/>
    <n v="1879"/>
    <n v="19985"/>
  </r>
  <r>
    <x v="39"/>
    <s v="ITA"/>
    <x v="7"/>
    <x v="7"/>
    <n v="4189277044"/>
    <n v="1248366722"/>
    <n v="1194"/>
    <n v="188"/>
    <n v="1382"/>
    <n v="1627"/>
    <n v="3009"/>
    <n v="130"/>
    <n v="167"/>
    <n v="392"/>
    <n v="199"/>
    <n v="3600"/>
    <n v="43776"/>
  </r>
  <r>
    <x v="39"/>
    <s v="ITA"/>
    <x v="8"/>
    <x v="8"/>
    <n v="4441149315"/>
    <n v="89326992"/>
    <n v="1147"/>
    <n v="173"/>
    <n v="1320"/>
    <n v="1426"/>
    <n v="2746"/>
    <n v="86"/>
    <n v="183"/>
    <n v="700"/>
    <n v="519"/>
    <n v="3965"/>
    <n v="12934"/>
  </r>
  <r>
    <x v="39"/>
    <s v="ITA"/>
    <x v="9"/>
    <x v="9"/>
    <n v="4546679409"/>
    <n v="9190347404"/>
    <n v="11802"/>
    <n v="1381"/>
    <n v="13183"/>
    <n v="13006"/>
    <n v="26189"/>
    <n v="313"/>
    <n v="1455"/>
    <n v="13020"/>
    <n v="8311"/>
    <n v="47520"/>
    <n v="135051"/>
  </r>
  <r>
    <x v="39"/>
    <s v="ITA"/>
    <x v="10"/>
    <x v="10"/>
    <n v="4361675973"/>
    <n v="135188753"/>
    <n v="982"/>
    <n v="158"/>
    <n v="1140"/>
    <n v="2491"/>
    <n v="3631"/>
    <n v="76"/>
    <n v="132"/>
    <n v="42"/>
    <n v="557"/>
    <n v="4230"/>
    <n v="13678"/>
  </r>
  <r>
    <x v="39"/>
    <s v="ITA"/>
    <x v="11"/>
    <x v="11"/>
    <n v="4155774754"/>
    <n v="1465916051"/>
    <n v="31"/>
    <n v="8"/>
    <n v="39"/>
    <n v="105"/>
    <n v="144"/>
    <n v="11"/>
    <n v="11"/>
    <n v="21"/>
    <n v="11"/>
    <n v="176"/>
    <n v="1378"/>
  </r>
  <r>
    <x v="39"/>
    <s v="ITA"/>
    <x v="12"/>
    <x v="12"/>
    <n v="450732745"/>
    <n v="7680687483"/>
    <n v="3300"/>
    <n v="452"/>
    <n v="3752"/>
    <n v="5378"/>
    <n v="9130"/>
    <n v="331"/>
    <n v="543"/>
    <n v="723"/>
    <n v="1043"/>
    <n v="10896"/>
    <n v="34281"/>
  </r>
  <r>
    <x v="39"/>
    <s v="ITA"/>
    <x v="13"/>
    <x v="13"/>
    <n v="4112559576"/>
    <n v="1686736689"/>
    <n v="648"/>
    <n v="123"/>
    <n v="771"/>
    <n v="1178"/>
    <n v="1949"/>
    <n v="85"/>
    <n v="105"/>
    <n v="69"/>
    <n v="164"/>
    <n v="2182"/>
    <n v="17924"/>
  </r>
  <r>
    <x v="39"/>
    <s v="ITA"/>
    <x v="14"/>
    <x v="14"/>
    <n v="3921531192"/>
    <n v="9110616306"/>
    <n v="122"/>
    <n v="24"/>
    <n v="146"/>
    <n v="598"/>
    <n v="744"/>
    <n v="26"/>
    <n v="31"/>
    <n v="40"/>
    <n v="41"/>
    <n v="825"/>
    <n v="6478"/>
  </r>
  <r>
    <x v="39"/>
    <s v="ITA"/>
    <x v="15"/>
    <x v="15"/>
    <n v="3811569725"/>
    <n v="133623567"/>
    <n v="535"/>
    <n v="73"/>
    <n v="608"/>
    <n v="1056"/>
    <n v="1664"/>
    <n v="58"/>
    <n v="68"/>
    <n v="94"/>
    <n v="101"/>
    <n v="1859"/>
    <n v="18686"/>
  </r>
  <r>
    <x v="39"/>
    <s v="ITA"/>
    <x v="16"/>
    <x v="16"/>
    <n v="4376923077"/>
    <n v="1125588885"/>
    <n v="1149"/>
    <n v="288"/>
    <n v="1437"/>
    <n v="3472"/>
    <n v="4909"/>
    <n v="120"/>
    <n v="226"/>
    <n v="300"/>
    <n v="290"/>
    <n v="5499"/>
    <n v="44460"/>
  </r>
  <r>
    <x v="39"/>
    <s v="ITA"/>
    <x v="2"/>
    <x v="17"/>
    <n v="4606893511"/>
    <n v="1112123097"/>
    <n v="343"/>
    <n v="80"/>
    <n v="423"/>
    <n v="1236"/>
    <n v="1659"/>
    <n v="72"/>
    <n v="106"/>
    <n v="246"/>
    <n v="204"/>
    <n v="2109"/>
    <n v="8993"/>
  </r>
  <r>
    <x v="39"/>
    <s v="ITA"/>
    <x v="17"/>
    <x v="18"/>
    <n v="4310675841"/>
    <n v="1238824698"/>
    <n v="165"/>
    <n v="48"/>
    <n v="213"/>
    <n v="707"/>
    <n v="920"/>
    <n v="35"/>
    <n v="51"/>
    <n v="220"/>
    <n v="39"/>
    <n v="1179"/>
    <n v="10614"/>
  </r>
  <r>
    <x v="39"/>
    <s v="ITA"/>
    <x v="18"/>
    <x v="19"/>
    <n v="4573750286"/>
    <n v="7320149366"/>
    <n v="85"/>
    <n v="25"/>
    <n v="110"/>
    <n v="450"/>
    <n v="560"/>
    <n v="4"/>
    <n v="51"/>
    <n v="89"/>
    <n v="70"/>
    <n v="719"/>
    <n v="2106"/>
  </r>
  <r>
    <x v="39"/>
    <s v="ITA"/>
    <x v="19"/>
    <x v="20"/>
    <n v="4543490485"/>
    <n v="1233845213"/>
    <n v="1714"/>
    <n v="335"/>
    <n v="2049"/>
    <n v="6812"/>
    <n v="8861"/>
    <n v="283"/>
    <n v="353"/>
    <n v="1031"/>
    <n v="572"/>
    <n v="10464"/>
    <n v="126490"/>
  </r>
  <r>
    <x v="40"/>
    <s v="ITA"/>
    <x v="0"/>
    <x v="0"/>
    <n v="4235122196"/>
    <n v="1339843823"/>
    <n v="354"/>
    <n v="71"/>
    <n v="425"/>
    <n v="931"/>
    <n v="1356"/>
    <n v="55"/>
    <n v="65"/>
    <n v="119"/>
    <n v="153"/>
    <n v="1628"/>
    <n v="12837"/>
  </r>
  <r>
    <x v="40"/>
    <s v="ITA"/>
    <x v="1"/>
    <x v="1"/>
    <n v="4063947052"/>
    <n v="1580514834"/>
    <n v="44"/>
    <n v="19"/>
    <n v="63"/>
    <n v="181"/>
    <n v="244"/>
    <n v="-3"/>
    <n v="3"/>
    <n v="9"/>
    <n v="11"/>
    <n v="264"/>
    <n v="2765"/>
  </r>
  <r>
    <x v="40"/>
    <s v="ITA"/>
    <x v="2"/>
    <x v="2"/>
    <n v="4649933453"/>
    <n v="1135662422"/>
    <n v="291"/>
    <n v="61"/>
    <n v="352"/>
    <n v="849"/>
    <n v="1201"/>
    <n v="-8"/>
    <n v="33"/>
    <n v="245"/>
    <n v="146"/>
    <n v="1592"/>
    <n v="15045"/>
  </r>
  <r>
    <x v="40"/>
    <s v="ITA"/>
    <x v="3"/>
    <x v="3"/>
    <n v="3890597598"/>
    <n v="1659440194"/>
    <n v="178"/>
    <n v="15"/>
    <n v="193"/>
    <n v="469"/>
    <n v="662"/>
    <n v="0"/>
    <n v="8"/>
    <n v="30"/>
    <n v="49"/>
    <n v="741"/>
    <n v="12314"/>
  </r>
  <r>
    <x v="40"/>
    <s v="ITA"/>
    <x v="4"/>
    <x v="4"/>
    <n v="4083956555"/>
    <n v="1425084984"/>
    <n v="567"/>
    <n v="114"/>
    <n v="681"/>
    <n v="1815"/>
    <n v="2496"/>
    <n v="144"/>
    <n v="151"/>
    <n v="146"/>
    <n v="186"/>
    <n v="2828"/>
    <n v="21534"/>
  </r>
  <r>
    <x v="40"/>
    <s v="ITA"/>
    <x v="5"/>
    <x v="5"/>
    <n v="4449436681"/>
    <n v="113417208"/>
    <n v="3859"/>
    <n v="358"/>
    <n v="4217"/>
    <n v="8306"/>
    <n v="12523"/>
    <n v="345"/>
    <n v="608"/>
    <n v="2040"/>
    <n v="1977"/>
    <n v="16540"/>
    <n v="67075"/>
  </r>
  <r>
    <x v="40"/>
    <s v="ITA"/>
    <x v="6"/>
    <x v="6"/>
    <n v="456494354"/>
    <n v="1376813649"/>
    <n v="183"/>
    <n v="50"/>
    <n v="233"/>
    <n v="1103"/>
    <n v="1336"/>
    <n v="12"/>
    <n v="107"/>
    <n v="505"/>
    <n v="145"/>
    <n v="1986"/>
    <n v="21126"/>
  </r>
  <r>
    <x v="40"/>
    <s v="ITA"/>
    <x v="7"/>
    <x v="7"/>
    <n v="4189277044"/>
    <n v="1248366722"/>
    <n v="1236"/>
    <n v="193"/>
    <n v="1429"/>
    <n v="1677"/>
    <n v="3106"/>
    <n v="97"/>
    <n v="157"/>
    <n v="439"/>
    <n v="212"/>
    <n v="3757"/>
    <n v="44624"/>
  </r>
  <r>
    <x v="40"/>
    <s v="ITA"/>
    <x v="8"/>
    <x v="8"/>
    <n v="4441149315"/>
    <n v="89326992"/>
    <n v="1121"/>
    <n v="169"/>
    <n v="1290"/>
    <n v="1604"/>
    <n v="2894"/>
    <n v="148"/>
    <n v="238"/>
    <n v="767"/>
    <n v="542"/>
    <n v="4203"/>
    <n v="14087"/>
  </r>
  <r>
    <x v="40"/>
    <s v="ITA"/>
    <x v="9"/>
    <x v="9"/>
    <n v="4546679409"/>
    <n v="9190347404"/>
    <n v="12002"/>
    <n v="1326"/>
    <n v="13328"/>
    <n v="13892"/>
    <n v="27220"/>
    <n v="1031"/>
    <n v="1598"/>
    <n v="13242"/>
    <n v="8656"/>
    <n v="49118"/>
    <n v="141877"/>
  </r>
  <r>
    <x v="40"/>
    <s v="ITA"/>
    <x v="10"/>
    <x v="10"/>
    <n v="4361675973"/>
    <n v="135188753"/>
    <n v="997"/>
    <n v="153"/>
    <n v="1150"/>
    <n v="2347"/>
    <n v="3497"/>
    <n v="-134"/>
    <n v="111"/>
    <n v="270"/>
    <n v="574"/>
    <n v="4341"/>
    <n v="14472"/>
  </r>
  <r>
    <x v="40"/>
    <s v="ITA"/>
    <x v="11"/>
    <x v="11"/>
    <n v="4155774754"/>
    <n v="1465916051"/>
    <n v="31"/>
    <n v="6"/>
    <n v="37"/>
    <n v="134"/>
    <n v="171"/>
    <n v="27"/>
    <n v="30"/>
    <n v="24"/>
    <n v="11"/>
    <n v="206"/>
    <n v="1504"/>
  </r>
  <r>
    <x v="40"/>
    <s v="ITA"/>
    <x v="12"/>
    <x v="12"/>
    <n v="450732745"/>
    <n v="7680687483"/>
    <n v="3441"/>
    <n v="450"/>
    <n v="3891"/>
    <n v="5802"/>
    <n v="9693"/>
    <n v="563"/>
    <n v="813"/>
    <n v="888"/>
    <n v="1128"/>
    <n v="11709"/>
    <n v="37181"/>
  </r>
  <r>
    <x v="40"/>
    <s v="ITA"/>
    <x v="13"/>
    <x v="13"/>
    <n v="4112559576"/>
    <n v="1686736689"/>
    <n v="627"/>
    <n v="153"/>
    <n v="780"/>
    <n v="1193"/>
    <n v="1973"/>
    <n v="24"/>
    <n v="58"/>
    <n v="94"/>
    <n v="173"/>
    <n v="2240"/>
    <n v="18977"/>
  </r>
  <r>
    <x v="40"/>
    <s v="ITA"/>
    <x v="14"/>
    <x v="14"/>
    <n v="3921531192"/>
    <n v="9110616306"/>
    <n v="123"/>
    <n v="24"/>
    <n v="147"/>
    <n v="642"/>
    <n v="789"/>
    <n v="45"/>
    <n v="49"/>
    <n v="44"/>
    <n v="41"/>
    <n v="874"/>
    <n v="6789"/>
  </r>
  <r>
    <x v="40"/>
    <s v="ITA"/>
    <x v="15"/>
    <x v="15"/>
    <n v="3811569725"/>
    <n v="133623567"/>
    <n v="553"/>
    <n v="74"/>
    <n v="627"/>
    <n v="1099"/>
    <n v="1726"/>
    <n v="62"/>
    <n v="73"/>
    <n v="95"/>
    <n v="111"/>
    <n v="1932"/>
    <n v="19896"/>
  </r>
  <r>
    <x v="40"/>
    <s v="ITA"/>
    <x v="16"/>
    <x v="16"/>
    <n v="4376923077"/>
    <n v="1125588885"/>
    <n v="1129"/>
    <n v="286"/>
    <n v="1415"/>
    <n v="3639"/>
    <n v="5054"/>
    <n v="145"/>
    <n v="172"/>
    <n v="310"/>
    <n v="307"/>
    <n v="5671"/>
    <n v="47886"/>
  </r>
  <r>
    <x v="40"/>
    <s v="ITA"/>
    <x v="2"/>
    <x v="17"/>
    <n v="4606893511"/>
    <n v="1112123097"/>
    <n v="353"/>
    <n v="81"/>
    <n v="434"/>
    <n v="1319"/>
    <n v="1753"/>
    <n v="94"/>
    <n v="111"/>
    <n v="257"/>
    <n v="210"/>
    <n v="2220"/>
    <n v="9863"/>
  </r>
  <r>
    <x v="40"/>
    <s v="ITA"/>
    <x v="17"/>
    <x v="18"/>
    <n v="4310675841"/>
    <n v="1238824698"/>
    <n v="167"/>
    <n v="44"/>
    <n v="211"/>
    <n v="716"/>
    <n v="927"/>
    <n v="7"/>
    <n v="31"/>
    <n v="242"/>
    <n v="41"/>
    <n v="1210"/>
    <n v="11809"/>
  </r>
  <r>
    <x v="40"/>
    <s v="ITA"/>
    <x v="18"/>
    <x v="19"/>
    <n v="4573750286"/>
    <n v="7320149366"/>
    <n v="63"/>
    <n v="23"/>
    <n v="86"/>
    <n v="474"/>
    <n v="560"/>
    <n v="0"/>
    <n v="29"/>
    <n v="106"/>
    <n v="82"/>
    <n v="748"/>
    <n v="2274"/>
  </r>
  <r>
    <x v="40"/>
    <s v="ITA"/>
    <x v="19"/>
    <x v="20"/>
    <n v="4543490485"/>
    <n v="1233845213"/>
    <n v="1691"/>
    <n v="324"/>
    <n v="2015"/>
    <n v="7078"/>
    <n v="9093"/>
    <n v="232"/>
    <n v="360"/>
    <n v="1124"/>
    <n v="607"/>
    <n v="10824"/>
    <n v="133289"/>
  </r>
  <r>
    <x v="41"/>
    <s v="ITA"/>
    <x v="0"/>
    <x v="0"/>
    <n v="4235122196"/>
    <n v="1339843823"/>
    <n v="347"/>
    <n v="67"/>
    <n v="414"/>
    <n v="1006"/>
    <n v="1420"/>
    <n v="64"/>
    <n v="75"/>
    <n v="125"/>
    <n v="158"/>
    <n v="1703"/>
    <n v="13598"/>
  </r>
  <r>
    <x v="41"/>
    <s v="ITA"/>
    <x v="1"/>
    <x v="1"/>
    <n v="4063947052"/>
    <n v="1580514834"/>
    <n v="46"/>
    <n v="18"/>
    <n v="64"/>
    <n v="190"/>
    <n v="254"/>
    <n v="10"/>
    <n v="14"/>
    <n v="11"/>
    <n v="13"/>
    <n v="278"/>
    <n v="2931"/>
  </r>
  <r>
    <x v="41"/>
    <s v="ITA"/>
    <x v="2"/>
    <x v="2"/>
    <n v="4649933453"/>
    <n v="1135662422"/>
    <n v="239"/>
    <n v="53"/>
    <n v="292"/>
    <n v="934"/>
    <n v="1226"/>
    <n v="25"/>
    <n v="52"/>
    <n v="260"/>
    <n v="158"/>
    <n v="1644"/>
    <n v="15723"/>
  </r>
  <r>
    <x v="41"/>
    <s v="ITA"/>
    <x v="3"/>
    <x v="3"/>
    <n v="3890597598"/>
    <n v="1659440194"/>
    <n v="174"/>
    <n v="13"/>
    <n v="187"/>
    <n v="519"/>
    <n v="706"/>
    <n v="44"/>
    <n v="54"/>
    <n v="33"/>
    <n v="56"/>
    <n v="795"/>
    <n v="13077"/>
  </r>
  <r>
    <x v="41"/>
    <s v="ITA"/>
    <x v="4"/>
    <x v="4"/>
    <n v="4083956555"/>
    <n v="1425084984"/>
    <n v="609"/>
    <n v="108"/>
    <n v="717"/>
    <n v="1904"/>
    <n v="2621"/>
    <n v="125"/>
    <n v="132"/>
    <n v="150"/>
    <n v="189"/>
    <n v="2960"/>
    <n v="23139"/>
  </r>
  <r>
    <x v="41"/>
    <s v="ITA"/>
    <x v="5"/>
    <x v="5"/>
    <n v="4449436681"/>
    <n v="113417208"/>
    <n v="3839"/>
    <n v="375"/>
    <n v="4214"/>
    <n v="8623"/>
    <n v="12837"/>
    <n v="314"/>
    <n v="549"/>
    <n v="2201"/>
    <n v="2051"/>
    <n v="17089"/>
    <n v="69986"/>
  </r>
  <r>
    <x v="41"/>
    <s v="ITA"/>
    <x v="6"/>
    <x v="6"/>
    <n v="456494354"/>
    <n v="1376813649"/>
    <n v="185"/>
    <n v="50"/>
    <n v="235"/>
    <n v="1128"/>
    <n v="1363"/>
    <n v="27"/>
    <n v="62"/>
    <n v="531"/>
    <n v="154"/>
    <n v="2048"/>
    <n v="21652"/>
  </r>
  <r>
    <x v="41"/>
    <s v="ITA"/>
    <x v="7"/>
    <x v="7"/>
    <n v="4189277044"/>
    <n v="1248366722"/>
    <n v="1235"/>
    <n v="197"/>
    <n v="1432"/>
    <n v="1754"/>
    <n v="3186"/>
    <n v="80"/>
    <n v="123"/>
    <n v="475"/>
    <n v="219"/>
    <n v="3880"/>
    <n v="44658"/>
  </r>
  <r>
    <x v="41"/>
    <s v="ITA"/>
    <x v="8"/>
    <x v="8"/>
    <n v="4441149315"/>
    <n v="89326992"/>
    <n v="1126"/>
    <n v="165"/>
    <n v="1291"/>
    <n v="1802"/>
    <n v="3093"/>
    <n v="199"/>
    <n v="246"/>
    <n v="800"/>
    <n v="556"/>
    <n v="4449"/>
    <n v="15047"/>
  </r>
  <r>
    <x v="41"/>
    <s v="ITA"/>
    <x v="9"/>
    <x v="9"/>
    <n v="4546679409"/>
    <n v="9190347404"/>
    <n v="12009"/>
    <n v="1317"/>
    <n v="13326"/>
    <n v="14798"/>
    <n v="28124"/>
    <n v="904"/>
    <n v="1337"/>
    <n v="13426"/>
    <n v="8905"/>
    <n v="50455"/>
    <n v="149984"/>
  </r>
  <r>
    <x v="41"/>
    <s v="ITA"/>
    <x v="10"/>
    <x v="10"/>
    <n v="4361675973"/>
    <n v="135188753"/>
    <n v="987"/>
    <n v="151"/>
    <n v="1138"/>
    <n v="2440"/>
    <n v="3578"/>
    <n v="81"/>
    <n v="123"/>
    <n v="287"/>
    <n v="599"/>
    <n v="4464"/>
    <n v="15252"/>
  </r>
  <r>
    <x v="41"/>
    <s v="ITA"/>
    <x v="11"/>
    <x v="11"/>
    <n v="4155774754"/>
    <n v="1465916051"/>
    <n v="33"/>
    <n v="6"/>
    <n v="39"/>
    <n v="148"/>
    <n v="187"/>
    <n v="16"/>
    <n v="18"/>
    <n v="24"/>
    <n v="13"/>
    <n v="224"/>
    <n v="1504"/>
  </r>
  <r>
    <x v="41"/>
    <s v="ITA"/>
    <x v="12"/>
    <x v="12"/>
    <n v="450732745"/>
    <n v="7680687483"/>
    <n v="3472"/>
    <n v="444"/>
    <n v="3916"/>
    <n v="6261"/>
    <n v="10177"/>
    <n v="484"/>
    <n v="653"/>
    <n v="1017"/>
    <n v="1168"/>
    <n v="12362"/>
    <n v="38539"/>
  </r>
  <r>
    <x v="41"/>
    <s v="ITA"/>
    <x v="13"/>
    <x v="13"/>
    <n v="4112559576"/>
    <n v="1686736689"/>
    <n v="574"/>
    <n v="159"/>
    <n v="733"/>
    <n v="1289"/>
    <n v="2022"/>
    <n v="49"/>
    <n v="77"/>
    <n v="113"/>
    <n v="182"/>
    <n v="2317"/>
    <n v="20080"/>
  </r>
  <r>
    <x v="41"/>
    <s v="ITA"/>
    <x v="14"/>
    <x v="14"/>
    <n v="3921531192"/>
    <n v="9110616306"/>
    <n v="126"/>
    <n v="25"/>
    <n v="151"/>
    <n v="664"/>
    <n v="815"/>
    <n v="26"/>
    <n v="33"/>
    <n v="49"/>
    <n v="43"/>
    <n v="907"/>
    <n v="7157"/>
  </r>
  <r>
    <x v="41"/>
    <s v="ITA"/>
    <x v="15"/>
    <x v="15"/>
    <n v="3811569725"/>
    <n v="133623567"/>
    <n v="556"/>
    <n v="76"/>
    <n v="632"/>
    <n v="1142"/>
    <n v="1774"/>
    <n v="48"/>
    <n v="62"/>
    <n v="104"/>
    <n v="116"/>
    <n v="1994"/>
    <n v="21904"/>
  </r>
  <r>
    <x v="41"/>
    <s v="ITA"/>
    <x v="16"/>
    <x v="16"/>
    <n v="4376923077"/>
    <n v="1125588885"/>
    <n v="1111"/>
    <n v="276"/>
    <n v="1387"/>
    <n v="3798"/>
    <n v="5185"/>
    <n v="131"/>
    <n v="176"/>
    <n v="337"/>
    <n v="325"/>
    <n v="5847"/>
    <n v="51006"/>
  </r>
  <r>
    <x v="41"/>
    <s v="ITA"/>
    <x v="2"/>
    <x v="17"/>
    <n v="4606893511"/>
    <n v="1112123097"/>
    <n v="352"/>
    <n v="80"/>
    <n v="432"/>
    <n v="1363"/>
    <n v="1795"/>
    <n v="42"/>
    <n v="65"/>
    <n v="273"/>
    <n v="217"/>
    <n v="2285"/>
    <n v="10476"/>
  </r>
  <r>
    <x v="41"/>
    <s v="ITA"/>
    <x v="17"/>
    <x v="18"/>
    <n v="4310675841"/>
    <n v="1238824698"/>
    <n v="159"/>
    <n v="45"/>
    <n v="204"/>
    <n v="694"/>
    <n v="898"/>
    <n v="-29"/>
    <n v="29"/>
    <n v="298"/>
    <n v="43"/>
    <n v="1239"/>
    <n v="12448"/>
  </r>
  <r>
    <x v="41"/>
    <s v="ITA"/>
    <x v="18"/>
    <x v="19"/>
    <n v="4573750286"/>
    <n v="7320149366"/>
    <n v="96"/>
    <n v="23"/>
    <n v="119"/>
    <n v="457"/>
    <n v="576"/>
    <n v="16"/>
    <n v="34"/>
    <n v="115"/>
    <n v="91"/>
    <n v="782"/>
    <n v="2390"/>
  </r>
  <r>
    <x v="41"/>
    <s v="ITA"/>
    <x v="19"/>
    <x v="20"/>
    <n v="4543490485"/>
    <n v="1233845213"/>
    <n v="1674"/>
    <n v="329"/>
    <n v="2003"/>
    <n v="7406"/>
    <n v="9409"/>
    <n v="316"/>
    <n v="402"/>
    <n v="1186"/>
    <n v="631"/>
    <n v="11226"/>
    <n v="140910"/>
  </r>
  <r>
    <x v="42"/>
    <s v="ITA"/>
    <x v="0"/>
    <x v="0"/>
    <n v="4235122196"/>
    <n v="1339843823"/>
    <n v="340"/>
    <n v="66"/>
    <n v="406"/>
    <n v="1019"/>
    <n v="1425"/>
    <n v="5"/>
    <n v="18"/>
    <n v="127"/>
    <n v="169"/>
    <n v="1721"/>
    <n v="14198"/>
  </r>
  <r>
    <x v="42"/>
    <s v="ITA"/>
    <x v="1"/>
    <x v="1"/>
    <n v="4063947052"/>
    <n v="1580514834"/>
    <n v="46"/>
    <n v="18"/>
    <n v="64"/>
    <n v="198"/>
    <n v="262"/>
    <n v="8"/>
    <n v="9"/>
    <n v="12"/>
    <n v="13"/>
    <n v="287"/>
    <n v="3061"/>
  </r>
  <r>
    <x v="42"/>
    <s v="ITA"/>
    <x v="2"/>
    <x v="2"/>
    <n v="4649933453"/>
    <n v="1135662422"/>
    <n v="245"/>
    <n v="52"/>
    <n v="297"/>
    <n v="963"/>
    <n v="1260"/>
    <n v="34"/>
    <n v="78"/>
    <n v="298"/>
    <n v="164"/>
    <n v="1722"/>
    <n v="16825"/>
  </r>
  <r>
    <x v="42"/>
    <s v="ITA"/>
    <x v="3"/>
    <x v="3"/>
    <n v="3890597598"/>
    <n v="1659440194"/>
    <n v="170"/>
    <n v="14"/>
    <n v="184"/>
    <n v="538"/>
    <n v="722"/>
    <n v="16"/>
    <n v="22"/>
    <n v="37"/>
    <n v="58"/>
    <n v="817"/>
    <n v="13633"/>
  </r>
  <r>
    <x v="42"/>
    <s v="ITA"/>
    <x v="4"/>
    <x v="4"/>
    <n v="4083956555"/>
    <n v="1425084984"/>
    <n v="610"/>
    <n v="101"/>
    <n v="711"/>
    <n v="1987"/>
    <n v="2698"/>
    <n v="77"/>
    <n v="98"/>
    <n v="156"/>
    <n v="204"/>
    <n v="3058"/>
    <n v="24526"/>
  </r>
  <r>
    <x v="42"/>
    <s v="ITA"/>
    <x v="5"/>
    <x v="5"/>
    <n v="4449436681"/>
    <n v="113417208"/>
    <n v="3804"/>
    <n v="372"/>
    <n v="4176"/>
    <n v="8875"/>
    <n v="13051"/>
    <n v="214"/>
    <n v="467"/>
    <n v="2397"/>
    <n v="2108"/>
    <n v="17556"/>
    <n v="72163"/>
  </r>
  <r>
    <x v="42"/>
    <s v="ITA"/>
    <x v="6"/>
    <x v="6"/>
    <n v="456494354"/>
    <n v="1376813649"/>
    <n v="189"/>
    <n v="46"/>
    <n v="235"/>
    <n v="1161"/>
    <n v="1396"/>
    <n v="33"/>
    <n v="55"/>
    <n v="549"/>
    <n v="158"/>
    <n v="2103"/>
    <n v="22272"/>
  </r>
  <r>
    <x v="42"/>
    <s v="ITA"/>
    <x v="7"/>
    <x v="7"/>
    <n v="4189277044"/>
    <n v="1248366722"/>
    <n v="1235"/>
    <n v="197"/>
    <n v="1432"/>
    <n v="1868"/>
    <n v="3300"/>
    <n v="114"/>
    <n v="151"/>
    <n v="502"/>
    <n v="229"/>
    <n v="4031"/>
    <n v="47470"/>
  </r>
  <r>
    <x v="42"/>
    <s v="ITA"/>
    <x v="8"/>
    <x v="8"/>
    <n v="4441149315"/>
    <n v="89326992"/>
    <n v="1141"/>
    <n v="162"/>
    <n v="1303"/>
    <n v="1814"/>
    <n v="3117"/>
    <n v="24"/>
    <n v="100"/>
    <n v="837"/>
    <n v="595"/>
    <n v="4549"/>
    <n v="15533"/>
  </r>
  <r>
    <x v="42"/>
    <s v="ITA"/>
    <x v="9"/>
    <x v="9"/>
    <n v="4546679409"/>
    <n v="9190347404"/>
    <n v="11914"/>
    <n v="1343"/>
    <n v="13257"/>
    <n v="15212"/>
    <n v="28469"/>
    <n v="345"/>
    <n v="1079"/>
    <n v="13863"/>
    <n v="9202"/>
    <n v="51534"/>
    <n v="154989"/>
  </r>
  <r>
    <x v="42"/>
    <s v="ITA"/>
    <x v="10"/>
    <x v="10"/>
    <n v="4361675973"/>
    <n v="135188753"/>
    <n v="1001"/>
    <n v="140"/>
    <n v="1141"/>
    <n v="2565"/>
    <n v="3706"/>
    <n v="128"/>
    <n v="150"/>
    <n v="296"/>
    <n v="612"/>
    <n v="4614"/>
    <n v="15919"/>
  </r>
  <r>
    <x v="42"/>
    <s v="ITA"/>
    <x v="11"/>
    <x v="11"/>
    <n v="4155774754"/>
    <n v="1465916051"/>
    <n v="34"/>
    <n v="5"/>
    <n v="39"/>
    <n v="148"/>
    <n v="187"/>
    <n v="0"/>
    <n v="0"/>
    <n v="24"/>
    <n v="13"/>
    <n v="224"/>
    <n v="1546"/>
  </r>
  <r>
    <x v="42"/>
    <s v="ITA"/>
    <x v="12"/>
    <x v="12"/>
    <n v="450732745"/>
    <n v="7680687483"/>
    <n v="3484"/>
    <n v="438"/>
    <n v="3922"/>
    <n v="6623"/>
    <n v="10545"/>
    <n v="368"/>
    <n v="562"/>
    <n v="1128"/>
    <n v="1251"/>
    <n v="12924"/>
    <n v="41123"/>
  </r>
  <r>
    <x v="42"/>
    <s v="ITA"/>
    <x v="13"/>
    <x v="13"/>
    <n v="4112559576"/>
    <n v="1686736689"/>
    <n v="625"/>
    <n v="97"/>
    <n v="722"/>
    <n v="1393"/>
    <n v="2115"/>
    <n v="93"/>
    <n v="127"/>
    <n v="134"/>
    <n v="195"/>
    <n v="2444"/>
    <n v="22059"/>
  </r>
  <r>
    <x v="42"/>
    <s v="ITA"/>
    <x v="14"/>
    <x v="14"/>
    <n v="3921531192"/>
    <n v="9110616306"/>
    <n v="123"/>
    <n v="26"/>
    <n v="149"/>
    <n v="670"/>
    <n v="819"/>
    <n v="4"/>
    <n v="15"/>
    <n v="56"/>
    <n v="47"/>
    <n v="922"/>
    <n v="7521"/>
  </r>
  <r>
    <x v="42"/>
    <s v="ITA"/>
    <x v="15"/>
    <x v="15"/>
    <n v="3811569725"/>
    <n v="133623567"/>
    <n v="563"/>
    <n v="74"/>
    <n v="637"/>
    <n v="1178"/>
    <n v="1815"/>
    <n v="41"/>
    <n v="52"/>
    <n v="108"/>
    <n v="123"/>
    <n v="2046"/>
    <n v="23464"/>
  </r>
  <r>
    <x v="42"/>
    <s v="ITA"/>
    <x v="16"/>
    <x v="16"/>
    <n v="4376923077"/>
    <n v="1125588885"/>
    <n v="1116"/>
    <n v="279"/>
    <n v="1395"/>
    <n v="3906"/>
    <n v="5301"/>
    <n v="116"/>
    <n v="154"/>
    <n v="350"/>
    <n v="350"/>
    <n v="6001"/>
    <n v="52849"/>
  </r>
  <r>
    <x v="42"/>
    <s v="ITA"/>
    <x v="2"/>
    <x v="17"/>
    <n v="4606893511"/>
    <n v="1112123097"/>
    <n v="354"/>
    <n v="79"/>
    <n v="433"/>
    <n v="1405"/>
    <n v="1838"/>
    <n v="43"/>
    <n v="63"/>
    <n v="280"/>
    <n v="230"/>
    <n v="2348"/>
    <n v="11130"/>
  </r>
  <r>
    <x v="42"/>
    <s v="ITA"/>
    <x v="17"/>
    <x v="18"/>
    <n v="4310675841"/>
    <n v="1238824698"/>
    <n v="159"/>
    <n v="46"/>
    <n v="205"/>
    <n v="667"/>
    <n v="872"/>
    <n v="-26"/>
    <n v="14"/>
    <n v="337"/>
    <n v="44"/>
    <n v="1253"/>
    <n v="12573"/>
  </r>
  <r>
    <x v="42"/>
    <s v="ITA"/>
    <x v="18"/>
    <x v="19"/>
    <n v="4573750286"/>
    <n v="7320149366"/>
    <n v="109"/>
    <n v="21"/>
    <n v="130"/>
    <n v="437"/>
    <n v="567"/>
    <n v="-9"/>
    <n v="23"/>
    <n v="142"/>
    <n v="96"/>
    <n v="805"/>
    <n v="2590"/>
  </r>
  <r>
    <x v="42"/>
    <s v="ITA"/>
    <x v="19"/>
    <x v="20"/>
    <n v="4543490485"/>
    <n v="1233845213"/>
    <n v="1714"/>
    <n v="322"/>
    <n v="2036"/>
    <n v="7686"/>
    <n v="9722"/>
    <n v="313"/>
    <n v="362"/>
    <n v="1204"/>
    <n v="662"/>
    <n v="11588"/>
    <n v="146288"/>
  </r>
  <r>
    <x v="43"/>
    <s v="ITA"/>
    <x v="0"/>
    <x v="0"/>
    <n v="4235122196"/>
    <n v="1339843823"/>
    <n v="337"/>
    <n v="67"/>
    <n v="404"/>
    <n v="1087"/>
    <n v="1491"/>
    <n v="66"/>
    <n v="78"/>
    <n v="136"/>
    <n v="172"/>
    <n v="1799"/>
    <n v="14904"/>
  </r>
  <r>
    <x v="43"/>
    <s v="ITA"/>
    <x v="1"/>
    <x v="1"/>
    <n v="4063947052"/>
    <n v="1580514834"/>
    <n v="47"/>
    <n v="17"/>
    <n v="64"/>
    <n v="201"/>
    <n v="265"/>
    <n v="3"/>
    <n v="4"/>
    <n v="12"/>
    <n v="14"/>
    <n v="291"/>
    <n v="3160"/>
  </r>
  <r>
    <x v="43"/>
    <s v="ITA"/>
    <x v="2"/>
    <x v="2"/>
    <n v="4649933453"/>
    <n v="1135662422"/>
    <n v="325"/>
    <n v="64"/>
    <n v="389"/>
    <n v="912"/>
    <n v="1301"/>
    <n v="41"/>
    <n v="89"/>
    <n v="336"/>
    <n v="174"/>
    <n v="1811"/>
    <n v="17761"/>
  </r>
  <r>
    <x v="43"/>
    <s v="ITA"/>
    <x v="3"/>
    <x v="3"/>
    <n v="3890597598"/>
    <n v="1659440194"/>
    <n v="169"/>
    <n v="14"/>
    <n v="183"/>
    <n v="550"/>
    <n v="733"/>
    <n v="11"/>
    <n v="16"/>
    <n v="40"/>
    <n v="60"/>
    <n v="833"/>
    <n v="14072"/>
  </r>
  <r>
    <x v="43"/>
    <s v="ITA"/>
    <x v="4"/>
    <x v="4"/>
    <n v="4083956555"/>
    <n v="1425084984"/>
    <n v="603"/>
    <n v="103"/>
    <n v="706"/>
    <n v="2059"/>
    <n v="2765"/>
    <n v="67"/>
    <n v="90"/>
    <n v="167"/>
    <n v="216"/>
    <n v="3148"/>
    <n v="25779"/>
  </r>
  <r>
    <x v="43"/>
    <s v="ITA"/>
    <x v="5"/>
    <x v="5"/>
    <n v="4449436681"/>
    <n v="113417208"/>
    <n v="3750"/>
    <n v="366"/>
    <n v="4116"/>
    <n v="8932"/>
    <n v="13048"/>
    <n v="-3"/>
    <n v="269"/>
    <n v="2597"/>
    <n v="2180"/>
    <n v="17825"/>
    <n v="75191"/>
  </r>
  <r>
    <x v="43"/>
    <s v="ITA"/>
    <x v="6"/>
    <x v="6"/>
    <n v="456494354"/>
    <n v="1376813649"/>
    <n v="185"/>
    <n v="44"/>
    <n v="229"/>
    <n v="1150"/>
    <n v="1379"/>
    <n v="-17"/>
    <n v="50"/>
    <n v="610"/>
    <n v="164"/>
    <n v="2153"/>
    <n v="23536"/>
  </r>
  <r>
    <x v="43"/>
    <s v="ITA"/>
    <x v="7"/>
    <x v="7"/>
    <n v="4189277044"/>
    <n v="1248366722"/>
    <n v="1229"/>
    <n v="192"/>
    <n v="1421"/>
    <n v="1944"/>
    <n v="3365"/>
    <n v="65"/>
    <n v="118"/>
    <n v="546"/>
    <n v="238"/>
    <n v="4149"/>
    <n v="48874"/>
  </r>
  <r>
    <x v="43"/>
    <s v="ITA"/>
    <x v="8"/>
    <x v="8"/>
    <n v="4441149315"/>
    <n v="89326992"/>
    <n v="1090"/>
    <n v="156"/>
    <n v="1246"/>
    <n v="1966"/>
    <n v="3212"/>
    <n v="95"/>
    <n v="208"/>
    <n v="925"/>
    <n v="620"/>
    <n v="4757"/>
    <n v="16579"/>
  </r>
  <r>
    <x v="43"/>
    <s v="ITA"/>
    <x v="9"/>
    <x v="9"/>
    <n v="4546679409"/>
    <n v="9190347404"/>
    <n v="11833"/>
    <n v="1305"/>
    <n v="13138"/>
    <n v="15205"/>
    <n v="28343"/>
    <n v="-126"/>
    <n v="791"/>
    <n v="14498"/>
    <n v="9484"/>
    <n v="52325"/>
    <n v="159331"/>
  </r>
  <r>
    <x v="43"/>
    <s v="ITA"/>
    <x v="10"/>
    <x v="10"/>
    <n v="4361675973"/>
    <n v="135188753"/>
    <n v="962"/>
    <n v="139"/>
    <n v="1101"/>
    <n v="2637"/>
    <n v="3738"/>
    <n v="32"/>
    <n v="96"/>
    <n v="342"/>
    <n v="630"/>
    <n v="4710"/>
    <n v="16619"/>
  </r>
  <r>
    <x v="43"/>
    <s v="ITA"/>
    <x v="11"/>
    <x v="11"/>
    <n v="4155774754"/>
    <n v="1465916051"/>
    <n v="35"/>
    <n v="5"/>
    <n v="40"/>
    <n v="145"/>
    <n v="185"/>
    <n v="-2"/>
    <n v="0"/>
    <n v="26"/>
    <n v="13"/>
    <n v="224"/>
    <n v="1581"/>
  </r>
  <r>
    <x v="43"/>
    <s v="ITA"/>
    <x v="12"/>
    <x v="12"/>
    <n v="450732745"/>
    <n v="7680687483"/>
    <n v="3553"/>
    <n v="432"/>
    <n v="3985"/>
    <n v="6719"/>
    <n v="10704"/>
    <n v="159"/>
    <n v="419"/>
    <n v="1320"/>
    <n v="1319"/>
    <n v="13343"/>
    <n v="44121"/>
  </r>
  <r>
    <x v="43"/>
    <s v="ITA"/>
    <x v="13"/>
    <x v="13"/>
    <n v="4112559576"/>
    <n v="1686736689"/>
    <n v="615"/>
    <n v="93"/>
    <n v="708"/>
    <n v="1429"/>
    <n v="2137"/>
    <n v="22"/>
    <n v="70"/>
    <n v="168"/>
    <n v="209"/>
    <n v="2514"/>
    <n v="23149"/>
  </r>
  <r>
    <x v="43"/>
    <s v="ITA"/>
    <x v="14"/>
    <x v="14"/>
    <n v="3921531192"/>
    <n v="9110616306"/>
    <n v="122"/>
    <n v="26"/>
    <n v="148"/>
    <n v="673"/>
    <n v="821"/>
    <n v="2"/>
    <n v="13"/>
    <n v="62"/>
    <n v="52"/>
    <n v="935"/>
    <n v="7680"/>
  </r>
  <r>
    <x v="43"/>
    <s v="ITA"/>
    <x v="15"/>
    <x v="15"/>
    <n v="3811569725"/>
    <n v="133623567"/>
    <n v="562"/>
    <n v="73"/>
    <n v="635"/>
    <n v="1224"/>
    <n v="1859"/>
    <n v="44"/>
    <n v="51"/>
    <n v="113"/>
    <n v="125"/>
    <n v="2097"/>
    <n v="24857"/>
  </r>
  <r>
    <x v="43"/>
    <s v="ITA"/>
    <x v="16"/>
    <x v="16"/>
    <n v="4376923077"/>
    <n v="1125588885"/>
    <n v="1087"/>
    <n v="263"/>
    <n v="1350"/>
    <n v="4077"/>
    <n v="5427"/>
    <n v="126"/>
    <n v="172"/>
    <n v="377"/>
    <n v="369"/>
    <n v="6173"/>
    <n v="56651"/>
  </r>
  <r>
    <x v="43"/>
    <s v="ITA"/>
    <x v="2"/>
    <x v="17"/>
    <n v="4606893511"/>
    <n v="1112123097"/>
    <n v="360"/>
    <n v="78"/>
    <n v="438"/>
    <n v="1452"/>
    <n v="1890"/>
    <n v="52"/>
    <n v="128"/>
    <n v="342"/>
    <n v="244"/>
    <n v="2476"/>
    <n v="12030"/>
  </r>
  <r>
    <x v="43"/>
    <s v="ITA"/>
    <x v="17"/>
    <x v="18"/>
    <n v="4310675841"/>
    <n v="1238824698"/>
    <n v="157"/>
    <n v="41"/>
    <n v="198"/>
    <n v="648"/>
    <n v="846"/>
    <n v="-26"/>
    <n v="10"/>
    <n v="368"/>
    <n v="49"/>
    <n v="1263"/>
    <n v="13274"/>
  </r>
  <r>
    <x v="43"/>
    <s v="ITA"/>
    <x v="18"/>
    <x v="19"/>
    <n v="4573750286"/>
    <n v="7320149366"/>
    <n v="118"/>
    <n v="17"/>
    <n v="135"/>
    <n v="458"/>
    <n v="593"/>
    <n v="26"/>
    <n v="30"/>
    <n v="142"/>
    <n v="100"/>
    <n v="835"/>
    <n v="2754"/>
  </r>
  <r>
    <x v="43"/>
    <s v="ITA"/>
    <x v="19"/>
    <x v="20"/>
    <n v="4543490485"/>
    <n v="1233845213"/>
    <n v="1579"/>
    <n v="297"/>
    <n v="1876"/>
    <n v="8089"/>
    <n v="9965"/>
    <n v="243"/>
    <n v="337"/>
    <n v="1265"/>
    <n v="695"/>
    <n v="11925"/>
    <n v="153542"/>
  </r>
  <r>
    <x v="44"/>
    <s v="ITA"/>
    <x v="0"/>
    <x v="0"/>
    <n v="4235122196"/>
    <n v="1339843823"/>
    <n v="331"/>
    <n v="62"/>
    <n v="393"/>
    <n v="1141"/>
    <n v="1534"/>
    <n v="43"/>
    <n v="60"/>
    <n v="146"/>
    <n v="179"/>
    <n v="1859"/>
    <n v="15846"/>
  </r>
  <r>
    <x v="44"/>
    <s v="ITA"/>
    <x v="1"/>
    <x v="1"/>
    <n v="4063947052"/>
    <n v="1580514834"/>
    <n v="48"/>
    <n v="17"/>
    <n v="65"/>
    <n v="205"/>
    <n v="270"/>
    <n v="5"/>
    <n v="6"/>
    <n v="13"/>
    <n v="14"/>
    <n v="297"/>
    <n v="3296"/>
  </r>
  <r>
    <x v="44"/>
    <s v="ITA"/>
    <x v="2"/>
    <x v="2"/>
    <n v="4649933453"/>
    <n v="1135662422"/>
    <n v="268"/>
    <n v="65"/>
    <n v="333"/>
    <n v="948"/>
    <n v="1281"/>
    <n v="-20"/>
    <n v="24"/>
    <n v="371"/>
    <n v="183"/>
    <n v="1835"/>
    <n v="18865"/>
  </r>
  <r>
    <x v="44"/>
    <s v="ITA"/>
    <x v="3"/>
    <x v="3"/>
    <n v="3890597598"/>
    <n v="1659440194"/>
    <n v="170"/>
    <n v="15"/>
    <n v="185"/>
    <n v="570"/>
    <n v="755"/>
    <n v="22"/>
    <n v="26"/>
    <n v="44"/>
    <n v="60"/>
    <n v="859"/>
    <n v="14977"/>
  </r>
  <r>
    <x v="44"/>
    <s v="ITA"/>
    <x v="4"/>
    <x v="4"/>
    <n v="4083956555"/>
    <n v="1425084984"/>
    <n v="608"/>
    <n v="97"/>
    <n v="705"/>
    <n v="2154"/>
    <n v="2859"/>
    <n v="94"/>
    <n v="120"/>
    <n v="188"/>
    <n v="221"/>
    <n v="3268"/>
    <n v="27784"/>
  </r>
  <r>
    <x v="44"/>
    <s v="ITA"/>
    <x v="5"/>
    <x v="5"/>
    <n v="4449436681"/>
    <n v="113417208"/>
    <n v="3769"/>
    <n v="361"/>
    <n v="4130"/>
    <n v="8980"/>
    <n v="13110"/>
    <n v="62"/>
    <n v="409"/>
    <n v="2890"/>
    <n v="2234"/>
    <n v="18234"/>
    <n v="78367"/>
  </r>
  <r>
    <x v="44"/>
    <s v="ITA"/>
    <x v="6"/>
    <x v="6"/>
    <n v="456494354"/>
    <n v="1376813649"/>
    <n v="162"/>
    <n v="41"/>
    <n v="203"/>
    <n v="1212"/>
    <n v="1415"/>
    <n v="36"/>
    <n v="65"/>
    <n v="634"/>
    <n v="169"/>
    <n v="2218"/>
    <n v="24798"/>
  </r>
  <r>
    <x v="44"/>
    <s v="ITA"/>
    <x v="7"/>
    <x v="7"/>
    <n v="4189277044"/>
    <n v="1248366722"/>
    <n v="1241"/>
    <n v="196"/>
    <n v="1437"/>
    <n v="2011"/>
    <n v="3448"/>
    <n v="83"/>
    <n v="117"/>
    <n v="574"/>
    <n v="244"/>
    <n v="4266"/>
    <n v="55113"/>
  </r>
  <r>
    <x v="44"/>
    <s v="ITA"/>
    <x v="8"/>
    <x v="8"/>
    <n v="4441149315"/>
    <n v="89326992"/>
    <n v="1109"/>
    <n v="153"/>
    <n v="1262"/>
    <n v="1983"/>
    <n v="3245"/>
    <n v="33"/>
    <n v="149"/>
    <n v="1007"/>
    <n v="654"/>
    <n v="4906"/>
    <n v="17521"/>
  </r>
  <r>
    <x v="44"/>
    <s v="ITA"/>
    <x v="9"/>
    <x v="9"/>
    <n v="4546679409"/>
    <n v="9190347404"/>
    <n v="11719"/>
    <n v="1257"/>
    <n v="12976"/>
    <n v="15569"/>
    <n v="28545"/>
    <n v="202"/>
    <n v="1089"/>
    <n v="15147"/>
    <n v="9722"/>
    <n v="53414"/>
    <n v="167557"/>
  </r>
  <r>
    <x v="44"/>
    <s v="ITA"/>
    <x v="10"/>
    <x v="10"/>
    <n v="4361675973"/>
    <n v="135188753"/>
    <n v="974"/>
    <n v="133"/>
    <n v="1107"/>
    <n v="2455"/>
    <n v="3562"/>
    <n v="-176"/>
    <n v="149"/>
    <n v="645"/>
    <n v="652"/>
    <n v="4859"/>
    <n v="17532"/>
  </r>
  <r>
    <x v="44"/>
    <s v="ITA"/>
    <x v="11"/>
    <x v="11"/>
    <n v="4155774754"/>
    <n v="1465916051"/>
    <n v="30"/>
    <n v="4"/>
    <n v="34"/>
    <n v="147"/>
    <n v="181"/>
    <n v="-4"/>
    <n v="2"/>
    <n v="32"/>
    <n v="13"/>
    <n v="226"/>
    <n v="2002"/>
  </r>
  <r>
    <x v="44"/>
    <s v="ITA"/>
    <x v="12"/>
    <x v="12"/>
    <n v="450732745"/>
    <n v="7680687483"/>
    <n v="3493"/>
    <n v="423"/>
    <n v="3916"/>
    <n v="7073"/>
    <n v="10989"/>
    <n v="285"/>
    <n v="540"/>
    <n v="1516"/>
    <n v="1378"/>
    <n v="13883"/>
    <n v="48495"/>
  </r>
  <r>
    <x v="44"/>
    <s v="ITA"/>
    <x v="13"/>
    <x v="13"/>
    <n v="4112559576"/>
    <n v="1686736689"/>
    <n v="639"/>
    <n v="90"/>
    <n v="729"/>
    <n v="1509"/>
    <n v="2238"/>
    <n v="101"/>
    <n v="120"/>
    <n v="177"/>
    <n v="219"/>
    <n v="2634"/>
    <n v="24493"/>
  </r>
  <r>
    <x v="44"/>
    <s v="ITA"/>
    <x v="14"/>
    <x v="14"/>
    <n v="3921531192"/>
    <n v="9110616306"/>
    <n v="112"/>
    <n v="31"/>
    <n v="143"/>
    <n v="697"/>
    <n v="840"/>
    <n v="19"/>
    <n v="40"/>
    <n v="76"/>
    <n v="59"/>
    <n v="975"/>
    <n v="8493"/>
  </r>
  <r>
    <x v="44"/>
    <s v="ITA"/>
    <x v="15"/>
    <x v="15"/>
    <n v="3811569725"/>
    <n v="133623567"/>
    <n v="563"/>
    <n v="65"/>
    <n v="628"/>
    <n v="1265"/>
    <n v="1893"/>
    <n v="34"/>
    <n v="62"/>
    <n v="133"/>
    <n v="133"/>
    <n v="2159"/>
    <n v="27438"/>
  </r>
  <r>
    <x v="44"/>
    <s v="ITA"/>
    <x v="16"/>
    <x v="16"/>
    <n v="4376923077"/>
    <n v="1125588885"/>
    <n v="1066"/>
    <n v="260"/>
    <n v="1326"/>
    <n v="4231"/>
    <n v="5557"/>
    <n v="130"/>
    <n v="206"/>
    <n v="430"/>
    <n v="392"/>
    <n v="6379"/>
    <n v="60985"/>
  </r>
  <r>
    <x v="44"/>
    <s v="ITA"/>
    <x v="2"/>
    <x v="17"/>
    <n v="4606893511"/>
    <n v="1112123097"/>
    <n v="354"/>
    <n v="77"/>
    <n v="431"/>
    <n v="1509"/>
    <n v="1940"/>
    <n v="50"/>
    <n v="126"/>
    <n v="407"/>
    <n v="255"/>
    <n v="2602"/>
    <n v="13258"/>
  </r>
  <r>
    <x v="44"/>
    <s v="ITA"/>
    <x v="17"/>
    <x v="18"/>
    <n v="4310675841"/>
    <n v="1238824698"/>
    <n v="155"/>
    <n v="41"/>
    <n v="196"/>
    <n v="627"/>
    <n v="823"/>
    <n v="-23"/>
    <n v="26"/>
    <n v="416"/>
    <n v="50"/>
    <n v="1289"/>
    <n v="14105"/>
  </r>
  <r>
    <x v="44"/>
    <s v="ITA"/>
    <x v="18"/>
    <x v="19"/>
    <n v="4573750286"/>
    <n v="7320149366"/>
    <n v="120"/>
    <n v="20"/>
    <n v="140"/>
    <n v="466"/>
    <n v="606"/>
    <n v="13"/>
    <n v="15"/>
    <n v="142"/>
    <n v="102"/>
    <n v="850"/>
    <n v="2953"/>
  </r>
  <r>
    <x v="44"/>
    <s v="ITA"/>
    <x v="19"/>
    <x v="20"/>
    <n v="4543490485"/>
    <n v="1233845213"/>
    <n v="1554"/>
    <n v="285"/>
    <n v="1839"/>
    <n v="8332"/>
    <n v="10171"/>
    <n v="206"/>
    <n v="485"/>
    <n v="1503"/>
    <n v="736"/>
    <n v="12410"/>
    <n v="163247"/>
  </r>
  <r>
    <x v="45"/>
    <s v="ITA"/>
    <x v="0"/>
    <x v="0"/>
    <n v="4235122196"/>
    <n v="1339843823"/>
    <n v="306"/>
    <n v="57"/>
    <n v="363"/>
    <n v="1203"/>
    <n v="1566"/>
    <n v="32"/>
    <n v="72"/>
    <n v="171"/>
    <n v="194"/>
    <n v="1931"/>
    <n v="16847"/>
  </r>
  <r>
    <x v="45"/>
    <s v="ITA"/>
    <x v="1"/>
    <x v="1"/>
    <n v="4063947052"/>
    <n v="1580514834"/>
    <n v="50"/>
    <n v="17"/>
    <n v="67"/>
    <n v="208"/>
    <n v="275"/>
    <n v="5"/>
    <n v="6"/>
    <n v="13"/>
    <n v="15"/>
    <n v="303"/>
    <n v="3474"/>
  </r>
  <r>
    <x v="45"/>
    <s v="ITA"/>
    <x v="2"/>
    <x v="2"/>
    <n v="4649933453"/>
    <n v="1135662422"/>
    <n v="263"/>
    <n v="64"/>
    <n v="327"/>
    <n v="988"/>
    <n v="1315"/>
    <n v="34"/>
    <n v="68"/>
    <n v="401"/>
    <n v="187"/>
    <n v="1903"/>
    <n v="19875"/>
  </r>
  <r>
    <x v="45"/>
    <s v="ITA"/>
    <x v="3"/>
    <x v="3"/>
    <n v="3890597598"/>
    <n v="1659440194"/>
    <n v="168"/>
    <n v="15"/>
    <n v="183"/>
    <n v="582"/>
    <n v="765"/>
    <n v="10"/>
    <n v="15"/>
    <n v="48"/>
    <n v="61"/>
    <n v="874"/>
    <n v="15698"/>
  </r>
  <r>
    <x v="45"/>
    <s v="ITA"/>
    <x v="4"/>
    <x v="4"/>
    <n v="4083956555"/>
    <n v="1425084984"/>
    <n v="604"/>
    <n v="94"/>
    <n v="698"/>
    <n v="2175"/>
    <n v="2873"/>
    <n v="14"/>
    <n v="76"/>
    <n v="244"/>
    <n v="227"/>
    <n v="3344"/>
    <n v="29664"/>
  </r>
  <r>
    <x v="45"/>
    <s v="ITA"/>
    <x v="5"/>
    <x v="5"/>
    <n v="4449436681"/>
    <n v="113417208"/>
    <n v="3722"/>
    <n v="355"/>
    <n v="4077"/>
    <n v="9181"/>
    <n v="13258"/>
    <n v="148"/>
    <n v="443"/>
    <n v="3103"/>
    <n v="2316"/>
    <n v="18677"/>
    <n v="81715"/>
  </r>
  <r>
    <x v="45"/>
    <s v="ITA"/>
    <x v="6"/>
    <x v="6"/>
    <n v="456494354"/>
    <n v="1376813649"/>
    <n v="167"/>
    <n v="37"/>
    <n v="204"/>
    <n v="1186"/>
    <n v="1390"/>
    <n v="-25"/>
    <n v="81"/>
    <n v="738"/>
    <n v="171"/>
    <n v="2299"/>
    <n v="26205"/>
  </r>
  <r>
    <x v="45"/>
    <s v="ITA"/>
    <x v="7"/>
    <x v="7"/>
    <n v="4189277044"/>
    <n v="1248366722"/>
    <n v="1244"/>
    <n v="198"/>
    <n v="1442"/>
    <n v="2090"/>
    <n v="3532"/>
    <n v="84"/>
    <n v="163"/>
    <n v="644"/>
    <n v="253"/>
    <n v="4429"/>
    <n v="58107"/>
  </r>
  <r>
    <x v="45"/>
    <s v="ITA"/>
    <x v="8"/>
    <x v="8"/>
    <n v="4441149315"/>
    <n v="89326992"/>
    <n v="1103"/>
    <n v="154"/>
    <n v="1257"/>
    <n v="1996"/>
    <n v="3253"/>
    <n v="8"/>
    <n v="114"/>
    <n v="1085"/>
    <n v="682"/>
    <n v="5020"/>
    <n v="18446"/>
  </r>
  <r>
    <x v="45"/>
    <s v="ITA"/>
    <x v="9"/>
    <x v="9"/>
    <n v="4546679409"/>
    <n v="9190347404"/>
    <n v="11796"/>
    <n v="1236"/>
    <n v="13032"/>
    <n v="16042"/>
    <n v="29074"/>
    <n v="529"/>
    <n v="1388"/>
    <n v="15706"/>
    <n v="10022"/>
    <n v="54802"/>
    <n v="176953"/>
  </r>
  <r>
    <x v="45"/>
    <s v="ITA"/>
    <x v="10"/>
    <x v="10"/>
    <n v="4361675973"/>
    <n v="135188753"/>
    <n v="945"/>
    <n v="133"/>
    <n v="1078"/>
    <n v="2323"/>
    <n v="3401"/>
    <n v="-161"/>
    <n v="96"/>
    <n v="885"/>
    <n v="669"/>
    <n v="4955"/>
    <n v="18194"/>
  </r>
  <r>
    <x v="45"/>
    <s v="ITA"/>
    <x v="11"/>
    <x v="11"/>
    <n v="4155774754"/>
    <n v="1465916051"/>
    <n v="30"/>
    <n v="4"/>
    <n v="34"/>
    <n v="155"/>
    <n v="189"/>
    <n v="8"/>
    <n v="8"/>
    <n v="32"/>
    <n v="13"/>
    <n v="234"/>
    <n v="2069"/>
  </r>
  <r>
    <x v="45"/>
    <s v="ITA"/>
    <x v="12"/>
    <x v="12"/>
    <n v="450732745"/>
    <n v="7680687483"/>
    <n v="3514"/>
    <n v="412"/>
    <n v="3926"/>
    <n v="7410"/>
    <n v="11336"/>
    <n v="347"/>
    <n v="639"/>
    <n v="1732"/>
    <n v="1454"/>
    <n v="14522"/>
    <n v="52807"/>
  </r>
  <r>
    <x v="45"/>
    <s v="ITA"/>
    <x v="13"/>
    <x v="13"/>
    <n v="4112559576"/>
    <n v="1686736689"/>
    <n v="630"/>
    <n v="86"/>
    <n v="716"/>
    <n v="1585"/>
    <n v="2301"/>
    <n v="63"/>
    <n v="82"/>
    <n v="190"/>
    <n v="225"/>
    <n v="2716"/>
    <n v="26088"/>
  </r>
  <r>
    <x v="45"/>
    <s v="ITA"/>
    <x v="14"/>
    <x v="14"/>
    <n v="3921531192"/>
    <n v="9110616306"/>
    <n v="106"/>
    <n v="25"/>
    <n v="131"/>
    <n v="745"/>
    <n v="876"/>
    <n v="36"/>
    <n v="51"/>
    <n v="86"/>
    <n v="64"/>
    <n v="1026"/>
    <n v="8918"/>
  </r>
  <r>
    <x v="45"/>
    <s v="ITA"/>
    <x v="15"/>
    <x v="15"/>
    <n v="3811569725"/>
    <n v="133623567"/>
    <n v="566"/>
    <n v="63"/>
    <n v="629"/>
    <n v="1313"/>
    <n v="1942"/>
    <n v="49"/>
    <n v="73"/>
    <n v="152"/>
    <n v="138"/>
    <n v="2232"/>
    <n v="28742"/>
  </r>
  <r>
    <x v="45"/>
    <s v="ITA"/>
    <x v="16"/>
    <x v="16"/>
    <n v="4376923077"/>
    <n v="1125588885"/>
    <n v="1038"/>
    <n v="256"/>
    <n v="1294"/>
    <n v="4409"/>
    <n v="5703"/>
    <n v="146"/>
    <n v="173"/>
    <n v="441"/>
    <n v="408"/>
    <n v="6552"/>
    <n v="65461"/>
  </r>
  <r>
    <x v="45"/>
    <s v="ITA"/>
    <x v="2"/>
    <x v="17"/>
    <n v="4606893511"/>
    <n v="1112123097"/>
    <n v="345"/>
    <n v="69"/>
    <n v="414"/>
    <n v="1564"/>
    <n v="1978"/>
    <n v="38"/>
    <n v="106"/>
    <n v="462"/>
    <n v="268"/>
    <n v="2708"/>
    <n v="14338"/>
  </r>
  <r>
    <x v="45"/>
    <s v="ITA"/>
    <x v="17"/>
    <x v="18"/>
    <n v="4310675841"/>
    <n v="1238824698"/>
    <n v="154"/>
    <n v="38"/>
    <n v="192"/>
    <n v="600"/>
    <n v="792"/>
    <n v="-31"/>
    <n v="9"/>
    <n v="455"/>
    <n v="51"/>
    <n v="1298"/>
    <n v="15170"/>
  </r>
  <r>
    <x v="45"/>
    <s v="ITA"/>
    <x v="18"/>
    <x v="19"/>
    <n v="4573750286"/>
    <n v="7320149366"/>
    <n v="118"/>
    <n v="18"/>
    <n v="136"/>
    <n v="473"/>
    <n v="609"/>
    <n v="3"/>
    <n v="18"/>
    <n v="154"/>
    <n v="105"/>
    <n v="868"/>
    <n v="3142"/>
  </r>
  <r>
    <x v="45"/>
    <s v="ITA"/>
    <x v="19"/>
    <x v="20"/>
    <n v="4543490485"/>
    <n v="1233845213"/>
    <n v="1530"/>
    <n v="274"/>
    <n v="1804"/>
    <n v="8645"/>
    <n v="10449"/>
    <n v="278"/>
    <n v="523"/>
    <n v="1728"/>
    <n v="756"/>
    <n v="12933"/>
    <n v="171456"/>
  </r>
  <r>
    <x v="46"/>
    <s v="ITA"/>
    <x v="0"/>
    <x v="0"/>
    <n v="4235122196"/>
    <n v="1339843823"/>
    <n v="305"/>
    <n v="53"/>
    <n v="358"/>
    <n v="1277"/>
    <n v="1635"/>
    <n v="69"/>
    <n v="83"/>
    <n v="181"/>
    <n v="198"/>
    <n v="2014"/>
    <n v="18088"/>
  </r>
  <r>
    <x v="46"/>
    <s v="ITA"/>
    <x v="1"/>
    <x v="1"/>
    <n v="4063947052"/>
    <n v="1580514834"/>
    <n v="59"/>
    <n v="15"/>
    <n v="74"/>
    <n v="205"/>
    <n v="279"/>
    <n v="4"/>
    <n v="5"/>
    <n v="14"/>
    <n v="15"/>
    <n v="308"/>
    <n v="3696"/>
  </r>
  <r>
    <x v="46"/>
    <s v="ITA"/>
    <x v="2"/>
    <x v="2"/>
    <n v="4649933453"/>
    <n v="1135662422"/>
    <n v="258"/>
    <n v="58"/>
    <n v="316"/>
    <n v="1001"/>
    <n v="1317"/>
    <n v="2"/>
    <n v="52"/>
    <n v="447"/>
    <n v="191"/>
    <n v="1955"/>
    <n v="20866"/>
  </r>
  <r>
    <x v="46"/>
    <s v="ITA"/>
    <x v="3"/>
    <x v="3"/>
    <n v="3890597598"/>
    <n v="1659440194"/>
    <n v="168"/>
    <n v="14"/>
    <n v="182"/>
    <n v="604"/>
    <n v="786"/>
    <n v="21"/>
    <n v="27"/>
    <n v="50"/>
    <n v="65"/>
    <n v="901"/>
    <n v="16637"/>
  </r>
  <r>
    <x v="46"/>
    <s v="ITA"/>
    <x v="4"/>
    <x v="4"/>
    <n v="4083956555"/>
    <n v="1425084984"/>
    <n v="600"/>
    <n v="90"/>
    <n v="690"/>
    <n v="2273"/>
    <n v="2963"/>
    <n v="90"/>
    <n v="98"/>
    <n v="248"/>
    <n v="231"/>
    <n v="3442"/>
    <n v="31745"/>
  </r>
  <r>
    <x v="46"/>
    <s v="ITA"/>
    <x v="5"/>
    <x v="5"/>
    <n v="4449436681"/>
    <n v="113417208"/>
    <n v="3596"/>
    <n v="349"/>
    <n v="3945"/>
    <n v="9405"/>
    <n v="13350"/>
    <n v="92"/>
    <n v="451"/>
    <n v="3381"/>
    <n v="2397"/>
    <n v="19128"/>
    <n v="85884"/>
  </r>
  <r>
    <x v="46"/>
    <s v="ITA"/>
    <x v="6"/>
    <x v="6"/>
    <n v="456494354"/>
    <n v="1376813649"/>
    <n v="167"/>
    <n v="33"/>
    <n v="200"/>
    <n v="1198"/>
    <n v="1398"/>
    <n v="8"/>
    <n v="50"/>
    <n v="772"/>
    <n v="179"/>
    <n v="2349"/>
    <n v="28097"/>
  </r>
  <r>
    <x v="46"/>
    <s v="ITA"/>
    <x v="7"/>
    <x v="7"/>
    <n v="4189277044"/>
    <n v="1248366722"/>
    <n v="1236"/>
    <n v="201"/>
    <n v="1437"/>
    <n v="2196"/>
    <n v="3633"/>
    <n v="101"/>
    <n v="154"/>
    <n v="687"/>
    <n v="263"/>
    <n v="4583"/>
    <n v="61769"/>
  </r>
  <r>
    <x v="46"/>
    <s v="ITA"/>
    <x v="8"/>
    <x v="8"/>
    <n v="4441149315"/>
    <n v="89326992"/>
    <n v="1076"/>
    <n v="151"/>
    <n v="1227"/>
    <n v="2074"/>
    <n v="3301"/>
    <n v="48"/>
    <n v="171"/>
    <n v="1181"/>
    <n v="709"/>
    <n v="5191"/>
    <n v="19514"/>
  </r>
  <r>
    <x v="46"/>
    <s v="ITA"/>
    <x v="9"/>
    <x v="9"/>
    <n v="4546679409"/>
    <n v="9190347404"/>
    <n v="11877"/>
    <n v="1202"/>
    <n v="13079"/>
    <n v="16451"/>
    <n v="29530"/>
    <n v="456"/>
    <n v="1246"/>
    <n v="16280"/>
    <n v="10238"/>
    <n v="56048"/>
    <n v="186325"/>
  </r>
  <r>
    <x v="46"/>
    <s v="ITA"/>
    <x v="10"/>
    <x v="10"/>
    <n v="4361675973"/>
    <n v="135188753"/>
    <n v="925"/>
    <n v="127"/>
    <n v="1052"/>
    <n v="2264"/>
    <n v="3316"/>
    <n v="-85"/>
    <n v="129"/>
    <n v="1086"/>
    <n v="682"/>
    <n v="5084"/>
    <n v="18970"/>
  </r>
  <r>
    <x v="46"/>
    <s v="ITA"/>
    <x v="11"/>
    <x v="11"/>
    <n v="4155774754"/>
    <n v="1465916051"/>
    <n v="28"/>
    <n v="4"/>
    <n v="32"/>
    <n v="161"/>
    <n v="193"/>
    <n v="4"/>
    <n v="9"/>
    <n v="37"/>
    <n v="13"/>
    <n v="243"/>
    <n v="2069"/>
  </r>
  <r>
    <x v="46"/>
    <s v="ITA"/>
    <x v="12"/>
    <x v="12"/>
    <n v="450732745"/>
    <n v="7680687483"/>
    <n v="3497"/>
    <n v="394"/>
    <n v="3891"/>
    <n v="7685"/>
    <n v="11576"/>
    <n v="240"/>
    <n v="490"/>
    <n v="1904"/>
    <n v="1532"/>
    <n v="15012"/>
    <n v="57457"/>
  </r>
  <r>
    <x v="46"/>
    <s v="ITA"/>
    <x v="13"/>
    <x v="13"/>
    <n v="4112559576"/>
    <n v="1686736689"/>
    <n v="631"/>
    <n v="80"/>
    <n v="711"/>
    <n v="1625"/>
    <n v="2336"/>
    <n v="35"/>
    <n v="93"/>
    <n v="235"/>
    <n v="238"/>
    <n v="2809"/>
    <n v="27812"/>
  </r>
  <r>
    <x v="46"/>
    <s v="ITA"/>
    <x v="14"/>
    <x v="14"/>
    <n v="3921531192"/>
    <n v="9110616306"/>
    <n v="107"/>
    <n v="26"/>
    <n v="133"/>
    <n v="743"/>
    <n v="876"/>
    <n v="0"/>
    <n v="37"/>
    <n v="118"/>
    <n v="69"/>
    <n v="1063"/>
    <n v="9444"/>
  </r>
  <r>
    <x v="46"/>
    <s v="ITA"/>
    <x v="15"/>
    <x v="15"/>
    <n v="3811569725"/>
    <n v="133623567"/>
    <n v="568"/>
    <n v="62"/>
    <n v="630"/>
    <n v="1337"/>
    <n v="1967"/>
    <n v="25"/>
    <n v="70"/>
    <n v="187"/>
    <n v="148"/>
    <n v="2302"/>
    <n v="31156"/>
  </r>
  <r>
    <x v="46"/>
    <s v="ITA"/>
    <x v="16"/>
    <x v="16"/>
    <n v="4376923077"/>
    <n v="1125588885"/>
    <n v="1011"/>
    <n v="256"/>
    <n v="1267"/>
    <n v="4555"/>
    <n v="5822"/>
    <n v="119"/>
    <n v="175"/>
    <n v="451"/>
    <n v="454"/>
    <n v="6727"/>
    <n v="72001"/>
  </r>
  <r>
    <x v="46"/>
    <s v="ITA"/>
    <x v="2"/>
    <x v="17"/>
    <n v="4606893511"/>
    <n v="1112123097"/>
    <n v="335"/>
    <n v="70"/>
    <n v="405"/>
    <n v="1589"/>
    <n v="1994"/>
    <n v="16"/>
    <n v="108"/>
    <n v="547"/>
    <n v="275"/>
    <n v="2816"/>
    <n v="14981"/>
  </r>
  <r>
    <x v="46"/>
    <s v="ITA"/>
    <x v="17"/>
    <x v="18"/>
    <n v="4310675841"/>
    <n v="1238824698"/>
    <n v="146"/>
    <n v="39"/>
    <n v="185"/>
    <n v="567"/>
    <n v="752"/>
    <n v="-40"/>
    <n v="4"/>
    <n v="498"/>
    <n v="52"/>
    <n v="1302"/>
    <n v="16325"/>
  </r>
  <r>
    <x v="46"/>
    <s v="ITA"/>
    <x v="18"/>
    <x v="19"/>
    <n v="4573750286"/>
    <n v="7320149366"/>
    <n v="131"/>
    <n v="16"/>
    <n v="147"/>
    <n v="455"/>
    <n v="602"/>
    <n v="-7"/>
    <n v="11"/>
    <n v="170"/>
    <n v="107"/>
    <n v="879"/>
    <n v="3328"/>
  </r>
  <r>
    <x v="46"/>
    <s v="ITA"/>
    <x v="19"/>
    <x v="20"/>
    <n v="4543490485"/>
    <n v="1233845213"/>
    <n v="1521"/>
    <n v="257"/>
    <n v="1778"/>
    <n v="8869"/>
    <n v="10647"/>
    <n v="198"/>
    <n v="488"/>
    <n v="1981"/>
    <n v="793"/>
    <n v="13421"/>
    <n v="180700"/>
  </r>
  <r>
    <x v="47"/>
    <s v="ITA"/>
    <x v="0"/>
    <x v="0"/>
    <n v="4235122196"/>
    <n v="1339843823"/>
    <n v="315"/>
    <n v="54"/>
    <n v="369"/>
    <n v="1355"/>
    <n v="1724"/>
    <n v="89"/>
    <n v="106"/>
    <n v="190"/>
    <n v="206"/>
    <n v="2120"/>
    <n v="19441"/>
  </r>
  <r>
    <x v="47"/>
    <s v="ITA"/>
    <x v="1"/>
    <x v="1"/>
    <n v="4063947052"/>
    <n v="1580514834"/>
    <n v="60"/>
    <n v="12"/>
    <n v="72"/>
    <n v="209"/>
    <n v="281"/>
    <n v="2"/>
    <n v="4"/>
    <n v="14"/>
    <n v="17"/>
    <n v="312"/>
    <n v="4050"/>
  </r>
  <r>
    <x v="47"/>
    <s v="ITA"/>
    <x v="2"/>
    <x v="2"/>
    <n v="4649933453"/>
    <n v="1135662422"/>
    <n v="246"/>
    <n v="56"/>
    <n v="302"/>
    <n v="967"/>
    <n v="1269"/>
    <n v="-48"/>
    <n v="2"/>
    <n v="488"/>
    <n v="200"/>
    <n v="1957"/>
    <n v="22186"/>
  </r>
  <r>
    <x v="47"/>
    <s v="ITA"/>
    <x v="3"/>
    <x v="3"/>
    <n v="3890597598"/>
    <n v="1659440194"/>
    <n v="169"/>
    <n v="15"/>
    <n v="184"/>
    <n v="608"/>
    <n v="792"/>
    <n v="6"/>
    <n v="14"/>
    <n v="57"/>
    <n v="66"/>
    <n v="915"/>
    <n v="17493"/>
  </r>
  <r>
    <x v="47"/>
    <s v="ITA"/>
    <x v="4"/>
    <x v="4"/>
    <n v="4083956555"/>
    <n v="1425084984"/>
    <n v="582"/>
    <n v="85"/>
    <n v="667"/>
    <n v="2335"/>
    <n v="3002"/>
    <n v="39"/>
    <n v="75"/>
    <n v="277"/>
    <n v="238"/>
    <n v="3517"/>
    <n v="33781"/>
  </r>
  <r>
    <x v="47"/>
    <s v="ITA"/>
    <x v="5"/>
    <x v="5"/>
    <n v="4449436681"/>
    <n v="113417208"/>
    <n v="3530"/>
    <n v="341"/>
    <n v="3871"/>
    <n v="9624"/>
    <n v="13495"/>
    <n v="145"/>
    <n v="507"/>
    <n v="3659"/>
    <n v="2481"/>
    <n v="19635"/>
    <n v="91759"/>
  </r>
  <r>
    <x v="47"/>
    <s v="ITA"/>
    <x v="6"/>
    <x v="6"/>
    <n v="456494354"/>
    <n v="1376813649"/>
    <n v="172"/>
    <n v="28"/>
    <n v="200"/>
    <n v="1182"/>
    <n v="1382"/>
    <n v="-16"/>
    <n v="44"/>
    <n v="826"/>
    <n v="185"/>
    <n v="2393"/>
    <n v="29685"/>
  </r>
  <r>
    <x v="47"/>
    <s v="ITA"/>
    <x v="7"/>
    <x v="7"/>
    <n v="4189277044"/>
    <n v="1248366722"/>
    <n v="1264"/>
    <n v="203"/>
    <n v="1467"/>
    <n v="2263"/>
    <n v="3730"/>
    <n v="97"/>
    <n v="140"/>
    <n v="720"/>
    <n v="273"/>
    <n v="4723"/>
    <n v="65241"/>
  </r>
  <r>
    <x v="47"/>
    <s v="ITA"/>
    <x v="8"/>
    <x v="8"/>
    <n v="4441149315"/>
    <n v="89326992"/>
    <n v="1003"/>
    <n v="146"/>
    <n v="1149"/>
    <n v="2184"/>
    <n v="3333"/>
    <n v="32"/>
    <n v="185"/>
    <n v="1309"/>
    <n v="734"/>
    <n v="5376"/>
    <n v="20888"/>
  </r>
  <r>
    <x v="47"/>
    <s v="ITA"/>
    <x v="9"/>
    <x v="9"/>
    <n v="4546679409"/>
    <n v="9190347404"/>
    <n v="12026"/>
    <n v="1174"/>
    <n v="13200"/>
    <n v="17058"/>
    <n v="30258"/>
    <n v="728"/>
    <n v="1544"/>
    <n v="16823"/>
    <n v="10511"/>
    <n v="57592"/>
    <n v="196302"/>
  </r>
  <r>
    <x v="47"/>
    <s v="ITA"/>
    <x v="10"/>
    <x v="10"/>
    <n v="4361675973"/>
    <n v="135188753"/>
    <n v="960"/>
    <n v="118"/>
    <n v="1078"/>
    <n v="2153"/>
    <n v="3231"/>
    <n v="-85"/>
    <n v="127"/>
    <n v="1291"/>
    <n v="689"/>
    <n v="5211"/>
    <n v="20060"/>
  </r>
  <r>
    <x v="47"/>
    <s v="ITA"/>
    <x v="11"/>
    <x v="11"/>
    <n v="4155774754"/>
    <n v="1465916051"/>
    <n v="28"/>
    <n v="4"/>
    <n v="32"/>
    <n v="161"/>
    <n v="193"/>
    <n v="0"/>
    <n v="3"/>
    <n v="39"/>
    <n v="14"/>
    <n v="246"/>
    <n v="2201"/>
  </r>
  <r>
    <x v="47"/>
    <s v="ITA"/>
    <x v="12"/>
    <x v="12"/>
    <n v="450732745"/>
    <n v="7680687483"/>
    <n v="3435"/>
    <n v="384"/>
    <n v="3819"/>
    <n v="8351"/>
    <n v="12170"/>
    <n v="594"/>
    <n v="996"/>
    <n v="2205"/>
    <n v="1633"/>
    <n v="16008"/>
    <n v="62577"/>
  </r>
  <r>
    <x v="47"/>
    <s v="ITA"/>
    <x v="13"/>
    <x v="13"/>
    <n v="4112559576"/>
    <n v="1686736689"/>
    <n v="627"/>
    <n v="73"/>
    <n v="700"/>
    <n v="1702"/>
    <n v="2402"/>
    <n v="66"/>
    <n v="95"/>
    <n v="249"/>
    <n v="253"/>
    <n v="2904"/>
    <n v="29463"/>
  </r>
  <r>
    <x v="47"/>
    <s v="ITA"/>
    <x v="14"/>
    <x v="14"/>
    <n v="3921531192"/>
    <n v="9110616306"/>
    <n v="113"/>
    <n v="24"/>
    <n v="137"/>
    <n v="751"/>
    <n v="888"/>
    <n v="12"/>
    <n v="28"/>
    <n v="130"/>
    <n v="73"/>
    <n v="1091"/>
    <n v="10120"/>
  </r>
  <r>
    <x v="47"/>
    <s v="ITA"/>
    <x v="15"/>
    <x v="15"/>
    <n v="3811569725"/>
    <n v="133623567"/>
    <n v="562"/>
    <n v="58"/>
    <n v="620"/>
    <n v="1381"/>
    <n v="2001"/>
    <n v="34"/>
    <n v="62"/>
    <n v="209"/>
    <n v="154"/>
    <n v="2364"/>
    <n v="33787"/>
  </r>
  <r>
    <x v="47"/>
    <s v="ITA"/>
    <x v="16"/>
    <x v="16"/>
    <n v="4376923077"/>
    <n v="1125588885"/>
    <n v="997"/>
    <n v="237"/>
    <n v="1234"/>
    <n v="4758"/>
    <n v="5992"/>
    <n v="170"/>
    <n v="231"/>
    <n v="499"/>
    <n v="467"/>
    <n v="6958"/>
    <n v="75756"/>
  </r>
  <r>
    <x v="47"/>
    <s v="ITA"/>
    <x v="2"/>
    <x v="17"/>
    <n v="4606893511"/>
    <n v="1112123097"/>
    <n v="335"/>
    <n v="62"/>
    <n v="397"/>
    <n v="1667"/>
    <n v="2064"/>
    <n v="70"/>
    <n v="154"/>
    <n v="622"/>
    <n v="284"/>
    <n v="2970"/>
    <n v="16646"/>
  </r>
  <r>
    <x v="47"/>
    <s v="ITA"/>
    <x v="17"/>
    <x v="18"/>
    <n v="4310675841"/>
    <n v="1238824698"/>
    <n v="137"/>
    <n v="39"/>
    <n v="176"/>
    <n v="547"/>
    <n v="723"/>
    <n v="-29"/>
    <n v="7"/>
    <n v="534"/>
    <n v="52"/>
    <n v="1309"/>
    <n v="17661"/>
  </r>
  <r>
    <x v="47"/>
    <s v="ITA"/>
    <x v="18"/>
    <x v="19"/>
    <n v="4573750286"/>
    <n v="7320149366"/>
    <n v="118"/>
    <n v="17"/>
    <n v="135"/>
    <n v="455"/>
    <n v="590"/>
    <n v="-12"/>
    <n v="23"/>
    <n v="205"/>
    <n v="107"/>
    <n v="902"/>
    <n v="3464"/>
  </r>
  <r>
    <x v="47"/>
    <s v="ITA"/>
    <x v="19"/>
    <x v="20"/>
    <n v="4543490485"/>
    <n v="1233845213"/>
    <n v="1465"/>
    <n v="251"/>
    <n v="1716"/>
    <n v="9033"/>
    <n v="10749"/>
    <n v="102"/>
    <n v="347"/>
    <n v="2188"/>
    <n v="831"/>
    <n v="13768"/>
    <n v="190912"/>
  </r>
  <r>
    <x v="48"/>
    <s v="ITA"/>
    <x v="0"/>
    <x v="0"/>
    <n v="4235122196"/>
    <n v="1339843823"/>
    <n v="346"/>
    <n v="54"/>
    <n v="400"/>
    <n v="1342"/>
    <n v="1742"/>
    <n v="18"/>
    <n v="40"/>
    <n v="206"/>
    <n v="212"/>
    <n v="2160"/>
    <n v="20594"/>
  </r>
  <r>
    <x v="48"/>
    <s v="ITA"/>
    <x v="1"/>
    <x v="1"/>
    <n v="4063947052"/>
    <n v="1580514834"/>
    <n v="61"/>
    <n v="12"/>
    <n v="73"/>
    <n v="204"/>
    <n v="277"/>
    <n v="-4"/>
    <n v="3"/>
    <n v="20"/>
    <n v="18"/>
    <n v="315"/>
    <n v="4355"/>
  </r>
  <r>
    <x v="48"/>
    <s v="ITA"/>
    <x v="2"/>
    <x v="2"/>
    <n v="4649933453"/>
    <n v="1135662422"/>
    <n v="183"/>
    <n v="45"/>
    <n v="228"/>
    <n v="1287"/>
    <n v="1515"/>
    <n v="246"/>
    <n v="141"/>
    <n v="378"/>
    <n v="205"/>
    <n v="2098"/>
    <n v="23246"/>
  </r>
  <r>
    <x v="48"/>
    <s v="ITA"/>
    <x v="3"/>
    <x v="3"/>
    <n v="3890597598"/>
    <n v="1659440194"/>
    <n v="165"/>
    <n v="14"/>
    <n v="179"/>
    <n v="616"/>
    <n v="795"/>
    <n v="3"/>
    <n v="8"/>
    <n v="62"/>
    <n v="66"/>
    <n v="923"/>
    <n v="18211"/>
  </r>
  <r>
    <x v="48"/>
    <s v="ITA"/>
    <x v="4"/>
    <x v="4"/>
    <n v="4083956555"/>
    <n v="1425084984"/>
    <n v="526"/>
    <n v="82"/>
    <n v="608"/>
    <n v="2449"/>
    <n v="3057"/>
    <n v="55"/>
    <n v="87"/>
    <n v="305"/>
    <n v="242"/>
    <n v="3604"/>
    <n v="35448"/>
  </r>
  <r>
    <x v="48"/>
    <s v="ITA"/>
    <x v="5"/>
    <x v="5"/>
    <n v="4449436681"/>
    <n v="113417208"/>
    <n v="3491"/>
    <n v="335"/>
    <n v="3826"/>
    <n v="9846"/>
    <n v="13672"/>
    <n v="177"/>
    <n v="463"/>
    <n v="3862"/>
    <n v="2564"/>
    <n v="20098"/>
    <n v="96704"/>
  </r>
  <r>
    <x v="48"/>
    <s v="ITA"/>
    <x v="6"/>
    <x v="6"/>
    <n v="456494354"/>
    <n v="1376813649"/>
    <n v="160"/>
    <n v="28"/>
    <n v="188"/>
    <n v="1138"/>
    <n v="1326"/>
    <n v="-56"/>
    <n v="38"/>
    <n v="910"/>
    <n v="195"/>
    <n v="2431"/>
    <n v="29988"/>
  </r>
  <r>
    <x v="48"/>
    <s v="ITA"/>
    <x v="7"/>
    <x v="7"/>
    <n v="4189277044"/>
    <n v="1248366722"/>
    <n v="1268"/>
    <n v="201"/>
    <n v="1469"/>
    <n v="2348"/>
    <n v="3817"/>
    <n v="87"/>
    <n v="122"/>
    <n v="749"/>
    <n v="279"/>
    <n v="4845"/>
    <n v="68954"/>
  </r>
  <r>
    <x v="48"/>
    <s v="ITA"/>
    <x v="8"/>
    <x v="8"/>
    <n v="4441149315"/>
    <n v="89326992"/>
    <n v="1032"/>
    <n v="144"/>
    <n v="1176"/>
    <n v="2157"/>
    <n v="3333"/>
    <n v="0"/>
    <n v="118"/>
    <n v="1412"/>
    <n v="749"/>
    <n v="5494"/>
    <n v="21983"/>
  </r>
  <r>
    <x v="48"/>
    <s v="ITA"/>
    <x v="9"/>
    <x v="9"/>
    <n v="4546679409"/>
    <n v="9190347404"/>
    <n v="11969"/>
    <n v="1176"/>
    <n v="13145"/>
    <n v="18120"/>
    <n v="31265"/>
    <n v="1007"/>
    <n v="1460"/>
    <n v="17166"/>
    <n v="10621"/>
    <n v="59052"/>
    <n v="205832"/>
  </r>
  <r>
    <x v="48"/>
    <s v="ITA"/>
    <x v="10"/>
    <x v="10"/>
    <n v="4361675973"/>
    <n v="135188753"/>
    <n v="949"/>
    <n v="114"/>
    <n v="1063"/>
    <n v="2051"/>
    <n v="3114"/>
    <n v="-117"/>
    <n v="92"/>
    <n v="1489"/>
    <n v="700"/>
    <n v="5303"/>
    <n v="21057"/>
  </r>
  <r>
    <x v="48"/>
    <s v="ITA"/>
    <x v="11"/>
    <x v="11"/>
    <n v="4155774754"/>
    <n v="1465916051"/>
    <n v="27"/>
    <n v="4"/>
    <n v="31"/>
    <n v="171"/>
    <n v="202"/>
    <n v="9"/>
    <n v="11"/>
    <n v="40"/>
    <n v="15"/>
    <n v="257"/>
    <n v="2471"/>
  </r>
  <r>
    <x v="48"/>
    <s v="ITA"/>
    <x v="12"/>
    <x v="12"/>
    <n v="450732745"/>
    <n v="7680687483"/>
    <n v="3429"/>
    <n v="381"/>
    <n v="3810"/>
    <n v="8695"/>
    <n v="12505"/>
    <n v="335"/>
    <n v="652"/>
    <n v="2426"/>
    <n v="1729"/>
    <n v="16660"/>
    <n v="66555"/>
  </r>
  <r>
    <x v="48"/>
    <s v="ITA"/>
    <x v="13"/>
    <x v="13"/>
    <n v="4112559576"/>
    <n v="1686736689"/>
    <n v="609"/>
    <n v="71"/>
    <n v="680"/>
    <n v="1772"/>
    <n v="2452"/>
    <n v="50"/>
    <n v="85"/>
    <n v="277"/>
    <n v="260"/>
    <n v="2989"/>
    <n v="30973"/>
  </r>
  <r>
    <x v="48"/>
    <s v="ITA"/>
    <x v="14"/>
    <x v="14"/>
    <n v="3921531192"/>
    <n v="9110616306"/>
    <n v="109"/>
    <n v="26"/>
    <n v="135"/>
    <n v="768"/>
    <n v="903"/>
    <n v="15"/>
    <n v="22"/>
    <n v="137"/>
    <n v="73"/>
    <n v="1113"/>
    <n v="10663"/>
  </r>
  <r>
    <x v="48"/>
    <s v="ITA"/>
    <x v="15"/>
    <x v="15"/>
    <n v="3811569725"/>
    <n v="133623567"/>
    <n v="552"/>
    <n v="53"/>
    <n v="605"/>
    <n v="1425"/>
    <n v="2030"/>
    <n v="29"/>
    <n v="52"/>
    <n v="223"/>
    <n v="163"/>
    <n v="2416"/>
    <n v="36098"/>
  </r>
  <r>
    <x v="48"/>
    <s v="ITA"/>
    <x v="16"/>
    <x v="16"/>
    <n v="4376923077"/>
    <n v="1125588885"/>
    <n v="983"/>
    <n v="238"/>
    <n v="1221"/>
    <n v="4941"/>
    <n v="6162"/>
    <n v="170"/>
    <n v="277"/>
    <n v="578"/>
    <n v="495"/>
    <n v="7235"/>
    <n v="78640"/>
  </r>
  <r>
    <x v="48"/>
    <s v="ITA"/>
    <x v="2"/>
    <x v="17"/>
    <n v="4606893511"/>
    <n v="1112123097"/>
    <n v="322"/>
    <n v="61"/>
    <n v="383"/>
    <n v="1699"/>
    <n v="2082"/>
    <n v="18"/>
    <n v="83"/>
    <n v="678"/>
    <n v="293"/>
    <n v="3053"/>
    <n v="17797"/>
  </r>
  <r>
    <x v="48"/>
    <s v="ITA"/>
    <x v="17"/>
    <x v="18"/>
    <n v="4310675841"/>
    <n v="1238824698"/>
    <n v="129"/>
    <n v="39"/>
    <n v="168"/>
    <n v="519"/>
    <n v="687"/>
    <n v="-36"/>
    <n v="10"/>
    <n v="580"/>
    <n v="52"/>
    <n v="1319"/>
    <n v="18672"/>
  </r>
  <r>
    <x v="48"/>
    <s v="ITA"/>
    <x v="18"/>
    <x v="19"/>
    <n v="4573750286"/>
    <n v="7320149366"/>
    <n v="109"/>
    <n v="16"/>
    <n v="125"/>
    <n v="463"/>
    <n v="588"/>
    <n v="-2"/>
    <n v="19"/>
    <n v="221"/>
    <n v="112"/>
    <n v="921"/>
    <n v="3510"/>
  </r>
  <r>
    <x v="48"/>
    <s v="ITA"/>
    <x v="19"/>
    <x v="20"/>
    <n v="4543490485"/>
    <n v="1233845213"/>
    <n v="1428"/>
    <n v="249"/>
    <n v="1677"/>
    <n v="9052"/>
    <n v="10729"/>
    <n v="-20"/>
    <n v="309"/>
    <n v="2492"/>
    <n v="856"/>
    <n v="14077"/>
    <n v="198442"/>
  </r>
  <r>
    <x v="49"/>
    <s v="ITA"/>
    <x v="0"/>
    <x v="0"/>
    <n v="4235122196"/>
    <n v="1339843823"/>
    <n v="351"/>
    <n v="54"/>
    <n v="405"/>
    <n v="1373"/>
    <n v="1778"/>
    <n v="36"/>
    <n v="53"/>
    <n v="211"/>
    <n v="224"/>
    <n v="2213"/>
    <n v="20667"/>
  </r>
  <r>
    <x v="49"/>
    <s v="ITA"/>
    <x v="1"/>
    <x v="1"/>
    <n v="4063947052"/>
    <n v="1580514834"/>
    <n v="64"/>
    <n v="12"/>
    <n v="76"/>
    <n v="194"/>
    <n v="270"/>
    <n v="-7"/>
    <n v="4"/>
    <n v="31"/>
    <n v="18"/>
    <n v="319"/>
    <n v="4545"/>
  </r>
  <r>
    <x v="49"/>
    <s v="ITA"/>
    <x v="2"/>
    <x v="2"/>
    <n v="4649933453"/>
    <n v="1135662422"/>
    <n v="190"/>
    <n v="41"/>
    <n v="231"/>
    <n v="1306"/>
    <n v="1537"/>
    <n v="22"/>
    <n v="51"/>
    <n v="400"/>
    <n v="212"/>
    <n v="2149"/>
    <n v="24157"/>
  </r>
  <r>
    <x v="49"/>
    <s v="ITA"/>
    <x v="3"/>
    <x v="3"/>
    <n v="3890597598"/>
    <n v="1659440194"/>
    <n v="160"/>
    <n v="12"/>
    <n v="172"/>
    <n v="619"/>
    <n v="791"/>
    <n v="-4"/>
    <n v="5"/>
    <n v="70"/>
    <n v="67"/>
    <n v="928"/>
    <n v="18596"/>
  </r>
  <r>
    <x v="49"/>
    <s v="ITA"/>
    <x v="4"/>
    <x v="4"/>
    <n v="4083956555"/>
    <n v="1425084984"/>
    <n v="606"/>
    <n v="80"/>
    <n v="686"/>
    <n v="2376"/>
    <n v="3062"/>
    <n v="5"/>
    <n v="66"/>
    <n v="360"/>
    <n v="248"/>
    <n v="3670"/>
    <n v="36770"/>
  </r>
  <r>
    <x v="49"/>
    <s v="ITA"/>
    <x v="5"/>
    <x v="5"/>
    <n v="4449436681"/>
    <n v="113417208"/>
    <n v="3490"/>
    <n v="331"/>
    <n v="3821"/>
    <n v="9997"/>
    <n v="13818"/>
    <n v="146"/>
    <n v="342"/>
    <n v="4007"/>
    <n v="2615"/>
    <n v="20440"/>
    <n v="99047"/>
  </r>
  <r>
    <x v="49"/>
    <s v="ITA"/>
    <x v="6"/>
    <x v="6"/>
    <n v="456494354"/>
    <n v="1376813649"/>
    <n v="159"/>
    <n v="30"/>
    <n v="189"/>
    <n v="1118"/>
    <n v="1307"/>
    <n v="-19"/>
    <n v="51"/>
    <n v="973"/>
    <n v="202"/>
    <n v="2482"/>
    <n v="30941"/>
  </r>
  <r>
    <x v="49"/>
    <s v="ITA"/>
    <x v="7"/>
    <x v="7"/>
    <n v="4189277044"/>
    <n v="1248366722"/>
    <n v="1314"/>
    <n v="200"/>
    <n v="1514"/>
    <n v="2406"/>
    <n v="3920"/>
    <n v="103"/>
    <n v="123"/>
    <n v="764"/>
    <n v="284"/>
    <n v="4968"/>
    <n v="72746"/>
  </r>
  <r>
    <x v="49"/>
    <s v="ITA"/>
    <x v="8"/>
    <x v="8"/>
    <n v="4441149315"/>
    <n v="89326992"/>
    <n v="1088"/>
    <n v="138"/>
    <n v="1226"/>
    <n v="2139"/>
    <n v="3365"/>
    <n v="32"/>
    <n v="102"/>
    <n v="1471"/>
    <n v="760"/>
    <n v="5596"/>
    <n v="23129"/>
  </r>
  <r>
    <x v="49"/>
    <s v="ITA"/>
    <x v="9"/>
    <x v="9"/>
    <n v="4546679409"/>
    <n v="9190347404"/>
    <n v="12028"/>
    <n v="1143"/>
    <n v="13171"/>
    <n v="18764"/>
    <n v="31935"/>
    <n v="670"/>
    <n v="1262"/>
    <n v="17478"/>
    <n v="10901"/>
    <n v="60314"/>
    <n v="211092"/>
  </r>
  <r>
    <x v="49"/>
    <s v="ITA"/>
    <x v="10"/>
    <x v="10"/>
    <n v="4361675973"/>
    <n v="135188753"/>
    <n v="959"/>
    <n v="108"/>
    <n v="1067"/>
    <n v="2013"/>
    <n v="3080"/>
    <n v="-34"/>
    <n v="78"/>
    <n v="1588"/>
    <n v="713"/>
    <n v="5381"/>
    <n v="28379"/>
  </r>
  <r>
    <x v="49"/>
    <s v="ITA"/>
    <x v="11"/>
    <x v="11"/>
    <n v="4155774754"/>
    <n v="1465916051"/>
    <n v="28"/>
    <n v="4"/>
    <n v="32"/>
    <n v="170"/>
    <n v="202"/>
    <n v="0"/>
    <n v="0"/>
    <n v="40"/>
    <n v="15"/>
    <n v="257"/>
    <n v="2522"/>
  </r>
  <r>
    <x v="49"/>
    <s v="ITA"/>
    <x v="12"/>
    <x v="12"/>
    <n v="450732745"/>
    <n v="7680687483"/>
    <n v="3344"/>
    <n v="379"/>
    <n v="3723"/>
    <n v="9042"/>
    <n v="12765"/>
    <n v="260"/>
    <n v="474"/>
    <n v="2543"/>
    <n v="1826"/>
    <n v="17134"/>
    <n v="69170"/>
  </r>
  <r>
    <x v="49"/>
    <s v="ITA"/>
    <x v="13"/>
    <x v="13"/>
    <n v="4112559576"/>
    <n v="1686736689"/>
    <n v="600"/>
    <n v="71"/>
    <n v="671"/>
    <n v="1841"/>
    <n v="2512"/>
    <n v="60"/>
    <n v="76"/>
    <n v="286"/>
    <n v="267"/>
    <n v="3065"/>
    <n v="31922"/>
  </r>
  <r>
    <x v="49"/>
    <s v="ITA"/>
    <x v="14"/>
    <x v="14"/>
    <n v="3921531192"/>
    <n v="9110616306"/>
    <n v="107"/>
    <n v="27"/>
    <n v="134"/>
    <n v="780"/>
    <n v="914"/>
    <n v="11"/>
    <n v="15"/>
    <n v="139"/>
    <n v="75"/>
    <n v="1128"/>
    <n v="11010"/>
  </r>
  <r>
    <x v="49"/>
    <s v="ITA"/>
    <x v="15"/>
    <x v="15"/>
    <n v="3811569725"/>
    <n v="133623567"/>
    <n v="554"/>
    <n v="51"/>
    <n v="605"/>
    <n v="1445"/>
    <n v="2050"/>
    <n v="20"/>
    <n v="42"/>
    <n v="237"/>
    <n v="171"/>
    <n v="2458"/>
    <n v="37311"/>
  </r>
  <r>
    <x v="49"/>
    <s v="ITA"/>
    <x v="16"/>
    <x v="16"/>
    <n v="4376923077"/>
    <n v="1125588885"/>
    <n v="992"/>
    <n v="225"/>
    <n v="1217"/>
    <n v="5040"/>
    <n v="6257"/>
    <n v="95"/>
    <n v="155"/>
    <n v="615"/>
    <n v="518"/>
    <n v="7390"/>
    <n v="80889"/>
  </r>
  <r>
    <x v="49"/>
    <s v="ITA"/>
    <x v="2"/>
    <x v="17"/>
    <n v="4606893511"/>
    <n v="1112123097"/>
    <n v="326"/>
    <n v="56"/>
    <n v="382"/>
    <n v="1698"/>
    <n v="2080"/>
    <n v="-2"/>
    <n v="73"/>
    <n v="746"/>
    <n v="300"/>
    <n v="3126"/>
    <n v="18586"/>
  </r>
  <r>
    <x v="49"/>
    <s v="ITA"/>
    <x v="17"/>
    <x v="18"/>
    <n v="4310675841"/>
    <n v="1238824698"/>
    <n v="127"/>
    <n v="38"/>
    <n v="165"/>
    <n v="460"/>
    <n v="625"/>
    <n v="-62"/>
    <n v="1"/>
    <n v="643"/>
    <n v="52"/>
    <n v="1320"/>
    <n v="18740"/>
  </r>
  <r>
    <x v="49"/>
    <s v="ITA"/>
    <x v="18"/>
    <x v="19"/>
    <n v="4573750286"/>
    <n v="7320149366"/>
    <n v="109"/>
    <n v="15"/>
    <n v="124"/>
    <n v="458"/>
    <n v="582"/>
    <n v="-6"/>
    <n v="6"/>
    <n v="230"/>
    <n v="115"/>
    <n v="927"/>
    <n v="3614"/>
  </r>
  <r>
    <x v="49"/>
    <s v="ITA"/>
    <x v="19"/>
    <x v="20"/>
    <n v="4543490485"/>
    <n v="1233845213"/>
    <n v="1427"/>
    <n v="245"/>
    <n v="1672"/>
    <n v="9094"/>
    <n v="10766"/>
    <n v="37"/>
    <n v="174"/>
    <n v="2603"/>
    <n v="882"/>
    <n v="14251"/>
    <n v="203077"/>
  </r>
  <r>
    <x v="50"/>
    <s v="ITA"/>
    <x v="0"/>
    <x v="0"/>
    <n v="4235122196"/>
    <n v="1339843823"/>
    <n v="345"/>
    <n v="52"/>
    <n v="397"/>
    <n v="1403"/>
    <n v="1800"/>
    <n v="22"/>
    <n v="32"/>
    <n v="213"/>
    <n v="232"/>
    <n v="2245"/>
    <n v="20935"/>
  </r>
  <r>
    <x v="50"/>
    <s v="ITA"/>
    <x v="1"/>
    <x v="1"/>
    <n v="4063947052"/>
    <n v="1580514834"/>
    <n v="62"/>
    <n v="12"/>
    <n v="74"/>
    <n v="191"/>
    <n v="265"/>
    <n v="-5"/>
    <n v="0"/>
    <n v="35"/>
    <n v="19"/>
    <n v="319"/>
    <n v="4759"/>
  </r>
  <r>
    <x v="50"/>
    <s v="ITA"/>
    <x v="2"/>
    <x v="2"/>
    <n v="4649933453"/>
    <n v="1135662422"/>
    <n v="177"/>
    <n v="39"/>
    <n v="216"/>
    <n v="1348"/>
    <n v="1564"/>
    <n v="27"/>
    <n v="35"/>
    <n v="406"/>
    <n v="214"/>
    <n v="2184"/>
    <n v="24457"/>
  </r>
  <r>
    <x v="50"/>
    <s v="ITA"/>
    <x v="3"/>
    <x v="3"/>
    <n v="3890597598"/>
    <n v="1659440194"/>
    <n v="161"/>
    <n v="12"/>
    <n v="173"/>
    <n v="643"/>
    <n v="816"/>
    <n v="25"/>
    <n v="28"/>
    <n v="72"/>
    <n v="68"/>
    <n v="956"/>
    <n v="19014"/>
  </r>
  <r>
    <x v="50"/>
    <s v="ITA"/>
    <x v="4"/>
    <x v="4"/>
    <n v="4083956555"/>
    <n v="1425084984"/>
    <n v="618"/>
    <n v="82"/>
    <n v="700"/>
    <n v="2394"/>
    <n v="3094"/>
    <n v="32"/>
    <n v="99"/>
    <n v="415"/>
    <n v="260"/>
    <n v="3769"/>
    <n v="38094"/>
  </r>
  <r>
    <x v="50"/>
    <s v="ITA"/>
    <x v="5"/>
    <x v="5"/>
    <n v="4449436681"/>
    <n v="113417208"/>
    <n v="3473"/>
    <n v="328"/>
    <n v="3801"/>
    <n v="9977"/>
    <n v="13778"/>
    <n v="-40"/>
    <n v="312"/>
    <n v="4269"/>
    <n v="2705"/>
    <n v="20752"/>
    <n v="101896"/>
  </r>
  <r>
    <x v="50"/>
    <s v="ITA"/>
    <x v="6"/>
    <x v="6"/>
    <n v="456494354"/>
    <n v="1376813649"/>
    <n v="166"/>
    <n v="28"/>
    <n v="194"/>
    <n v="705"/>
    <n v="899"/>
    <n v="-408"/>
    <n v="38"/>
    <n v="1415"/>
    <n v="206"/>
    <n v="2520"/>
    <n v="31764"/>
  </r>
  <r>
    <x v="50"/>
    <s v="ITA"/>
    <x v="7"/>
    <x v="7"/>
    <n v="4189277044"/>
    <n v="1248366722"/>
    <n v="1344"/>
    <n v="199"/>
    <n v="1543"/>
    <n v="2479"/>
    <n v="4022"/>
    <n v="102"/>
    <n v="143"/>
    <n v="789"/>
    <n v="300"/>
    <n v="5111"/>
    <n v="74650"/>
  </r>
  <r>
    <x v="50"/>
    <s v="ITA"/>
    <x v="8"/>
    <x v="8"/>
    <n v="4441149315"/>
    <n v="89326992"/>
    <n v="967"/>
    <n v="133"/>
    <n v="1100"/>
    <n v="2366"/>
    <n v="3466"/>
    <n v="101"/>
    <n v="212"/>
    <n v="1549"/>
    <n v="793"/>
    <n v="5808"/>
    <n v="24446"/>
  </r>
  <r>
    <x v="50"/>
    <s v="ITA"/>
    <x v="9"/>
    <x v="9"/>
    <n v="4546679409"/>
    <n v="9190347404"/>
    <n v="12077"/>
    <n v="1122"/>
    <n v="13199"/>
    <n v="19164"/>
    <n v="32363"/>
    <n v="428"/>
    <n v="1012"/>
    <n v="17821"/>
    <n v="11142"/>
    <n v="61326"/>
    <n v="214870"/>
  </r>
  <r>
    <x v="50"/>
    <s v="ITA"/>
    <x v="10"/>
    <x v="10"/>
    <n v="4361675973"/>
    <n v="135188753"/>
    <n v="937"/>
    <n v="106"/>
    <n v="1043"/>
    <n v="2052"/>
    <n v="3095"/>
    <n v="15"/>
    <n v="45"/>
    <n v="1603"/>
    <n v="728"/>
    <n v="5426"/>
    <n v="29160"/>
  </r>
  <r>
    <x v="50"/>
    <s v="ITA"/>
    <x v="11"/>
    <x v="11"/>
    <n v="4155774754"/>
    <n v="1465916051"/>
    <n v="26"/>
    <n v="4"/>
    <n v="30"/>
    <n v="170"/>
    <n v="200"/>
    <n v="-2"/>
    <n v="0"/>
    <n v="42"/>
    <n v="15"/>
    <n v="257"/>
    <n v="2522"/>
  </r>
  <r>
    <x v="50"/>
    <s v="ITA"/>
    <x v="12"/>
    <x v="12"/>
    <n v="450732745"/>
    <n v="7680687483"/>
    <n v="3395"/>
    <n v="367"/>
    <n v="3762"/>
    <n v="9293"/>
    <n v="13055"/>
    <n v="290"/>
    <n v="556"/>
    <n v="2708"/>
    <n v="1927"/>
    <n v="17690"/>
    <n v="71678"/>
  </r>
  <r>
    <x v="50"/>
    <s v="ITA"/>
    <x v="13"/>
    <x v="13"/>
    <n v="4112559576"/>
    <n v="1686736689"/>
    <n v="611"/>
    <n v="62"/>
    <n v="673"/>
    <n v="1879"/>
    <n v="2552"/>
    <n v="40"/>
    <n v="53"/>
    <n v="288"/>
    <n v="278"/>
    <n v="3118"/>
    <n v="33071"/>
  </r>
  <r>
    <x v="50"/>
    <s v="ITA"/>
    <x v="14"/>
    <x v="14"/>
    <n v="3921531192"/>
    <n v="9110616306"/>
    <n v="107"/>
    <n v="24"/>
    <n v="131"/>
    <n v="769"/>
    <n v="900"/>
    <n v="-14"/>
    <n v="10"/>
    <n v="158"/>
    <n v="80"/>
    <n v="1138"/>
    <n v="11893"/>
  </r>
  <r>
    <x v="50"/>
    <s v="ITA"/>
    <x v="15"/>
    <x v="15"/>
    <n v="3811569725"/>
    <n v="133623567"/>
    <n v="552"/>
    <n v="53"/>
    <n v="605"/>
    <n v="1466"/>
    <n v="2071"/>
    <n v="21"/>
    <n v="43"/>
    <n v="255"/>
    <n v="175"/>
    <n v="2501"/>
    <n v="37877"/>
  </r>
  <r>
    <x v="50"/>
    <s v="ITA"/>
    <x v="16"/>
    <x v="16"/>
    <n v="4376923077"/>
    <n v="1125588885"/>
    <n v="1002"/>
    <n v="225"/>
    <n v="1227"/>
    <n v="5125"/>
    <n v="6352"/>
    <n v="95"/>
    <n v="137"/>
    <n v="637"/>
    <n v="538"/>
    <n v="7527"/>
    <n v="82269"/>
  </r>
  <r>
    <x v="50"/>
    <s v="ITA"/>
    <x v="2"/>
    <x v="17"/>
    <n v="4606893511"/>
    <n v="1112123097"/>
    <n v="325"/>
    <n v="54"/>
    <n v="379"/>
    <n v="1703"/>
    <n v="2082"/>
    <n v="2"/>
    <n v="15"/>
    <n v="749"/>
    <n v="310"/>
    <n v="3141"/>
    <n v="18774"/>
  </r>
  <r>
    <x v="50"/>
    <s v="ITA"/>
    <x v="17"/>
    <x v="18"/>
    <n v="4310675841"/>
    <n v="1238824698"/>
    <n v="127"/>
    <n v="37"/>
    <n v="164"/>
    <n v="458"/>
    <n v="622"/>
    <n v="-3"/>
    <n v="1"/>
    <n v="646"/>
    <n v="53"/>
    <n v="1321"/>
    <n v="18956"/>
  </r>
  <r>
    <x v="50"/>
    <s v="ITA"/>
    <x v="18"/>
    <x v="19"/>
    <n v="4573750286"/>
    <n v="7320149366"/>
    <n v="112"/>
    <n v="14"/>
    <n v="126"/>
    <n v="433"/>
    <n v="559"/>
    <n v="-23"/>
    <n v="20"/>
    <n v="270"/>
    <n v="118"/>
    <n v="947"/>
    <n v="3726"/>
  </r>
  <r>
    <x v="50"/>
    <s v="ITA"/>
    <x v="19"/>
    <x v="20"/>
    <n v="4543490485"/>
    <n v="1233845213"/>
    <n v="1427"/>
    <n v="233"/>
    <n v="1660"/>
    <n v="9076"/>
    <n v="10736"/>
    <n v="-30"/>
    <n v="181"/>
    <n v="2790"/>
    <n v="906"/>
    <n v="14432"/>
    <n v="208878"/>
  </r>
  <r>
    <x v="51"/>
    <s v="ITA"/>
    <x v="0"/>
    <x v="0"/>
    <n v="4235122196"/>
    <n v="1339843823"/>
    <n v="341"/>
    <n v="44"/>
    <n v="385"/>
    <n v="1425"/>
    <n v="1810"/>
    <n v="10"/>
    <n v="29"/>
    <n v="224"/>
    <n v="240"/>
    <n v="2274"/>
    <n v="22500"/>
  </r>
  <r>
    <x v="51"/>
    <s v="ITA"/>
    <x v="1"/>
    <x v="1"/>
    <n v="4063947052"/>
    <n v="1580514834"/>
    <n v="60"/>
    <n v="12"/>
    <n v="72"/>
    <n v="189"/>
    <n v="261"/>
    <n v="-4"/>
    <n v="1"/>
    <n v="38"/>
    <n v="21"/>
    <n v="320"/>
    <n v="5037"/>
  </r>
  <r>
    <x v="51"/>
    <s v="ITA"/>
    <x v="2"/>
    <x v="2"/>
    <n v="4649933453"/>
    <n v="1135662422"/>
    <n v="166"/>
    <n v="32"/>
    <n v="198"/>
    <n v="1378"/>
    <n v="1576"/>
    <n v="12"/>
    <n v="40"/>
    <n v="425"/>
    <n v="223"/>
    <n v="2224"/>
    <n v="25370"/>
  </r>
  <r>
    <x v="51"/>
    <s v="ITA"/>
    <x v="3"/>
    <x v="3"/>
    <n v="3890597598"/>
    <n v="1659440194"/>
    <n v="156"/>
    <n v="11"/>
    <n v="167"/>
    <n v="652"/>
    <n v="819"/>
    <n v="3"/>
    <n v="15"/>
    <n v="81"/>
    <n v="71"/>
    <n v="971"/>
    <n v="19662"/>
  </r>
  <r>
    <x v="51"/>
    <s v="ITA"/>
    <x v="4"/>
    <x v="4"/>
    <n v="4083956555"/>
    <n v="1425084984"/>
    <n v="607"/>
    <n v="86"/>
    <n v="693"/>
    <n v="2394"/>
    <n v="3087"/>
    <n v="-7"/>
    <n v="38"/>
    <n v="442"/>
    <n v="278"/>
    <n v="3807"/>
    <n v="39534"/>
  </r>
  <r>
    <x v="51"/>
    <s v="ITA"/>
    <x v="5"/>
    <x v="5"/>
    <n v="4449436681"/>
    <n v="113417208"/>
    <n v="3388"/>
    <n v="325"/>
    <n v="3713"/>
    <n v="9864"/>
    <n v="13577"/>
    <n v="-201"/>
    <n v="277"/>
    <n v="4664"/>
    <n v="2788"/>
    <n v="21029"/>
    <n v="106149"/>
  </r>
  <r>
    <x v="51"/>
    <s v="ITA"/>
    <x v="6"/>
    <x v="6"/>
    <n v="456494354"/>
    <n v="1376813649"/>
    <n v="163"/>
    <n v="24"/>
    <n v="187"/>
    <n v="1207"/>
    <n v="1394"/>
    <n v="495"/>
    <n v="24"/>
    <n v="938"/>
    <n v="212"/>
    <n v="2544"/>
    <n v="33800"/>
  </r>
  <r>
    <x v="51"/>
    <s v="ITA"/>
    <x v="7"/>
    <x v="7"/>
    <n v="4189277044"/>
    <n v="1248366722"/>
    <n v="1342"/>
    <n v="196"/>
    <n v="1538"/>
    <n v="2509"/>
    <n v="4047"/>
    <n v="25"/>
    <n v="121"/>
    <n v="874"/>
    <n v="311"/>
    <n v="5232"/>
    <n v="75584"/>
  </r>
  <r>
    <x v="51"/>
    <s v="ITA"/>
    <x v="8"/>
    <x v="8"/>
    <n v="4441149315"/>
    <n v="89326992"/>
    <n v="959"/>
    <n v="120"/>
    <n v="1079"/>
    <n v="2385"/>
    <n v="3464"/>
    <n v="-2"/>
    <n v="128"/>
    <n v="1665"/>
    <n v="807"/>
    <n v="5936"/>
    <n v="25793"/>
  </r>
  <r>
    <x v="51"/>
    <s v="ITA"/>
    <x v="9"/>
    <x v="9"/>
    <n v="4546679409"/>
    <n v="9190347404"/>
    <n v="12043"/>
    <n v="1074"/>
    <n v="13117"/>
    <n v="19804"/>
    <n v="32921"/>
    <n v="558"/>
    <n v="827"/>
    <n v="17855"/>
    <n v="11377"/>
    <n v="62153"/>
    <n v="221968"/>
  </r>
  <r>
    <x v="51"/>
    <s v="ITA"/>
    <x v="10"/>
    <x v="10"/>
    <n v="4361675973"/>
    <n v="135188753"/>
    <n v="888"/>
    <n v="106"/>
    <n v="994"/>
    <n v="2103"/>
    <n v="3097"/>
    <n v="2"/>
    <n v="77"/>
    <n v="1660"/>
    <n v="746"/>
    <n v="5503"/>
    <n v="30329"/>
  </r>
  <r>
    <x v="51"/>
    <s v="ITA"/>
    <x v="11"/>
    <x v="11"/>
    <n v="4155774754"/>
    <n v="1465916051"/>
    <n v="27"/>
    <n v="4"/>
    <n v="31"/>
    <n v="175"/>
    <n v="206"/>
    <n v="6"/>
    <n v="6"/>
    <n v="42"/>
    <n v="15"/>
    <n v="263"/>
    <n v="2855"/>
  </r>
  <r>
    <x v="51"/>
    <s v="ITA"/>
    <x v="12"/>
    <x v="12"/>
    <n v="450732745"/>
    <n v="7680687483"/>
    <n v="3338"/>
    <n v="366"/>
    <n v="3704"/>
    <n v="9491"/>
    <n v="13195"/>
    <n v="140"/>
    <n v="539"/>
    <n v="3019"/>
    <n v="2015"/>
    <n v="18229"/>
    <n v="75664"/>
  </r>
  <r>
    <x v="51"/>
    <s v="ITA"/>
    <x v="13"/>
    <x v="13"/>
    <n v="4112559576"/>
    <n v="1686736689"/>
    <n v="592"/>
    <n v="73"/>
    <n v="665"/>
    <n v="1908"/>
    <n v="2573"/>
    <n v="21"/>
    <n v="66"/>
    <n v="323"/>
    <n v="288"/>
    <n v="3184"/>
    <n v="34518"/>
  </r>
  <r>
    <x v="51"/>
    <s v="ITA"/>
    <x v="14"/>
    <x v="14"/>
    <n v="3921531192"/>
    <n v="9110616306"/>
    <n v="107"/>
    <n v="26"/>
    <n v="133"/>
    <n v="737"/>
    <n v="870"/>
    <n v="-30"/>
    <n v="23"/>
    <n v="208"/>
    <n v="83"/>
    <n v="1161"/>
    <n v="12395"/>
  </r>
  <r>
    <x v="51"/>
    <s v="ITA"/>
    <x v="15"/>
    <x v="15"/>
    <n v="3811569725"/>
    <n v="133623567"/>
    <n v="541"/>
    <n v="49"/>
    <n v="590"/>
    <n v="1491"/>
    <n v="2081"/>
    <n v="10"/>
    <n v="34"/>
    <n v="273"/>
    <n v="181"/>
    <n v="2535"/>
    <n v="39867"/>
  </r>
  <r>
    <x v="51"/>
    <s v="ITA"/>
    <x v="16"/>
    <x v="16"/>
    <n v="4376923077"/>
    <n v="1125588885"/>
    <n v="977"/>
    <n v="216"/>
    <n v="1193"/>
    <n v="5224"/>
    <n v="6417"/>
    <n v="65"/>
    <n v="139"/>
    <n v="693"/>
    <n v="556"/>
    <n v="7666"/>
    <n v="86348"/>
  </r>
  <r>
    <x v="51"/>
    <s v="ITA"/>
    <x v="2"/>
    <x v="17"/>
    <n v="4606893511"/>
    <n v="1112123097"/>
    <n v="312"/>
    <n v="48"/>
    <n v="360"/>
    <n v="1744"/>
    <n v="2104"/>
    <n v="22"/>
    <n v="79"/>
    <n v="798"/>
    <n v="318"/>
    <n v="3220"/>
    <n v="19535"/>
  </r>
  <r>
    <x v="51"/>
    <s v="ITA"/>
    <x v="17"/>
    <x v="18"/>
    <n v="4310675841"/>
    <n v="1238824698"/>
    <n v="122"/>
    <n v="37"/>
    <n v="159"/>
    <n v="423"/>
    <n v="582"/>
    <n v="-40"/>
    <n v="1"/>
    <n v="686"/>
    <n v="54"/>
    <n v="1322"/>
    <n v="20258"/>
  </r>
  <r>
    <x v="51"/>
    <s v="ITA"/>
    <x v="18"/>
    <x v="19"/>
    <n v="4573750286"/>
    <n v="7320149366"/>
    <n v="112"/>
    <n v="11"/>
    <n v="123"/>
    <n v="425"/>
    <n v="548"/>
    <n v="-11"/>
    <n v="11"/>
    <n v="289"/>
    <n v="121"/>
    <n v="958"/>
    <n v="3894"/>
  </r>
  <r>
    <x v="51"/>
    <s v="ITA"/>
    <x v="19"/>
    <x v="20"/>
    <n v="4543490485"/>
    <n v="1233845213"/>
    <n v="1402"/>
    <n v="219"/>
    <n v="1621"/>
    <n v="9168"/>
    <n v="10789"/>
    <n v="53"/>
    <n v="192"/>
    <n v="2895"/>
    <n v="940"/>
    <n v="14624"/>
    <n v="216344"/>
  </r>
  <r>
    <x v="52"/>
    <s v="ITA"/>
    <x v="0"/>
    <x v="0"/>
    <n v="4235122196"/>
    <n v="1339843823"/>
    <n v="324"/>
    <n v="42"/>
    <n v="366"/>
    <n v="1484"/>
    <n v="1850"/>
    <n v="40"/>
    <n v="72"/>
    <n v="253"/>
    <n v="243"/>
    <n v="2346"/>
    <n v="23786"/>
  </r>
  <r>
    <x v="52"/>
    <s v="ITA"/>
    <x v="1"/>
    <x v="1"/>
    <n v="4063947052"/>
    <n v="1580514834"/>
    <n v="60"/>
    <n v="9"/>
    <n v="69"/>
    <n v="204"/>
    <n v="273"/>
    <n v="12"/>
    <n v="16"/>
    <n v="41"/>
    <n v="22"/>
    <n v="336"/>
    <n v="5349"/>
  </r>
  <r>
    <x v="52"/>
    <s v="ITA"/>
    <x v="2"/>
    <x v="2"/>
    <n v="4649933453"/>
    <n v="1135662422"/>
    <n v="180"/>
    <n v="34"/>
    <n v="214"/>
    <n v="1379"/>
    <n v="1593"/>
    <n v="17"/>
    <n v="43"/>
    <n v="449"/>
    <n v="225"/>
    <n v="2267"/>
    <n v="26416"/>
  </r>
  <r>
    <x v="52"/>
    <s v="ITA"/>
    <x v="3"/>
    <x v="3"/>
    <n v="3890597598"/>
    <n v="1659440194"/>
    <n v="157"/>
    <n v="9"/>
    <n v="166"/>
    <n v="681"/>
    <n v="847"/>
    <n v="28"/>
    <n v="38"/>
    <n v="90"/>
    <n v="72"/>
    <n v="1009"/>
    <n v="20642"/>
  </r>
  <r>
    <x v="52"/>
    <s v="ITA"/>
    <x v="4"/>
    <x v="4"/>
    <n v="4083956555"/>
    <n v="1425084984"/>
    <n v="618"/>
    <n v="76"/>
    <n v="694"/>
    <n v="2424"/>
    <n v="3118"/>
    <n v="31"/>
    <n v="80"/>
    <n v="483"/>
    <n v="286"/>
    <n v="3887"/>
    <n v="41296"/>
  </r>
  <r>
    <x v="52"/>
    <s v="ITA"/>
    <x v="5"/>
    <x v="5"/>
    <n v="4449436681"/>
    <n v="113417208"/>
    <n v="3360"/>
    <n v="316"/>
    <n v="3676"/>
    <n v="9987"/>
    <n v="13663"/>
    <n v="86"/>
    <n v="457"/>
    <n v="4980"/>
    <n v="2843"/>
    <n v="21486"/>
    <n v="112105"/>
  </r>
  <r>
    <x v="52"/>
    <s v="ITA"/>
    <x v="6"/>
    <x v="6"/>
    <n v="456494354"/>
    <n v="1376813649"/>
    <n v="159"/>
    <n v="26"/>
    <n v="185"/>
    <n v="1145"/>
    <n v="1330"/>
    <n v="-64"/>
    <n v="72"/>
    <n v="1069"/>
    <n v="217"/>
    <n v="2616"/>
    <n v="35766"/>
  </r>
  <r>
    <x v="52"/>
    <s v="ITA"/>
    <x v="7"/>
    <x v="7"/>
    <n v="4189277044"/>
    <n v="1248366722"/>
    <n v="1347"/>
    <n v="197"/>
    <n v="1544"/>
    <n v="2600"/>
    <n v="4144"/>
    <n v="97"/>
    <n v="148"/>
    <n v="920"/>
    <n v="316"/>
    <n v="5380"/>
    <n v="81993"/>
  </r>
  <r>
    <x v="52"/>
    <s v="ITA"/>
    <x v="8"/>
    <x v="8"/>
    <n v="4441149315"/>
    <n v="89326992"/>
    <n v="957"/>
    <n v="103"/>
    <n v="1060"/>
    <n v="2377"/>
    <n v="3437"/>
    <n v="-27"/>
    <n v="103"/>
    <n v="1774"/>
    <n v="828"/>
    <n v="6039"/>
    <n v="26945"/>
  </r>
  <r>
    <x v="52"/>
    <s v="ITA"/>
    <x v="9"/>
    <x v="9"/>
    <n v="4546679409"/>
    <n v="9190347404"/>
    <n v="11356"/>
    <n v="1032"/>
    <n v="12388"/>
    <n v="20702"/>
    <n v="33090"/>
    <n v="169"/>
    <n v="941"/>
    <n v="18396"/>
    <n v="11608"/>
    <n v="63094"/>
    <n v="232674"/>
  </r>
  <r>
    <x v="52"/>
    <s v="ITA"/>
    <x v="10"/>
    <x v="10"/>
    <n v="4361675973"/>
    <n v="135188753"/>
    <n v="850"/>
    <n v="102"/>
    <n v="952"/>
    <n v="2172"/>
    <n v="3124"/>
    <n v="27"/>
    <n v="79"/>
    <n v="1694"/>
    <n v="764"/>
    <n v="5582"/>
    <n v="33778"/>
  </r>
  <r>
    <x v="52"/>
    <s v="ITA"/>
    <x v="11"/>
    <x v="11"/>
    <n v="4155774754"/>
    <n v="1465916051"/>
    <n v="25"/>
    <n v="4"/>
    <n v="29"/>
    <n v="174"/>
    <n v="203"/>
    <n v="-3"/>
    <n v="0"/>
    <n v="44"/>
    <n v="16"/>
    <n v="263"/>
    <n v="2967"/>
  </r>
  <r>
    <x v="52"/>
    <s v="ITA"/>
    <x v="12"/>
    <x v="12"/>
    <n v="450732745"/>
    <n v="7680687483"/>
    <n v="3418"/>
    <n v="346"/>
    <n v="3764"/>
    <n v="10019"/>
    <n v="13783"/>
    <n v="588"/>
    <n v="879"/>
    <n v="3231"/>
    <n v="2094"/>
    <n v="19108"/>
    <n v="80708"/>
  </r>
  <r>
    <x v="52"/>
    <s v="ITA"/>
    <x v="13"/>
    <x v="13"/>
    <n v="4112559576"/>
    <n v="1686736689"/>
    <n v="603"/>
    <n v="58"/>
    <n v="661"/>
    <n v="1964"/>
    <n v="2625"/>
    <n v="52"/>
    <n v="74"/>
    <n v="334"/>
    <n v="299"/>
    <n v="3258"/>
    <n v="36158"/>
  </r>
  <r>
    <x v="52"/>
    <s v="ITA"/>
    <x v="14"/>
    <x v="14"/>
    <n v="3921531192"/>
    <n v="9110616306"/>
    <n v="109"/>
    <n v="24"/>
    <n v="133"/>
    <n v="732"/>
    <n v="865"/>
    <n v="-5"/>
    <n v="3"/>
    <n v="214"/>
    <n v="85"/>
    <n v="1164"/>
    <n v="12796"/>
  </r>
  <r>
    <x v="52"/>
    <s v="ITA"/>
    <x v="15"/>
    <x v="15"/>
    <n v="3811569725"/>
    <n v="133623567"/>
    <n v="525"/>
    <n v="48"/>
    <n v="573"/>
    <n v="1535"/>
    <n v="2108"/>
    <n v="27"/>
    <n v="44"/>
    <n v="284"/>
    <n v="187"/>
    <n v="2579"/>
    <n v="42405"/>
  </r>
  <r>
    <x v="52"/>
    <s v="ITA"/>
    <x v="16"/>
    <x v="16"/>
    <n v="4376923077"/>
    <n v="1125588885"/>
    <n v="940"/>
    <n v="213"/>
    <n v="1153"/>
    <n v="5460"/>
    <n v="6613"/>
    <n v="196"/>
    <n v="277"/>
    <n v="745"/>
    <n v="585"/>
    <n v="7943"/>
    <n v="91651"/>
  </r>
  <r>
    <x v="52"/>
    <s v="ITA"/>
    <x v="2"/>
    <x v="17"/>
    <n v="4606893511"/>
    <n v="1112123097"/>
    <n v="296"/>
    <n v="43"/>
    <n v="339"/>
    <n v="1748"/>
    <n v="2087"/>
    <n v="-17"/>
    <n v="74"/>
    <n v="885"/>
    <n v="322"/>
    <n v="3294"/>
    <n v="20773"/>
  </r>
  <r>
    <x v="52"/>
    <s v="ITA"/>
    <x v="17"/>
    <x v="18"/>
    <n v="4310675841"/>
    <n v="1238824698"/>
    <n v="116"/>
    <n v="33"/>
    <n v="149"/>
    <n v="387"/>
    <n v="536"/>
    <n v="-46"/>
    <n v="7"/>
    <n v="738"/>
    <n v="55"/>
    <n v="1329"/>
    <n v="21487"/>
  </r>
  <r>
    <x v="52"/>
    <s v="ITA"/>
    <x v="18"/>
    <x v="19"/>
    <n v="4573750286"/>
    <n v="7320149366"/>
    <n v="105"/>
    <n v="12"/>
    <n v="117"/>
    <n v="401"/>
    <n v="518"/>
    <n v="-30"/>
    <n v="13"/>
    <n v="331"/>
    <n v="122"/>
    <n v="971"/>
    <n v="4159"/>
  </r>
  <r>
    <x v="52"/>
    <s v="ITA"/>
    <x v="19"/>
    <x v="20"/>
    <n v="4543490485"/>
    <n v="1233845213"/>
    <n v="1388"/>
    <n v="209"/>
    <n v="1597"/>
    <n v="9203"/>
    <n v="10800"/>
    <n v="11"/>
    <n v="366"/>
    <n v="3209"/>
    <n v="981"/>
    <n v="14990"/>
    <n v="224549"/>
  </r>
  <r>
    <x v="53"/>
    <s v="ITA"/>
    <x v="0"/>
    <x v="0"/>
    <n v="4235122196"/>
    <n v="1339843823"/>
    <n v="319"/>
    <n v="43"/>
    <n v="362"/>
    <n v="1580"/>
    <n v="1942"/>
    <n v="92"/>
    <n v="97"/>
    <n v="255"/>
    <n v="246"/>
    <n v="2443"/>
    <n v="25436"/>
  </r>
  <r>
    <x v="53"/>
    <s v="ITA"/>
    <x v="1"/>
    <x v="1"/>
    <n v="4063947052"/>
    <n v="1580514834"/>
    <n v="59"/>
    <n v="9"/>
    <n v="68"/>
    <n v="198"/>
    <n v="266"/>
    <n v="-7"/>
    <n v="1"/>
    <n v="49"/>
    <n v="22"/>
    <n v="337"/>
    <n v="5710"/>
  </r>
  <r>
    <x v="53"/>
    <s v="ITA"/>
    <x v="2"/>
    <x v="2"/>
    <n v="4649933453"/>
    <n v="1135662422"/>
    <n v="181"/>
    <n v="32"/>
    <n v="213"/>
    <n v="1369"/>
    <n v="1582"/>
    <n v="-11"/>
    <n v="29"/>
    <n v="480"/>
    <n v="234"/>
    <n v="2296"/>
    <n v="27698"/>
  </r>
  <r>
    <x v="53"/>
    <s v="ITA"/>
    <x v="3"/>
    <x v="3"/>
    <n v="3890597598"/>
    <n v="1659440194"/>
    <n v="154"/>
    <n v="7"/>
    <n v="161"/>
    <n v="658"/>
    <n v="819"/>
    <n v="-28"/>
    <n v="-18"/>
    <n v="99"/>
    <n v="73"/>
    <n v="991"/>
    <n v="21657"/>
  </r>
  <r>
    <x v="53"/>
    <s v="ITA"/>
    <x v="4"/>
    <x v="4"/>
    <n v="4083956555"/>
    <n v="1425084984"/>
    <n v="622"/>
    <n v="76"/>
    <n v="698"/>
    <n v="2329"/>
    <n v="3027"/>
    <n v="-91"/>
    <n v="64"/>
    <n v="631"/>
    <n v="293"/>
    <n v="3951"/>
    <n v="43697"/>
  </r>
  <r>
    <x v="53"/>
    <s v="ITA"/>
    <x v="5"/>
    <x v="5"/>
    <n v="4449436681"/>
    <n v="113417208"/>
    <n v="3330"/>
    <n v="309"/>
    <n v="3639"/>
    <n v="9946"/>
    <n v="13585"/>
    <n v="-78"/>
    <n v="348"/>
    <n v="5346"/>
    <n v="2903"/>
    <n v="21834"/>
    <n v="116826"/>
  </r>
  <r>
    <x v="53"/>
    <s v="ITA"/>
    <x v="6"/>
    <x v="6"/>
    <n v="456494354"/>
    <n v="1376813649"/>
    <n v="148"/>
    <n v="23"/>
    <n v="171"/>
    <n v="1257"/>
    <n v="1428"/>
    <n v="98"/>
    <n v="59"/>
    <n v="1027"/>
    <n v="220"/>
    <n v="2675"/>
    <n v="40030"/>
  </r>
  <r>
    <x v="53"/>
    <s v="ITA"/>
    <x v="7"/>
    <x v="7"/>
    <n v="4189277044"/>
    <n v="1248366722"/>
    <n v="1332"/>
    <n v="187"/>
    <n v="1519"/>
    <n v="2695"/>
    <n v="4214"/>
    <n v="70"/>
    <n v="144"/>
    <n v="978"/>
    <n v="332"/>
    <n v="5524"/>
    <n v="84755"/>
  </r>
  <r>
    <x v="53"/>
    <s v="ITA"/>
    <x v="8"/>
    <x v="8"/>
    <n v="4441149315"/>
    <n v="89326992"/>
    <n v="897"/>
    <n v="105"/>
    <n v="1002"/>
    <n v="2457"/>
    <n v="3459"/>
    <n v="22"/>
    <n v="149"/>
    <n v="1863"/>
    <n v="866"/>
    <n v="6188"/>
    <n v="28181"/>
  </r>
  <r>
    <x v="53"/>
    <s v="ITA"/>
    <x v="9"/>
    <x v="9"/>
    <n v="4546679409"/>
    <n v="9190347404"/>
    <n v="10627"/>
    <n v="971"/>
    <n v="11598"/>
    <n v="21836"/>
    <n v="33434"/>
    <n v="344"/>
    <n v="1041"/>
    <n v="18850"/>
    <n v="11851"/>
    <n v="64135"/>
    <n v="243513"/>
  </r>
  <r>
    <x v="53"/>
    <s v="ITA"/>
    <x v="10"/>
    <x v="10"/>
    <n v="4361675973"/>
    <n v="135188753"/>
    <n v="839"/>
    <n v="94"/>
    <n v="933"/>
    <n v="2224"/>
    <n v="3157"/>
    <n v="33"/>
    <n v="86"/>
    <n v="1726"/>
    <n v="785"/>
    <n v="5668"/>
    <n v="37997"/>
  </r>
  <r>
    <x v="53"/>
    <s v="ITA"/>
    <x v="11"/>
    <x v="11"/>
    <n v="4155774754"/>
    <n v="1465916051"/>
    <n v="26"/>
    <n v="4"/>
    <n v="30"/>
    <n v="178"/>
    <n v="208"/>
    <n v="5"/>
    <n v="6"/>
    <n v="45"/>
    <n v="16"/>
    <n v="269"/>
    <n v="3082"/>
  </r>
  <r>
    <x v="53"/>
    <s v="ITA"/>
    <x v="12"/>
    <x v="12"/>
    <n v="450732745"/>
    <n v="7680687483"/>
    <n v="3266"/>
    <n v="333"/>
    <n v="3599"/>
    <n v="10399"/>
    <n v="13998"/>
    <n v="215"/>
    <n v="695"/>
    <n v="3634"/>
    <n v="2171"/>
    <n v="19803"/>
    <n v="86714"/>
  </r>
  <r>
    <x v="53"/>
    <s v="ITA"/>
    <x v="13"/>
    <x v="13"/>
    <n v="4112559576"/>
    <n v="1686736689"/>
    <n v="590"/>
    <n v="62"/>
    <n v="652"/>
    <n v="2004"/>
    <n v="2656"/>
    <n v="31"/>
    <n v="69"/>
    <n v="364"/>
    <n v="307"/>
    <n v="3327"/>
    <n v="38278"/>
  </r>
  <r>
    <x v="53"/>
    <s v="ITA"/>
    <x v="14"/>
    <x v="14"/>
    <n v="3921531192"/>
    <n v="9110616306"/>
    <n v="113"/>
    <n v="23"/>
    <n v="136"/>
    <n v="736"/>
    <n v="872"/>
    <n v="7"/>
    <n v="14"/>
    <n v="220"/>
    <n v="86"/>
    <n v="1178"/>
    <n v="13304"/>
  </r>
  <r>
    <x v="53"/>
    <s v="ITA"/>
    <x v="15"/>
    <x v="15"/>
    <n v="3811569725"/>
    <n v="133623567"/>
    <n v="521"/>
    <n v="46"/>
    <n v="567"/>
    <n v="1572"/>
    <n v="2139"/>
    <n v="31"/>
    <n v="46"/>
    <n v="296"/>
    <n v="190"/>
    <n v="2625"/>
    <n v="45172"/>
  </r>
  <r>
    <x v="53"/>
    <s v="ITA"/>
    <x v="16"/>
    <x v="16"/>
    <n v="4376923077"/>
    <n v="1125588885"/>
    <n v="898"/>
    <n v="207"/>
    <n v="1105"/>
    <n v="5478"/>
    <n v="6583"/>
    <n v="-30"/>
    <n v="167"/>
    <n v="925"/>
    <n v="602"/>
    <n v="8110"/>
    <n v="96231"/>
  </r>
  <r>
    <x v="53"/>
    <s v="ITA"/>
    <x v="2"/>
    <x v="17"/>
    <n v="4606893511"/>
    <n v="1112123097"/>
    <n v="286"/>
    <n v="44"/>
    <n v="330"/>
    <n v="1660"/>
    <n v="1990"/>
    <n v="-97"/>
    <n v="82"/>
    <n v="1044"/>
    <n v="342"/>
    <n v="3376"/>
    <n v="21921"/>
  </r>
  <r>
    <x v="53"/>
    <s v="ITA"/>
    <x v="17"/>
    <x v="18"/>
    <n v="4310675841"/>
    <n v="1238824698"/>
    <n v="111"/>
    <n v="31"/>
    <n v="142"/>
    <n v="352"/>
    <n v="494"/>
    <n v="-42"/>
    <n v="8"/>
    <n v="786"/>
    <n v="57"/>
    <n v="1337"/>
    <n v="22818"/>
  </r>
  <r>
    <x v="53"/>
    <s v="ITA"/>
    <x v="18"/>
    <x v="19"/>
    <n v="4573750286"/>
    <n v="7320149366"/>
    <n v="108"/>
    <n v="9"/>
    <n v="117"/>
    <n v="374"/>
    <n v="491"/>
    <n v="-27"/>
    <n v="22"/>
    <n v="379"/>
    <n v="123"/>
    <n v="993"/>
    <n v="4366"/>
  </r>
  <r>
    <x v="53"/>
    <s v="ITA"/>
    <x v="19"/>
    <x v="20"/>
    <n v="4543490485"/>
    <n v="1233845213"/>
    <n v="1359"/>
    <n v="197"/>
    <n v="1556"/>
    <n v="9062"/>
    <n v="10618"/>
    <n v="-182"/>
    <n v="384"/>
    <n v="3730"/>
    <n v="1026"/>
    <n v="15374"/>
    <n v="236722"/>
  </r>
  <r>
    <x v="54"/>
    <s v="ITA"/>
    <x v="0"/>
    <x v="0"/>
    <n v="4235122196"/>
    <n v="1339843823"/>
    <n v="321"/>
    <n v="41"/>
    <n v="362"/>
    <n v="1609"/>
    <n v="1971"/>
    <n v="29"/>
    <n v="44"/>
    <n v="263"/>
    <n v="253"/>
    <n v="2487"/>
    <n v="27016"/>
  </r>
  <r>
    <x v="54"/>
    <s v="ITA"/>
    <x v="1"/>
    <x v="1"/>
    <n v="4063947052"/>
    <n v="1580514834"/>
    <n v="60"/>
    <n v="8"/>
    <n v="68"/>
    <n v="194"/>
    <n v="262"/>
    <n v="-4"/>
    <n v="2"/>
    <n v="54"/>
    <n v="23"/>
    <n v="339"/>
    <n v="6056"/>
  </r>
  <r>
    <x v="54"/>
    <s v="ITA"/>
    <x v="2"/>
    <x v="2"/>
    <n v="4649933453"/>
    <n v="1135662422"/>
    <n v="179"/>
    <n v="28"/>
    <n v="207"/>
    <n v="1349"/>
    <n v="1556"/>
    <n v="-26"/>
    <n v="29"/>
    <n v="530"/>
    <n v="239"/>
    <n v="2325"/>
    <n v="28888"/>
  </r>
  <r>
    <x v="54"/>
    <s v="ITA"/>
    <x v="3"/>
    <x v="3"/>
    <n v="3890597598"/>
    <n v="1659440194"/>
    <n v="152"/>
    <n v="7"/>
    <n v="159"/>
    <n v="673"/>
    <n v="832"/>
    <n v="13"/>
    <n v="20"/>
    <n v="106"/>
    <n v="73"/>
    <n v="1011"/>
    <n v="22794"/>
  </r>
  <r>
    <x v="54"/>
    <s v="ITA"/>
    <x v="4"/>
    <x v="4"/>
    <n v="4083956555"/>
    <n v="1425084984"/>
    <n v="605"/>
    <n v="76"/>
    <n v="681"/>
    <n v="2364"/>
    <n v="3045"/>
    <n v="18"/>
    <n v="37"/>
    <n v="643"/>
    <n v="300"/>
    <n v="3988"/>
    <n v="46294"/>
  </r>
  <r>
    <x v="54"/>
    <s v="ITA"/>
    <x v="5"/>
    <x v="5"/>
    <n v="4449436681"/>
    <n v="113417208"/>
    <n v="3234"/>
    <n v="296"/>
    <n v="3530"/>
    <n v="10054"/>
    <n v="13584"/>
    <n v="-1"/>
    <n v="350"/>
    <n v="5635"/>
    <n v="2965"/>
    <n v="22184"/>
    <n v="121220"/>
  </r>
  <r>
    <x v="54"/>
    <s v="ITA"/>
    <x v="6"/>
    <x v="6"/>
    <n v="456494354"/>
    <n v="1376813649"/>
    <n v="141"/>
    <n v="27"/>
    <n v="168"/>
    <n v="1235"/>
    <n v="1403"/>
    <n v="-25"/>
    <n v="56"/>
    <n v="1106"/>
    <n v="222"/>
    <n v="2731"/>
    <n v="43293"/>
  </r>
  <r>
    <x v="54"/>
    <s v="ITA"/>
    <x v="7"/>
    <x v="7"/>
    <n v="4189277044"/>
    <n v="1248366722"/>
    <n v="1376"/>
    <n v="186"/>
    <n v="1562"/>
    <n v="2720"/>
    <n v="4282"/>
    <n v="68"/>
    <n v="144"/>
    <n v="1046"/>
    <n v="340"/>
    <n v="5668"/>
    <n v="89553"/>
  </r>
  <r>
    <x v="54"/>
    <s v="ITA"/>
    <x v="8"/>
    <x v="8"/>
    <n v="4441149315"/>
    <n v="89326992"/>
    <n v="901"/>
    <n v="105"/>
    <n v="1006"/>
    <n v="2406"/>
    <n v="3412"/>
    <n v="-47"/>
    <n v="113"/>
    <n v="1992"/>
    <n v="897"/>
    <n v="6301"/>
    <n v="29322"/>
  </r>
  <r>
    <x v="54"/>
    <s v="ITA"/>
    <x v="9"/>
    <x v="9"/>
    <n v="4546679409"/>
    <n v="9190347404"/>
    <n v="10042"/>
    <n v="947"/>
    <n v="10989"/>
    <n v="23206"/>
    <n v="34195"/>
    <n v="761"/>
    <n v="1246"/>
    <n v="19136"/>
    <n v="12050"/>
    <n v="65381"/>
    <n v="255331"/>
  </r>
  <r>
    <x v="54"/>
    <s v="ITA"/>
    <x v="10"/>
    <x v="10"/>
    <n v="4361675973"/>
    <n v="135188753"/>
    <n v="804"/>
    <n v="88"/>
    <n v="892"/>
    <n v="2280"/>
    <n v="3172"/>
    <n v="15"/>
    <n v="53"/>
    <n v="1754"/>
    <n v="795"/>
    <n v="5721"/>
    <n v="39909"/>
  </r>
  <r>
    <x v="54"/>
    <s v="ITA"/>
    <x v="11"/>
    <x v="11"/>
    <n v="4155774754"/>
    <n v="1465916051"/>
    <n v="27"/>
    <n v="4"/>
    <n v="31"/>
    <n v="178"/>
    <n v="209"/>
    <n v="1"/>
    <n v="0"/>
    <n v="44"/>
    <n v="16"/>
    <n v="269"/>
    <n v="3082"/>
  </r>
  <r>
    <x v="54"/>
    <s v="ITA"/>
    <x v="12"/>
    <x v="12"/>
    <n v="450732745"/>
    <n v="7680687483"/>
    <n v="3271"/>
    <n v="323"/>
    <n v="3594"/>
    <n v="10629"/>
    <n v="14223"/>
    <n v="225"/>
    <n v="661"/>
    <n v="3989"/>
    <n v="2252"/>
    <n v="20464"/>
    <n v="91844"/>
  </r>
  <r>
    <x v="54"/>
    <s v="ITA"/>
    <x v="13"/>
    <x v="13"/>
    <n v="4112559576"/>
    <n v="1686736689"/>
    <n v="594"/>
    <n v="60"/>
    <n v="654"/>
    <n v="2040"/>
    <n v="2694"/>
    <n v="38"/>
    <n v="82"/>
    <n v="401"/>
    <n v="314"/>
    <n v="3409"/>
    <n v="40423"/>
  </r>
  <r>
    <x v="54"/>
    <s v="ITA"/>
    <x v="14"/>
    <x v="14"/>
    <n v="3921531192"/>
    <n v="9110616306"/>
    <n v="112"/>
    <n v="23"/>
    <n v="135"/>
    <n v="746"/>
    <n v="881"/>
    <n v="9"/>
    <n v="20"/>
    <n v="231"/>
    <n v="86"/>
    <n v="1198"/>
    <n v="14087"/>
  </r>
  <r>
    <x v="54"/>
    <s v="ITA"/>
    <x v="15"/>
    <x v="15"/>
    <n v="3811569725"/>
    <n v="133623567"/>
    <n v="526"/>
    <n v="42"/>
    <n v="568"/>
    <n v="1603"/>
    <n v="2171"/>
    <n v="32"/>
    <n v="47"/>
    <n v="305"/>
    <n v="196"/>
    <n v="2672"/>
    <n v="47715"/>
  </r>
  <r>
    <x v="54"/>
    <s v="ITA"/>
    <x v="16"/>
    <x v="16"/>
    <n v="4376923077"/>
    <n v="1125588885"/>
    <n v="883"/>
    <n v="198"/>
    <n v="1081"/>
    <n v="5389"/>
    <n v="6470"/>
    <n v="-113"/>
    <n v="127"/>
    <n v="1149"/>
    <n v="618"/>
    <n v="8237"/>
    <n v="99903"/>
  </r>
  <r>
    <x v="54"/>
    <s v="ITA"/>
    <x v="2"/>
    <x v="17"/>
    <n v="4606893511"/>
    <n v="1112123097"/>
    <n v="276"/>
    <n v="42"/>
    <n v="318"/>
    <n v="1667"/>
    <n v="1985"/>
    <n v="-5"/>
    <n v="55"/>
    <n v="1098"/>
    <n v="348"/>
    <n v="3431"/>
    <n v="23147"/>
  </r>
  <r>
    <x v="54"/>
    <s v="ITA"/>
    <x v="17"/>
    <x v="18"/>
    <n v="4310675841"/>
    <n v="1238824698"/>
    <n v="109"/>
    <n v="32"/>
    <n v="141"/>
    <n v="290"/>
    <n v="431"/>
    <n v="-63"/>
    <n v="7"/>
    <n v="856"/>
    <n v="57"/>
    <n v="1344"/>
    <n v="24106"/>
  </r>
  <r>
    <x v="54"/>
    <s v="ITA"/>
    <x v="18"/>
    <x v="19"/>
    <n v="4573750286"/>
    <n v="7320149366"/>
    <n v="107"/>
    <n v="10"/>
    <n v="117"/>
    <n v="432"/>
    <n v="549"/>
    <n v="58"/>
    <n v="80"/>
    <n v="400"/>
    <n v="124"/>
    <n v="1073"/>
    <n v="4521"/>
  </r>
  <r>
    <x v="54"/>
    <s v="ITA"/>
    <x v="19"/>
    <x v="20"/>
    <n v="4543490485"/>
    <n v="1233845213"/>
    <n v="1287"/>
    <n v="190"/>
    <n v="1477"/>
    <n v="8967"/>
    <n v="10444"/>
    <n v="-174"/>
    <n v="318"/>
    <n v="4189"/>
    <n v="1059"/>
    <n v="15692"/>
    <n v="247329"/>
  </r>
  <r>
    <x v="55"/>
    <s v="ITA"/>
    <x v="0"/>
    <x v="0"/>
    <n v="4235122196"/>
    <n v="1339843823"/>
    <n v="317"/>
    <n v="40"/>
    <n v="357"/>
    <n v="1630"/>
    <n v="1987"/>
    <n v="16"/>
    <n v="34"/>
    <n v="276"/>
    <n v="258"/>
    <n v="2521"/>
    <n v="27791"/>
  </r>
  <r>
    <x v="55"/>
    <s v="ITA"/>
    <x v="1"/>
    <x v="1"/>
    <n v="4063947052"/>
    <n v="1580514834"/>
    <n v="59"/>
    <n v="8"/>
    <n v="67"/>
    <n v="180"/>
    <n v="247"/>
    <n v="-15"/>
    <n v="3"/>
    <n v="71"/>
    <n v="24"/>
    <n v="342"/>
    <n v="6528"/>
  </r>
  <r>
    <x v="55"/>
    <s v="ITA"/>
    <x v="2"/>
    <x v="2"/>
    <n v="4649933453"/>
    <n v="1135662422"/>
    <n v="162"/>
    <n v="23"/>
    <n v="185"/>
    <n v="1381"/>
    <n v="1566"/>
    <n v="10"/>
    <n v="55"/>
    <n v="569"/>
    <n v="245"/>
    <n v="2380"/>
    <n v="30361"/>
  </r>
  <r>
    <x v="55"/>
    <s v="ITA"/>
    <x v="3"/>
    <x v="3"/>
    <n v="3890597598"/>
    <n v="1659440194"/>
    <n v="142"/>
    <n v="6"/>
    <n v="148"/>
    <n v="696"/>
    <n v="844"/>
    <n v="12"/>
    <n v="24"/>
    <n v="116"/>
    <n v="75"/>
    <n v="1035"/>
    <n v="23760"/>
  </r>
  <r>
    <x v="55"/>
    <s v="ITA"/>
    <x v="4"/>
    <x v="4"/>
    <n v="4083956555"/>
    <n v="1425084984"/>
    <n v="590"/>
    <n v="61"/>
    <n v="651"/>
    <n v="2371"/>
    <n v="3022"/>
    <n v="-23"/>
    <n v="41"/>
    <n v="703"/>
    <n v="304"/>
    <n v="4029"/>
    <n v="48187"/>
  </r>
  <r>
    <x v="55"/>
    <s v="ITA"/>
    <x v="5"/>
    <x v="5"/>
    <n v="4449436681"/>
    <n v="113417208"/>
    <n v="3166"/>
    <n v="289"/>
    <n v="3455"/>
    <n v="10097"/>
    <n v="13552"/>
    <n v="-32"/>
    <n v="376"/>
    <n v="5985"/>
    <n v="3023"/>
    <n v="22560"/>
    <n v="124916"/>
  </r>
  <r>
    <x v="55"/>
    <s v="ITA"/>
    <x v="6"/>
    <x v="6"/>
    <n v="456494354"/>
    <n v="1376813649"/>
    <n v="140"/>
    <n v="25"/>
    <n v="165"/>
    <n v="1172"/>
    <n v="1337"/>
    <n v="-66"/>
    <n v="14"/>
    <n v="1183"/>
    <n v="225"/>
    <n v="2745"/>
    <n v="44622"/>
  </r>
  <r>
    <x v="55"/>
    <s v="ITA"/>
    <x v="7"/>
    <x v="7"/>
    <n v="4189277044"/>
    <n v="1248366722"/>
    <n v="1370"/>
    <n v="185"/>
    <n v="1555"/>
    <n v="2766"/>
    <n v="4321"/>
    <n v="39"/>
    <n v="87"/>
    <n v="1093"/>
    <n v="341"/>
    <n v="5755"/>
    <n v="91807"/>
  </r>
  <r>
    <x v="55"/>
    <s v="ITA"/>
    <x v="8"/>
    <x v="8"/>
    <n v="4441149315"/>
    <n v="89326992"/>
    <n v="885"/>
    <n v="101"/>
    <n v="986"/>
    <n v="2504"/>
    <n v="3490"/>
    <n v="78"/>
    <n v="227"/>
    <n v="2110"/>
    <n v="928"/>
    <n v="6528"/>
    <n v="31551"/>
  </r>
  <r>
    <x v="55"/>
    <s v="ITA"/>
    <x v="9"/>
    <x v="9"/>
    <n v="4546679409"/>
    <n v="9190347404"/>
    <n v="10342"/>
    <n v="922"/>
    <n v="11264"/>
    <n v="23233"/>
    <n v="34497"/>
    <n v="302"/>
    <n v="855"/>
    <n v="19526"/>
    <n v="12213"/>
    <n v="66236"/>
    <n v="264155"/>
  </r>
  <r>
    <x v="55"/>
    <s v="ITA"/>
    <x v="10"/>
    <x v="10"/>
    <n v="4361675973"/>
    <n v="135188753"/>
    <n v="799"/>
    <n v="86"/>
    <n v="885"/>
    <n v="2297"/>
    <n v="3182"/>
    <n v="10"/>
    <n v="48"/>
    <n v="1780"/>
    <n v="807"/>
    <n v="5769"/>
    <n v="41474"/>
  </r>
  <r>
    <x v="55"/>
    <s v="ITA"/>
    <x v="11"/>
    <x v="11"/>
    <n v="4155774754"/>
    <n v="1465916051"/>
    <n v="27"/>
    <n v="4"/>
    <n v="31"/>
    <n v="184"/>
    <n v="215"/>
    <n v="6"/>
    <n v="10"/>
    <n v="47"/>
    <n v="17"/>
    <n v="279"/>
    <n v="3584"/>
  </r>
  <r>
    <x v="55"/>
    <s v="ITA"/>
    <x v="12"/>
    <x v="12"/>
    <n v="450732745"/>
    <n v="7680687483"/>
    <n v="3201"/>
    <n v="305"/>
    <n v="3506"/>
    <n v="10964"/>
    <n v="14470"/>
    <n v="247"/>
    <n v="593"/>
    <n v="4256"/>
    <n v="2331"/>
    <n v="21057"/>
    <n v="96569"/>
  </r>
  <r>
    <x v="55"/>
    <s v="ITA"/>
    <x v="13"/>
    <x v="13"/>
    <n v="4112559576"/>
    <n v="1686736689"/>
    <n v="590"/>
    <n v="60"/>
    <n v="650"/>
    <n v="2136"/>
    <n v="2786"/>
    <n v="92"/>
    <n v="120"/>
    <n v="427"/>
    <n v="316"/>
    <n v="3529"/>
    <n v="42598"/>
  </r>
  <r>
    <x v="55"/>
    <s v="ITA"/>
    <x v="14"/>
    <x v="14"/>
    <n v="3921531192"/>
    <n v="9110616306"/>
    <n v="117"/>
    <n v="22"/>
    <n v="139"/>
    <n v="725"/>
    <n v="864"/>
    <n v="-17"/>
    <n v="17"/>
    <n v="265"/>
    <n v="86"/>
    <n v="1215"/>
    <n v="14859"/>
  </r>
  <r>
    <x v="55"/>
    <s v="ITA"/>
    <x v="15"/>
    <x v="15"/>
    <n v="3811569725"/>
    <n v="133623567"/>
    <n v="522"/>
    <n v="41"/>
    <n v="563"/>
    <n v="1639"/>
    <n v="2202"/>
    <n v="31"/>
    <n v="45"/>
    <n v="315"/>
    <n v="200"/>
    <n v="2717"/>
    <n v="49772"/>
  </r>
  <r>
    <x v="55"/>
    <s v="ITA"/>
    <x v="16"/>
    <x v="16"/>
    <n v="4376923077"/>
    <n v="1125588885"/>
    <n v="852"/>
    <n v="192"/>
    <n v="1044"/>
    <n v="5452"/>
    <n v="6496"/>
    <n v="26"/>
    <n v="135"/>
    <n v="1239"/>
    <n v="637"/>
    <n v="8372"/>
    <n v="103975"/>
  </r>
  <r>
    <x v="55"/>
    <s v="ITA"/>
    <x v="2"/>
    <x v="17"/>
    <n v="4606893511"/>
    <n v="1112123097"/>
    <n v="278"/>
    <n v="41"/>
    <n v="319"/>
    <n v="1652"/>
    <n v="1971"/>
    <n v="-14"/>
    <n v="101"/>
    <n v="1201"/>
    <n v="360"/>
    <n v="3532"/>
    <n v="24388"/>
  </r>
  <r>
    <x v="55"/>
    <s v="ITA"/>
    <x v="17"/>
    <x v="18"/>
    <n v="4310675841"/>
    <n v="1238824698"/>
    <n v="108"/>
    <n v="30"/>
    <n v="138"/>
    <n v="298"/>
    <n v="436"/>
    <n v="5"/>
    <n v="4"/>
    <n v="854"/>
    <n v="58"/>
    <n v="1348"/>
    <n v="25170"/>
  </r>
  <r>
    <x v="55"/>
    <s v="ITA"/>
    <x v="18"/>
    <x v="19"/>
    <n v="4573750286"/>
    <n v="7320149366"/>
    <n v="102"/>
    <n v="10"/>
    <n v="112"/>
    <n v="450"/>
    <n v="562"/>
    <n v="13"/>
    <n v="15"/>
    <n v="401"/>
    <n v="125"/>
    <n v="1088"/>
    <n v="4677"/>
  </r>
  <r>
    <x v="55"/>
    <s v="ITA"/>
    <x v="19"/>
    <x v="20"/>
    <n v="4543490485"/>
    <n v="1233845213"/>
    <n v="1264"/>
    <n v="184"/>
    <n v="1448"/>
    <n v="8762"/>
    <n v="10210"/>
    <n v="-234"/>
    <n v="243"/>
    <n v="4638"/>
    <n v="1087"/>
    <n v="15935"/>
    <n v="255797"/>
  </r>
  <r>
    <x v="56"/>
    <s v="ITA"/>
    <x v="0"/>
    <x v="0"/>
    <n v="4235122196"/>
    <n v="1339843823"/>
    <n v="320"/>
    <n v="38"/>
    <n v="358"/>
    <n v="1704"/>
    <n v="2062"/>
    <n v="75"/>
    <n v="91"/>
    <n v="287"/>
    <n v="263"/>
    <n v="2612"/>
    <n v="27942"/>
  </r>
  <r>
    <x v="56"/>
    <s v="ITA"/>
    <x v="1"/>
    <x v="1"/>
    <n v="4063947052"/>
    <n v="1580514834"/>
    <n v="59"/>
    <n v="7"/>
    <n v="66"/>
    <n v="176"/>
    <n v="242"/>
    <n v="-5"/>
    <n v="0"/>
    <n v="76"/>
    <n v="24"/>
    <n v="342"/>
    <n v="6868"/>
  </r>
  <r>
    <x v="56"/>
    <s v="ITA"/>
    <x v="2"/>
    <x v="2"/>
    <n v="4649933453"/>
    <n v="1135662422"/>
    <n v="160"/>
    <n v="19"/>
    <n v="179"/>
    <n v="1361"/>
    <n v="1540"/>
    <n v="-26"/>
    <n v="14"/>
    <n v="605"/>
    <n v="249"/>
    <n v="2394"/>
    <n v="31381"/>
  </r>
  <r>
    <x v="56"/>
    <s v="ITA"/>
    <x v="3"/>
    <x v="3"/>
    <n v="3890597598"/>
    <n v="1659440194"/>
    <n v="140"/>
    <n v="7"/>
    <n v="147"/>
    <n v="681"/>
    <n v="828"/>
    <n v="-16"/>
    <n v="3"/>
    <n v="135"/>
    <n v="75"/>
    <n v="1038"/>
    <n v="24373"/>
  </r>
  <r>
    <x v="56"/>
    <s v="ITA"/>
    <x v="4"/>
    <x v="4"/>
    <n v="4083956555"/>
    <n v="1425084984"/>
    <n v="586"/>
    <n v="61"/>
    <n v="647"/>
    <n v="2372"/>
    <n v="3019"/>
    <n v="-3"/>
    <n v="45"/>
    <n v="746"/>
    <n v="309"/>
    <n v="4074"/>
    <n v="51090"/>
  </r>
  <r>
    <x v="56"/>
    <s v="ITA"/>
    <x v="5"/>
    <x v="5"/>
    <n v="4449436681"/>
    <n v="113417208"/>
    <n v="3144"/>
    <n v="283"/>
    <n v="3427"/>
    <n v="10095"/>
    <n v="13522"/>
    <n v="-30"/>
    <n v="307"/>
    <n v="6266"/>
    <n v="3079"/>
    <n v="22867"/>
    <n v="129530"/>
  </r>
  <r>
    <x v="56"/>
    <s v="ITA"/>
    <x v="6"/>
    <x v="6"/>
    <n v="456494354"/>
    <n v="1376813649"/>
    <n v="140"/>
    <n v="22"/>
    <n v="162"/>
    <n v="1028"/>
    <n v="1190"/>
    <n v="-147"/>
    <n v="30"/>
    <n v="1346"/>
    <n v="239"/>
    <n v="2775"/>
    <n v="45161"/>
  </r>
  <r>
    <x v="56"/>
    <s v="ITA"/>
    <x v="7"/>
    <x v="7"/>
    <n v="4189277044"/>
    <n v="1248366722"/>
    <n v="1388"/>
    <n v="185"/>
    <n v="1573"/>
    <n v="2792"/>
    <n v="4365"/>
    <n v="44"/>
    <n v="60"/>
    <n v="1101"/>
    <n v="349"/>
    <n v="5815"/>
    <n v="97823"/>
  </r>
  <r>
    <x v="56"/>
    <s v="ITA"/>
    <x v="8"/>
    <x v="8"/>
    <n v="4441149315"/>
    <n v="89326992"/>
    <n v="878"/>
    <n v="102"/>
    <n v="980"/>
    <n v="2516"/>
    <n v="3496"/>
    <n v="6"/>
    <n v="141"/>
    <n v="2216"/>
    <n v="957"/>
    <n v="6669"/>
    <n v="33007"/>
  </r>
  <r>
    <x v="56"/>
    <s v="ITA"/>
    <x v="9"/>
    <x v="9"/>
    <n v="4546679409"/>
    <n v="9190347404"/>
    <n v="10138"/>
    <n v="901"/>
    <n v="11039"/>
    <n v="23548"/>
    <n v="34587"/>
    <n v="90"/>
    <n v="735"/>
    <n v="20008"/>
    <n v="12376"/>
    <n v="66971"/>
    <n v="270486"/>
  </r>
  <r>
    <x v="56"/>
    <s v="ITA"/>
    <x v="10"/>
    <x v="10"/>
    <n v="4361675973"/>
    <n v="135188753"/>
    <n v="792"/>
    <n v="80"/>
    <n v="872"/>
    <n v="2340"/>
    <n v="3212"/>
    <n v="30"/>
    <n v="57"/>
    <n v="1792"/>
    <n v="822"/>
    <n v="5826"/>
    <n v="42782"/>
  </r>
  <r>
    <x v="56"/>
    <s v="ITA"/>
    <x v="11"/>
    <x v="11"/>
    <n v="4155774754"/>
    <n v="1465916051"/>
    <n v="27"/>
    <n v="2"/>
    <n v="29"/>
    <n v="184"/>
    <n v="213"/>
    <n v="-2"/>
    <n v="2"/>
    <n v="50"/>
    <n v="18"/>
    <n v="281"/>
    <n v="3783"/>
  </r>
  <r>
    <x v="56"/>
    <s v="ITA"/>
    <x v="12"/>
    <x v="12"/>
    <n v="450732745"/>
    <n v="7680687483"/>
    <n v="3299"/>
    <n v="301"/>
    <n v="3600"/>
    <n v="10957"/>
    <n v="14557"/>
    <n v="87"/>
    <n v="292"/>
    <n v="4383"/>
    <n v="2409"/>
    <n v="21349"/>
    <n v="99669"/>
  </r>
  <r>
    <x v="56"/>
    <s v="ITA"/>
    <x v="13"/>
    <x v="13"/>
    <n v="4112559576"/>
    <n v="1686736689"/>
    <n v="584"/>
    <n v="66"/>
    <n v="650"/>
    <n v="2160"/>
    <n v="2810"/>
    <n v="24"/>
    <n v="38"/>
    <n v="431"/>
    <n v="326"/>
    <n v="3567"/>
    <n v="44189"/>
  </r>
  <r>
    <x v="56"/>
    <s v="ITA"/>
    <x v="14"/>
    <x v="14"/>
    <n v="3921531192"/>
    <n v="9110616306"/>
    <n v="115"/>
    <n v="21"/>
    <n v="136"/>
    <n v="718"/>
    <n v="854"/>
    <n v="-10"/>
    <n v="13"/>
    <n v="288"/>
    <n v="86"/>
    <n v="1228"/>
    <n v="15328"/>
  </r>
  <r>
    <x v="56"/>
    <s v="ITA"/>
    <x v="15"/>
    <x v="15"/>
    <n v="3811569725"/>
    <n v="133623567"/>
    <n v="526"/>
    <n v="39"/>
    <n v="565"/>
    <n v="1645"/>
    <n v="2210"/>
    <n v="8"/>
    <n v="42"/>
    <n v="346"/>
    <n v="203"/>
    <n v="2759"/>
    <n v="51373"/>
  </r>
  <r>
    <x v="56"/>
    <s v="ITA"/>
    <x v="16"/>
    <x v="16"/>
    <n v="4376923077"/>
    <n v="1125588885"/>
    <n v="850"/>
    <n v="182"/>
    <n v="1032"/>
    <n v="5536"/>
    <n v="6568"/>
    <n v="72"/>
    <n v="135"/>
    <n v="1272"/>
    <n v="667"/>
    <n v="8507"/>
    <n v="105857"/>
  </r>
  <r>
    <x v="56"/>
    <s v="ITA"/>
    <x v="2"/>
    <x v="17"/>
    <n v="4606893511"/>
    <n v="1112123097"/>
    <n v="272"/>
    <n v="40"/>
    <n v="312"/>
    <n v="1617"/>
    <n v="1929"/>
    <n v="-42"/>
    <n v="58"/>
    <n v="1295"/>
    <n v="366"/>
    <n v="3590"/>
    <n v="26211"/>
  </r>
  <r>
    <x v="56"/>
    <s v="ITA"/>
    <x v="17"/>
    <x v="18"/>
    <n v="4310675841"/>
    <n v="1238824698"/>
    <n v="113"/>
    <n v="29"/>
    <n v="142"/>
    <n v="282"/>
    <n v="424"/>
    <n v="-12"/>
    <n v="1"/>
    <n v="867"/>
    <n v="58"/>
    <n v="1349"/>
    <n v="25562"/>
  </r>
  <r>
    <x v="56"/>
    <s v="ITA"/>
    <x v="18"/>
    <x v="19"/>
    <n v="4573750286"/>
    <n v="7320149366"/>
    <n v="102"/>
    <n v="8"/>
    <n v="110"/>
    <n v="438"/>
    <n v="548"/>
    <n v="-14"/>
    <n v="0"/>
    <n v="413"/>
    <n v="127"/>
    <n v="1088"/>
    <n v="4799"/>
  </r>
  <r>
    <x v="56"/>
    <s v="ITA"/>
    <x v="19"/>
    <x v="20"/>
    <n v="4543490485"/>
    <n v="1233845213"/>
    <n v="1273"/>
    <n v="180"/>
    <n v="1453"/>
    <n v="8608"/>
    <n v="10061"/>
    <n v="-149"/>
    <n v="192"/>
    <n v="4954"/>
    <n v="1112"/>
    <n v="16127"/>
    <n v="260810"/>
  </r>
  <r>
    <x v="57"/>
    <s v="ITA"/>
    <x v="0"/>
    <x v="0"/>
    <n v="4235122196"/>
    <n v="1339843823"/>
    <n v="318"/>
    <n v="35"/>
    <n v="353"/>
    <n v="1714"/>
    <n v="2067"/>
    <n v="5"/>
    <n v="55"/>
    <n v="329"/>
    <n v="271"/>
    <n v="2667"/>
    <n v="29906"/>
  </r>
  <r>
    <x v="57"/>
    <s v="ITA"/>
    <x v="1"/>
    <x v="1"/>
    <n v="4063947052"/>
    <n v="1580514834"/>
    <n v="64"/>
    <n v="7"/>
    <n v="71"/>
    <n v="174"/>
    <n v="245"/>
    <n v="3"/>
    <n v="8"/>
    <n v="81"/>
    <n v="24"/>
    <n v="350"/>
    <n v="7470"/>
  </r>
  <r>
    <x v="57"/>
    <s v="ITA"/>
    <x v="2"/>
    <x v="2"/>
    <n v="4649933453"/>
    <n v="1135662422"/>
    <n v="159"/>
    <n v="20"/>
    <n v="179"/>
    <n v="1357"/>
    <n v="1536"/>
    <n v="-4"/>
    <n v="16"/>
    <n v="623"/>
    <n v="251"/>
    <n v="2410"/>
    <n v="31987"/>
  </r>
  <r>
    <x v="57"/>
    <s v="ITA"/>
    <x v="3"/>
    <x v="3"/>
    <n v="3890597598"/>
    <n v="1659440194"/>
    <n v="133"/>
    <n v="7"/>
    <n v="140"/>
    <n v="679"/>
    <n v="819"/>
    <n v="-9"/>
    <n v="9"/>
    <n v="152"/>
    <n v="76"/>
    <n v="1047"/>
    <n v="25440"/>
  </r>
  <r>
    <x v="57"/>
    <s v="ITA"/>
    <x v="4"/>
    <x v="4"/>
    <n v="4083956555"/>
    <n v="1425084984"/>
    <n v="532"/>
    <n v="58"/>
    <n v="590"/>
    <n v="2356"/>
    <n v="2946"/>
    <n v="-73"/>
    <n v="61"/>
    <n v="872"/>
    <n v="317"/>
    <n v="4135"/>
    <n v="53548"/>
  </r>
  <r>
    <x v="57"/>
    <s v="ITA"/>
    <x v="5"/>
    <x v="5"/>
    <n v="4449436681"/>
    <n v="113417208"/>
    <n v="3045"/>
    <n v="282"/>
    <n v="3327"/>
    <n v="9917"/>
    <n v="13244"/>
    <n v="-278"/>
    <n v="225"/>
    <n v="6701"/>
    <n v="3147"/>
    <n v="23092"/>
    <n v="134878"/>
  </r>
  <r>
    <x v="57"/>
    <s v="ITA"/>
    <x v="6"/>
    <x v="6"/>
    <n v="456494354"/>
    <n v="1376813649"/>
    <n v="139"/>
    <n v="21"/>
    <n v="160"/>
    <n v="1162"/>
    <n v="1322"/>
    <n v="132"/>
    <n v="17"/>
    <n v="1229"/>
    <n v="241"/>
    <n v="2792"/>
    <n v="48500"/>
  </r>
  <r>
    <x v="57"/>
    <s v="ITA"/>
    <x v="7"/>
    <x v="7"/>
    <n v="4189277044"/>
    <n v="1248366722"/>
    <n v="1380"/>
    <n v="184"/>
    <n v="1564"/>
    <n v="2838"/>
    <n v="4402"/>
    <n v="37"/>
    <n v="80"/>
    <n v="1130"/>
    <n v="363"/>
    <n v="5895"/>
    <n v="100031"/>
  </r>
  <r>
    <x v="57"/>
    <s v="ITA"/>
    <x v="8"/>
    <x v="8"/>
    <n v="4441149315"/>
    <n v="89326992"/>
    <n v="914"/>
    <n v="94"/>
    <n v="1008"/>
    <n v="2455"/>
    <n v="3463"/>
    <n v="-33"/>
    <n v="95"/>
    <n v="2311"/>
    <n v="990"/>
    <n v="6764"/>
    <n v="34186"/>
  </r>
  <r>
    <x v="57"/>
    <s v="ITA"/>
    <x v="9"/>
    <x v="9"/>
    <n v="4546679409"/>
    <n v="9190347404"/>
    <n v="9805"/>
    <n v="851"/>
    <n v="10656"/>
    <n v="23322"/>
    <n v="33978"/>
    <n v="-609"/>
    <n v="960"/>
    <n v="21374"/>
    <n v="12579"/>
    <n v="67931"/>
    <n v="277197"/>
  </r>
  <r>
    <x v="57"/>
    <s v="ITA"/>
    <x v="10"/>
    <x v="10"/>
    <n v="4361675973"/>
    <n v="135188753"/>
    <n v="784"/>
    <n v="78"/>
    <n v="862"/>
    <n v="2356"/>
    <n v="3218"/>
    <n v="6"/>
    <n v="51"/>
    <n v="1825"/>
    <n v="834"/>
    <n v="5877"/>
    <n v="44332"/>
  </r>
  <r>
    <x v="57"/>
    <s v="ITA"/>
    <x v="11"/>
    <x v="11"/>
    <n v="4155774754"/>
    <n v="1465916051"/>
    <n v="27"/>
    <n v="2"/>
    <n v="29"/>
    <n v="184"/>
    <n v="213"/>
    <n v="0"/>
    <n v="1"/>
    <n v="51"/>
    <n v="18"/>
    <n v="282"/>
    <n v="4124"/>
  </r>
  <r>
    <x v="57"/>
    <s v="ITA"/>
    <x v="12"/>
    <x v="12"/>
    <n v="450732745"/>
    <n v="7680687483"/>
    <n v="3116"/>
    <n v="293"/>
    <n v="3409"/>
    <n v="11402"/>
    <n v="14811"/>
    <n v="254"/>
    <n v="606"/>
    <n v="4659"/>
    <n v="2485"/>
    <n v="21955"/>
    <n v="105434"/>
  </r>
  <r>
    <x v="57"/>
    <s v="ITA"/>
    <x v="13"/>
    <x v="13"/>
    <n v="4112559576"/>
    <n v="1686736689"/>
    <n v="569"/>
    <n v="65"/>
    <n v="634"/>
    <n v="2178"/>
    <n v="2812"/>
    <n v="2"/>
    <n v="55"/>
    <n v="459"/>
    <n v="351"/>
    <n v="3622"/>
    <n v="45984"/>
  </r>
  <r>
    <x v="57"/>
    <s v="ITA"/>
    <x v="14"/>
    <x v="14"/>
    <n v="3921531192"/>
    <n v="9110616306"/>
    <n v="112"/>
    <n v="21"/>
    <n v="133"/>
    <n v="704"/>
    <n v="837"/>
    <n v="-17"/>
    <n v="8"/>
    <n v="306"/>
    <n v="93"/>
    <n v="1236"/>
    <n v="15886"/>
  </r>
  <r>
    <x v="57"/>
    <s v="ITA"/>
    <x v="15"/>
    <x v="15"/>
    <n v="3811569725"/>
    <n v="133623567"/>
    <n v="514"/>
    <n v="37"/>
    <n v="551"/>
    <n v="1708"/>
    <n v="2259"/>
    <n v="49"/>
    <n v="76"/>
    <n v="370"/>
    <n v="206"/>
    <n v="2835"/>
    <n v="55093"/>
  </r>
  <r>
    <x v="57"/>
    <s v="ITA"/>
    <x v="16"/>
    <x v="16"/>
    <n v="4376923077"/>
    <n v="1125588885"/>
    <n v="833"/>
    <n v="171"/>
    <n v="1004"/>
    <n v="5618"/>
    <n v="6622"/>
    <n v="54"/>
    <n v="96"/>
    <n v="1295"/>
    <n v="686"/>
    <n v="8603"/>
    <n v="109925"/>
  </r>
  <r>
    <x v="57"/>
    <s v="ITA"/>
    <x v="2"/>
    <x v="17"/>
    <n v="4606893511"/>
    <n v="1112123097"/>
    <n v="254"/>
    <n v="38"/>
    <n v="292"/>
    <n v="1617"/>
    <n v="1909"/>
    <n v="-20"/>
    <n v="24"/>
    <n v="1329"/>
    <n v="376"/>
    <n v="3614"/>
    <n v="26610"/>
  </r>
  <r>
    <x v="57"/>
    <s v="ITA"/>
    <x v="17"/>
    <x v="18"/>
    <n v="4310675841"/>
    <n v="1238824698"/>
    <n v="107"/>
    <n v="22"/>
    <n v="129"/>
    <n v="278"/>
    <n v="407"/>
    <n v="-17"/>
    <n v="4"/>
    <n v="886"/>
    <n v="60"/>
    <n v="1353"/>
    <n v="26639"/>
  </r>
  <r>
    <x v="57"/>
    <s v="ITA"/>
    <x v="18"/>
    <x v="19"/>
    <n v="4573750286"/>
    <n v="7320149366"/>
    <n v="99"/>
    <n v="8"/>
    <n v="107"/>
    <n v="415"/>
    <n v="522"/>
    <n v="-26"/>
    <n v="5"/>
    <n v="445"/>
    <n v="126"/>
    <n v="1093"/>
    <n v="4911"/>
  </r>
  <r>
    <x v="57"/>
    <s v="ITA"/>
    <x v="19"/>
    <x v="20"/>
    <n v="4543490485"/>
    <n v="1233845213"/>
    <n v="1230"/>
    <n v="177"/>
    <n v="1407"/>
    <n v="8670"/>
    <n v="10077"/>
    <n v="16"/>
    <n v="277"/>
    <n v="5173"/>
    <n v="1154"/>
    <n v="16404"/>
    <n v="268069"/>
  </r>
  <r>
    <x v="58"/>
    <s v="ITA"/>
    <x v="0"/>
    <x v="0"/>
    <n v="4235122196"/>
    <n v="1339843823"/>
    <n v="309"/>
    <n v="35"/>
    <n v="344"/>
    <n v="1764"/>
    <n v="2108"/>
    <n v="41"/>
    <n v="66"/>
    <n v="349"/>
    <n v="276"/>
    <n v="2733"/>
    <n v="30348"/>
  </r>
  <r>
    <x v="58"/>
    <s v="ITA"/>
    <x v="1"/>
    <x v="1"/>
    <n v="4063947052"/>
    <n v="1580514834"/>
    <n v="65"/>
    <n v="7"/>
    <n v="72"/>
    <n v="160"/>
    <n v="232"/>
    <n v="-13"/>
    <n v="4"/>
    <n v="98"/>
    <n v="24"/>
    <n v="354"/>
    <n v="8040"/>
  </r>
  <r>
    <x v="58"/>
    <s v="ITA"/>
    <x v="2"/>
    <x v="2"/>
    <n v="4649933453"/>
    <n v="1135662422"/>
    <n v="157"/>
    <n v="19"/>
    <n v="176"/>
    <n v="1336"/>
    <n v="1512"/>
    <n v="-24"/>
    <n v="6"/>
    <n v="648"/>
    <n v="256"/>
    <n v="2416"/>
    <n v="32722"/>
  </r>
  <r>
    <x v="58"/>
    <s v="ITA"/>
    <x v="3"/>
    <x v="3"/>
    <n v="3890597598"/>
    <n v="1659440194"/>
    <n v="128"/>
    <n v="7"/>
    <n v="135"/>
    <n v="686"/>
    <n v="821"/>
    <n v="2"/>
    <n v="13"/>
    <n v="163"/>
    <n v="76"/>
    <n v="1060"/>
    <n v="26560"/>
  </r>
  <r>
    <x v="58"/>
    <s v="ITA"/>
    <x v="4"/>
    <x v="4"/>
    <n v="4083956555"/>
    <n v="1425084984"/>
    <n v="523"/>
    <n v="53"/>
    <n v="576"/>
    <n v="2422"/>
    <n v="2998"/>
    <n v="52"/>
    <n v="50"/>
    <n v="860"/>
    <n v="327"/>
    <n v="4185"/>
    <n v="55701"/>
  </r>
  <r>
    <x v="58"/>
    <s v="ITA"/>
    <x v="5"/>
    <x v="5"/>
    <n v="4449436681"/>
    <n v="113417208"/>
    <n v="2964"/>
    <n v="282"/>
    <n v="3246"/>
    <n v="9838"/>
    <n v="13084"/>
    <n v="-160"/>
    <n v="342"/>
    <n v="7146"/>
    <n v="3204"/>
    <n v="23434"/>
    <n v="140874"/>
  </r>
  <r>
    <x v="58"/>
    <s v="ITA"/>
    <x v="6"/>
    <x v="6"/>
    <n v="456494354"/>
    <n v="1376813649"/>
    <n v="134"/>
    <n v="20"/>
    <n v="154"/>
    <n v="1154"/>
    <n v="1308"/>
    <n v="-14"/>
    <n v="25"/>
    <n v="1263"/>
    <n v="246"/>
    <n v="2817"/>
    <n v="50869"/>
  </r>
  <r>
    <x v="58"/>
    <s v="ITA"/>
    <x v="7"/>
    <x v="7"/>
    <n v="4189277044"/>
    <n v="1248366722"/>
    <n v="1384"/>
    <n v="187"/>
    <n v="1571"/>
    <n v="2892"/>
    <n v="4463"/>
    <n v="61"/>
    <n v="80"/>
    <n v="1142"/>
    <n v="370"/>
    <n v="5975"/>
    <n v="104062"/>
  </r>
  <r>
    <x v="58"/>
    <s v="ITA"/>
    <x v="8"/>
    <x v="8"/>
    <n v="4441149315"/>
    <n v="89326992"/>
    <n v="860"/>
    <n v="92"/>
    <n v="952"/>
    <n v="2524"/>
    <n v="3476"/>
    <n v="13"/>
    <n v="154"/>
    <n v="2420"/>
    <n v="1022"/>
    <n v="6918"/>
    <n v="35990"/>
  </r>
  <r>
    <x v="58"/>
    <s v="ITA"/>
    <x v="9"/>
    <x v="9"/>
    <n v="4546679409"/>
    <n v="9190347404"/>
    <n v="9692"/>
    <n v="817"/>
    <n v="10509"/>
    <n v="23733"/>
    <n v="34242"/>
    <n v="264"/>
    <n v="1161"/>
    <n v="22110"/>
    <n v="12740"/>
    <n v="69092"/>
    <n v="290699"/>
  </r>
  <r>
    <x v="58"/>
    <s v="ITA"/>
    <x v="10"/>
    <x v="10"/>
    <n v="4361675973"/>
    <n v="135188753"/>
    <n v="735"/>
    <n v="76"/>
    <n v="811"/>
    <n v="2419"/>
    <n v="3230"/>
    <n v="12"/>
    <n v="47"/>
    <n v="1849"/>
    <n v="845"/>
    <n v="5924"/>
    <n v="46492"/>
  </r>
  <r>
    <x v="58"/>
    <s v="ITA"/>
    <x v="11"/>
    <x v="11"/>
    <n v="4155774754"/>
    <n v="1465916051"/>
    <n v="21"/>
    <n v="2"/>
    <n v="23"/>
    <n v="182"/>
    <n v="205"/>
    <n v="-8"/>
    <n v="2"/>
    <n v="60"/>
    <n v="19"/>
    <n v="284"/>
    <n v="4425"/>
  </r>
  <r>
    <x v="58"/>
    <s v="ITA"/>
    <x v="12"/>
    <x v="12"/>
    <n v="450732745"/>
    <n v="7680687483"/>
    <n v="3213"/>
    <n v="273"/>
    <n v="3486"/>
    <n v="11636"/>
    <n v="15122"/>
    <n v="311"/>
    <n v="784"/>
    <n v="5058"/>
    <n v="2559"/>
    <n v="22739"/>
    <n v="111513"/>
  </r>
  <r>
    <x v="58"/>
    <s v="ITA"/>
    <x v="13"/>
    <x v="13"/>
    <n v="4112559576"/>
    <n v="1686736689"/>
    <n v="564"/>
    <n v="60"/>
    <n v="624"/>
    <n v="2250"/>
    <n v="2874"/>
    <n v="62"/>
    <n v="108"/>
    <n v="494"/>
    <n v="362"/>
    <n v="3730"/>
    <n v="48342"/>
  </r>
  <r>
    <x v="58"/>
    <s v="ITA"/>
    <x v="14"/>
    <x v="14"/>
    <n v="3921531192"/>
    <n v="9110616306"/>
    <n v="97"/>
    <n v="20"/>
    <n v="117"/>
    <n v="716"/>
    <n v="833"/>
    <n v="-4"/>
    <n v="11"/>
    <n v="318"/>
    <n v="96"/>
    <n v="1247"/>
    <n v="16886"/>
  </r>
  <r>
    <x v="58"/>
    <s v="ITA"/>
    <x v="15"/>
    <x v="15"/>
    <n v="3811569725"/>
    <n v="133623567"/>
    <n v="500"/>
    <n v="35"/>
    <n v="535"/>
    <n v="1752"/>
    <n v="2287"/>
    <n v="28"/>
    <n v="48"/>
    <n v="388"/>
    <n v="208"/>
    <n v="2883"/>
    <n v="58732"/>
  </r>
  <r>
    <x v="58"/>
    <s v="ITA"/>
    <x v="16"/>
    <x v="16"/>
    <n v="4376923077"/>
    <n v="1125588885"/>
    <n v="820"/>
    <n v="174"/>
    <n v="994"/>
    <n v="5173"/>
    <n v="6167"/>
    <n v="-455"/>
    <n v="97"/>
    <n v="1828"/>
    <n v="705"/>
    <n v="8700"/>
    <n v="114100"/>
  </r>
  <r>
    <x v="58"/>
    <s v="ITA"/>
    <x v="2"/>
    <x v="17"/>
    <n v="4606893511"/>
    <n v="1112123097"/>
    <n v="245"/>
    <n v="34"/>
    <n v="279"/>
    <n v="1595"/>
    <n v="1874"/>
    <n v="-35"/>
    <n v="32"/>
    <n v="1391"/>
    <n v="381"/>
    <n v="3646"/>
    <n v="26674"/>
  </r>
  <r>
    <x v="58"/>
    <s v="ITA"/>
    <x v="17"/>
    <x v="18"/>
    <n v="4310675841"/>
    <n v="1238824698"/>
    <n v="97"/>
    <n v="20"/>
    <n v="117"/>
    <n v="254"/>
    <n v="371"/>
    <n v="-36"/>
    <n v="4"/>
    <n v="925"/>
    <n v="61"/>
    <n v="1357"/>
    <n v="27655"/>
  </r>
  <r>
    <x v="58"/>
    <s v="ITA"/>
    <x v="18"/>
    <x v="19"/>
    <n v="4573750286"/>
    <n v="7320149366"/>
    <n v="92"/>
    <n v="8"/>
    <n v="100"/>
    <n v="401"/>
    <n v="501"/>
    <n v="-21"/>
    <n v="2"/>
    <n v="467"/>
    <n v="127"/>
    <n v="1095"/>
    <n v="5024"/>
  </r>
  <r>
    <x v="58"/>
    <s v="ITA"/>
    <x v="19"/>
    <x v="20"/>
    <n v="4543490485"/>
    <n v="1233845213"/>
    <n v="1205"/>
    <n v="163"/>
    <n v="1368"/>
    <n v="8623"/>
    <n v="9991"/>
    <n v="-86"/>
    <n v="334"/>
    <n v="5566"/>
    <n v="1181"/>
    <n v="16738"/>
    <n v="277543"/>
  </r>
  <r>
    <x v="59"/>
    <m/>
    <x v="20"/>
    <x v="21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76DF2-5371-42E1-B3AC-C7601E0F8817}" name="Tabella pivot2" cacheId="6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Y54:Z114" firstHeaderRow="1" firstDataRow="1" firstDataCol="1" rowPageCount="2" colPageCount="1"/>
  <pivotFields count="18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showAll="0">
      <items count="22">
        <item x="12"/>
        <item x="18"/>
        <item x="9"/>
        <item x="2"/>
        <item x="19"/>
        <item x="6"/>
        <item x="8"/>
        <item x="5"/>
        <item x="16"/>
        <item x="17"/>
        <item x="10"/>
        <item x="7"/>
        <item x="0"/>
        <item x="11"/>
        <item x="4"/>
        <item x="13"/>
        <item x="1"/>
        <item x="3"/>
        <item x="15"/>
        <item x="14"/>
        <item x="20"/>
        <item t="default"/>
      </items>
    </pivotField>
    <pivotField axis="axisPage" showAll="0">
      <items count="23">
        <item x="0"/>
        <item x="1"/>
        <item x="3"/>
        <item x="4"/>
        <item x="5"/>
        <item x="6"/>
        <item x="7"/>
        <item x="8"/>
        <item x="9"/>
        <item x="10"/>
        <item x="11"/>
        <item x="2"/>
        <item x="17"/>
        <item x="12"/>
        <item x="13"/>
        <item x="14"/>
        <item x="15"/>
        <item x="16"/>
        <item x="18"/>
        <item x="19"/>
        <item x="20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60"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 t="grand">
      <x/>
    </i>
  </rowItems>
  <colItems count="1">
    <i/>
  </colItems>
  <pageFields count="2">
    <pageField fld="2" item="2" hier="-1"/>
    <pageField fld="3" item="8" hier="-1"/>
  </pageFields>
  <dataFields count="1">
    <dataField name="Somma di deceduti" fld="14" baseField="0" baseItem="0"/>
  </dataFields>
  <formats count="2">
    <format dxfId="59">
      <pivotArea collapsedLevelsAreSubtotals="1" fieldPosition="0">
        <references count="1">
          <reference field="0" count="58"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</reference>
        </references>
      </pivotArea>
    </format>
    <format dxfId="7">
      <pivotArea collapsedLevelsAreSubtotals="1" fieldPosition="0">
        <references count="1">
          <reference field="0" count="1">
            <x v="1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0189BA8-8873-404E-B164-FF83A5DE7C8F}" autoFormatId="16" applyNumberFormats="0" applyBorderFormats="0" applyFontFormats="0" applyPatternFormats="0" applyAlignmentFormats="0" applyWidthHeightFormats="0">
  <queryTableRefresh nextId="17">
    <queryTableFields count="16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casi_testati" tableColumnId="14"/>
      <queryTableField id="15" name="note_it" tableColumnId="15"/>
      <queryTableField id="16" name="note_en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5" xr16:uid="{7BF24BE1-34AC-42F2-BA73-724CB82322A7}" autoFormatId="16" applyNumberFormats="0" applyBorderFormats="0" applyFontFormats="0" applyPatternFormats="0" applyAlignmentFormats="0" applyWidthHeightFormats="0">
  <queryTableRefresh nextId="21">
    <queryTableFields count="20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casi_testati" tableColumnId="18"/>
      <queryTableField id="19" name="note_it" tableColumnId="19"/>
      <queryTableField id="20" name="note_en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04B03-58B1-434D-A307-5884EC3F41EC}" name="dpc_covid19_ita_andamento_nazionale__10" displayName="dpc_covid19_ita_andamento_nazionale__10" ref="A1:P60" tableType="queryTable" totalsRowShown="0">
  <autoFilter ref="A1:P60" xr:uid="{D0A1C8D8-5217-433D-99F5-8999CDDB2081}"/>
  <tableColumns count="16">
    <tableColumn id="1" xr3:uid="{6CCD7585-D8F9-4107-B9DC-D4B81DE6869B}" uniqueName="1" name="data" queryTableFieldId="1" dataDxfId="17"/>
    <tableColumn id="2" xr3:uid="{9B9CC325-AF99-4169-8709-CD8722606075}" uniqueName="2" name="stato" queryTableFieldId="2" dataDxfId="16"/>
    <tableColumn id="3" xr3:uid="{0F7390E4-FC30-4FA0-ABC2-20FBC8554A3E}" uniqueName="3" name="ricoverati_con_sintomi" queryTableFieldId="3"/>
    <tableColumn id="4" xr3:uid="{EFB9D222-FCCF-4564-8D4F-BDA9D67FDD44}" uniqueName="4" name="terapia_intensiva" queryTableFieldId="4"/>
    <tableColumn id="5" xr3:uid="{6D12266C-9B57-489D-AAEF-8B6925ED7394}" uniqueName="5" name="totale_ospedalizzati" queryTableFieldId="5"/>
    <tableColumn id="6" xr3:uid="{E49546B6-B8DD-4186-9897-0EE57E71AEB2}" uniqueName="6" name="isolamento_domiciliare" queryTableFieldId="6"/>
    <tableColumn id="7" xr3:uid="{DCB4CA99-F372-44FE-B61A-6CD1F9F07E4C}" uniqueName="7" name="totale_positivi" queryTableFieldId="7"/>
    <tableColumn id="8" xr3:uid="{6FD59F08-149C-4AA0-B320-971CE8C15CC7}" uniqueName="8" name="variazione_totale_positivi" queryTableFieldId="8"/>
    <tableColumn id="9" xr3:uid="{9EC6A8A3-B733-4C1D-BD0D-8FE69A76A9BA}" uniqueName="9" name="nuovi_positivi" queryTableFieldId="9"/>
    <tableColumn id="10" xr3:uid="{CF27497F-0A64-41C5-9B44-8C94C11DC85D}" uniqueName="10" name="dimessi_guariti" queryTableFieldId="10"/>
    <tableColumn id="11" xr3:uid="{3ADD8D45-1A3A-45D6-AF7F-67A7A549A7C4}" uniqueName="11" name="deceduti" queryTableFieldId="11"/>
    <tableColumn id="12" xr3:uid="{F5B96566-CBEF-4890-9D4B-541F3368EA42}" uniqueName="12" name="totale_casi" queryTableFieldId="12"/>
    <tableColumn id="13" xr3:uid="{AE9978E1-6083-450C-BD9E-CB7E6AD04A80}" uniqueName="13" name="tamponi" queryTableFieldId="13"/>
    <tableColumn id="14" xr3:uid="{6E747CBF-3394-4EBC-A4D1-269288E2F3EF}" uniqueName="14" name="casi_testati" queryTableFieldId="14"/>
    <tableColumn id="15" xr3:uid="{65179596-E7A1-415E-9B3C-CB93EC289043}" uniqueName="15" name="note_it" queryTableFieldId="15" dataDxfId="15"/>
    <tableColumn id="16" xr3:uid="{6E80C55E-74BA-4347-AC20-1BE816E48DA4}" uniqueName="16" name="note_en" queryTableFieldId="16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A372B-C79B-43CF-916B-2932AEA1D7F5}" name="dpc_covid19_ita_regioni__5" displayName="dpc_covid19_ita_regioni__5" ref="A1:T1240" tableType="queryTable" totalsRowShown="0">
  <autoFilter ref="A1:T1240" xr:uid="{75A0E3AA-1478-411F-B1DA-A76ABEB50CF9}"/>
  <tableColumns count="20">
    <tableColumn id="1" xr3:uid="{B2AE65BE-C010-4297-A190-279E9C24A4E9}" uniqueName="1" name="data" queryTableFieldId="1" dataDxfId="13"/>
    <tableColumn id="2" xr3:uid="{F043FB76-ED52-4FD4-B68E-63BDFA884DF7}" uniqueName="2" name="stato" queryTableFieldId="2" dataDxfId="12"/>
    <tableColumn id="3" xr3:uid="{8AFF2BE5-1C19-4C87-B5C3-9873157F277C}" uniqueName="3" name="codice_regione" queryTableFieldId="3"/>
    <tableColumn id="4" xr3:uid="{828A29A3-72A4-4174-BA61-C6F6C5B03DFB}" uniqueName="4" name="denominazione_regione" queryTableFieldId="4" dataDxfId="11"/>
    <tableColumn id="5" xr3:uid="{723CDCA5-0A61-419E-B8FD-F32448F89D3F}" uniqueName="5" name="lat" queryTableFieldId="5"/>
    <tableColumn id="6" xr3:uid="{435F10C2-6A54-4120-AD20-E64A3F7341EC}" uniqueName="6" name="long" queryTableFieldId="6"/>
    <tableColumn id="7" xr3:uid="{C56DFCEE-E96D-4BCC-A5BB-C09FC28C79BF}" uniqueName="7" name="ricoverati_con_sintomi" queryTableFieldId="7"/>
    <tableColumn id="8" xr3:uid="{50828B0E-9EA7-49EE-9DC3-AB274E03EA84}" uniqueName="8" name="terapia_intensiva" queryTableFieldId="8"/>
    <tableColumn id="9" xr3:uid="{987D9834-4F67-4005-9EBC-708453CB78A0}" uniqueName="9" name="totale_ospedalizzati" queryTableFieldId="9"/>
    <tableColumn id="10" xr3:uid="{72EAD90E-733C-4CC0-A804-F83500F9C514}" uniqueName="10" name="isolamento_domiciliare" queryTableFieldId="10"/>
    <tableColumn id="11" xr3:uid="{814E19E9-FA4C-40C1-BCB3-25EE2B572A81}" uniqueName="11" name="totale_positivi" queryTableFieldId="11"/>
    <tableColumn id="12" xr3:uid="{AE495C48-67F8-422C-8D0A-0B76AE6197A9}" uniqueName="12" name="variazione_totale_positivi" queryTableFieldId="12"/>
    <tableColumn id="13" xr3:uid="{8B3C648B-B3AA-4EFE-BE81-EF3382712837}" uniqueName="13" name="nuovi_positivi" queryTableFieldId="13"/>
    <tableColumn id="14" xr3:uid="{7421AD8A-A131-49D3-ADE0-A207BF696575}" uniqueName="14" name="dimessi_guariti" queryTableFieldId="14"/>
    <tableColumn id="15" xr3:uid="{4FDFF7B3-5C5D-4166-87BE-9C57FC04AA9D}" uniqueName="15" name="deceduti" queryTableFieldId="15"/>
    <tableColumn id="16" xr3:uid="{CC39D5E3-EBEA-41FF-A3B2-80AA75A37699}" uniqueName="16" name="totale_casi" queryTableFieldId="16"/>
    <tableColumn id="17" xr3:uid="{5279F774-40CB-4118-9261-F861BE73B1A0}" uniqueName="17" name="tamponi" queryTableFieldId="17"/>
    <tableColumn id="18" xr3:uid="{2967A89F-425E-4DD4-88D8-18F1DB2A5FC7}" uniqueName="18" name="casi_testati" queryTableFieldId="18" dataDxfId="10"/>
    <tableColumn id="19" xr3:uid="{C5A03D33-10A8-4F81-82C2-B88811DA4B48}" uniqueName="19" name="note_it" queryTableFieldId="19" dataDxfId="9"/>
    <tableColumn id="20" xr3:uid="{FB809515-6F16-4BCF-A791-6216B35F8D02}" uniqueName="20" name="note_en" queryTableFieldId="20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4AB5DF-A51B-4738-AB16-BE48A7BDA5F1}" name="Tabella8" displayName="Tabella8" ref="B7:W130" totalsRowShown="0" headerRowDxfId="58">
  <autoFilter ref="B7:W130" xr:uid="{3FC8D4CB-1CF6-4469-84DF-7F0ECB3BF752}"/>
  <tableColumns count="22">
    <tableColumn id="1" xr3:uid="{23135A61-F766-418E-98E1-4B28EB0245EB}" name="Date" dataDxfId="57"/>
    <tableColumn id="2" xr3:uid="{9D31CCAA-E745-495E-AC65-4EE7E5B7C948}" name="Day" dataDxfId="56"/>
    <tableColumn id="3" xr3:uid="{FA8347E6-D263-402C-B119-75408FAF2DAC}" name="Italy cumulative"/>
    <tableColumn id="16" xr3:uid="{8C3FDD01-6166-4DD6-9069-BBFB3B31CBAB}" name="Colonna1" dataDxfId="55">
      <calculatedColumnFormula>Tabella8[[#This Row],[Italy cumulative]]*NOT(ISBLANK(Tabella8[[#This Row],[Italy cumulative]]))</calculatedColumnFormula>
    </tableColumn>
    <tableColumn id="4" xr3:uid="{431A9A26-9F76-4785-835A-2254CAAB0D9D}" name="Italy sum of regions" dataDxfId="54">
      <calculatedColumnFormula>Tabella8[[#This Row],[Lombardy fit]]+Tabella8[[#This Row],[rest of Italy fit]]</calculatedColumnFormula>
    </tableColumn>
    <tableColumn id="17" xr3:uid="{C448742E-FAE5-406F-BB11-395AB7117427}" name="Colonna2" dataDxfId="53">
      <calculatedColumnFormula>Tabella8[[#This Row],[Italy sum of regions]]*NOT(ISBLANK(Tabella8[[#This Row],[Italy cumulative]]))</calculatedColumnFormula>
    </tableColumn>
    <tableColumn id="15" xr3:uid="{EBAC123C-04E4-45BF-87F2-E1463644B09E}" name="Italy fit" dataDxfId="52">
      <calculatedColumnFormula>Kt*_xlfn.LOGNORM.DIST(Tabella8[[#This Row],[Day]],mu_t,sigma_t,TRUE)</calculatedColumnFormula>
    </tableColumn>
    <tableColumn id="18" xr3:uid="{BB0581BF-B4E8-454D-A58F-7896262EF839}" name="Colonna3" dataDxfId="51">
      <calculatedColumnFormula>Tabella8[[#This Row],[Italy fit]]*NOT(ISBLANK(Tabella8[[#This Row],[Italy cumulative]]))</calculatedColumnFormula>
    </tableColumn>
    <tableColumn id="5" xr3:uid="{550811E3-8896-4BC4-AAEC-1710448F78AA}" name="Upper CI"/>
    <tableColumn id="6" xr3:uid="{F0106795-FAF2-43DF-AAD9-462CC01A471A}" name="Lower CI"/>
    <tableColumn id="7" xr3:uid="{8C9D201A-E2D1-4561-B557-E6BA56D2D6CB}" name="Lombardy" dataCellStyle="20% - Colore 2"/>
    <tableColumn id="19" xr3:uid="{F96B47FC-7C3A-47A5-B0B6-FBBA6A0E9F53}" name="Colonna4" dataDxfId="50">
      <calculatedColumnFormula>Tabella8[[#This Row],[Lombardy]]*NOT(ISBLANK(Tabella8[[#This Row],[Lombardy]]))</calculatedColumnFormula>
    </tableColumn>
    <tableColumn id="8" xr3:uid="{FFDFB21E-6B95-4CB3-BEAA-17A88953AF1A}" name="Lombardy fit" dataDxfId="49">
      <calculatedColumnFormula>Kr*_xlfn.LOGNORM.DIST(Tabella8[[#This Row],[Day]],mu_r,sigma_r,TRUE)</calculatedColumnFormula>
    </tableColumn>
    <tableColumn id="20" xr3:uid="{E0C56B36-41D5-4E63-90C0-BEF19D5CF307}" name="Colonna5" dataDxfId="48">
      <calculatedColumnFormula>Tabella8[[#This Row],[Lombardy fit]]*NOT(ISBLANK(Tabella8[[#This Row],[Lombardy]]))</calculatedColumnFormula>
    </tableColumn>
    <tableColumn id="9" xr3:uid="{533A3700-CD36-454E-A89A-C109A0EC8C3A}" name="r. Upper CI"/>
    <tableColumn id="10" xr3:uid="{12B05D41-F2C4-4C50-A981-70A91E9E3202}" name="r. Lower CI"/>
    <tableColumn id="11" xr3:uid="{3FA757E2-8271-45DD-9111-95AF881C9386}" name="rest of Italy "/>
    <tableColumn id="21" xr3:uid="{0719E832-0DD9-4597-8E36-C5D928E8918B}" name="Colonna6" dataDxfId="47">
      <calculatedColumnFormula>Tabella8[[#This Row],[rest of Italy ]]*NOT(ISBLANK(Tabella8[[#This Row],[rest of Italy ]]))</calculatedColumnFormula>
    </tableColumn>
    <tableColumn id="12" xr3:uid="{1A679F42-1D8C-44C1-8ADC-80EE4031BF33}" name="rest of Italy fit" dataDxfId="46">
      <calculatedColumnFormula>Ko*_xlfn.LOGNORM.DIST(Tabella8[[#This Row],[Day]],mu_o,sigma_o,TRUE)</calculatedColumnFormula>
    </tableColumn>
    <tableColumn id="22" xr3:uid="{D4BF3042-F3E5-4A11-865A-5C285EB3D460}" name="Colonna7" dataDxfId="45">
      <calculatedColumnFormula>Tabella8[[#This Row],[rest of Italy fit]]*NOT(ISBLANK(Tabella8[[#This Row],[rest of Italy ]]))</calculatedColumnFormula>
    </tableColumn>
    <tableColumn id="13" xr3:uid="{54A7DA70-4460-43AF-B70E-E5EF3A27B840}" name="o.r. Upper CI"/>
    <tableColumn id="14" xr3:uid="{25E38CCB-32DC-4A49-8487-A107F991A720}" name="o.r. 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A45A35-CC62-4741-AD97-3C6F9EA2CB45}" name="Tabella9" displayName="Tabella9" ref="Y7:Z17" totalsRowShown="0" headerRowDxfId="44" dataDxfId="43">
  <autoFilter ref="Y7:Z17" xr:uid="{FE44A3F6-B4C2-400B-AA9A-283E33E9F7C7}"/>
  <tableColumns count="2">
    <tableColumn id="1" xr3:uid="{D2583FE2-794A-4D14-88A1-0EEE16DA7363}" name="Whole country sum" dataDxfId="42"/>
    <tableColumn id="2" xr3:uid="{7AD72336-12D4-4A52-8169-8B6FC2AAA773}" name="Italy sum" dataDxfId="41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571018-7DE3-4940-8B14-587C648D5781}" name="Tabella10" displayName="Tabella10" ref="Y18:Z28" totalsRowShown="0">
  <autoFilter ref="Y18:Z28" xr:uid="{6BBACF2F-9411-42AE-88CD-B6A5D694B764}"/>
  <tableColumns count="2">
    <tableColumn id="1" xr3:uid="{FAA10416-F4E0-4435-B099-FD9F2014709E}" name="region" dataDxfId="40"/>
    <tableColumn id="2" xr3:uid="{4B3DF482-3E70-4077-90EF-F4C6D02D2F19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978F66-0F21-4962-BBAD-9DAEEF95C128}" name="Tabella11" displayName="Tabella11" ref="Y29:Z39" totalsRowShown="0" headerRowDxfId="39">
  <autoFilter ref="Y29:Z39" xr:uid="{4F62C887-D7E5-4422-A98B-007740B545EB}"/>
  <tableColumns count="2">
    <tableColumn id="1" xr3:uid="{BDF94A07-4A3B-4AEE-A628-F130488AED7A}" name="outside" dataDxfId="38"/>
    <tableColumn id="2" xr3:uid="{04EF7C50-030F-4875-86E2-1A44649EFD46}" name="rest of Italy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AE4D46-C6A2-4E06-8024-F6AAD11361A6}" name="Tabella913" displayName="Tabella913" ref="Y40:Z50" totalsRowShown="0">
  <autoFilter ref="Y40:Z50" xr:uid="{3ED27504-5203-423C-8078-DD3D337178D4}"/>
  <tableColumns count="2">
    <tableColumn id="1" xr3:uid="{68D94B9C-FC79-4691-B5B2-5566913F6A46}" name="Whole country fit" dataDxfId="37"/>
    <tableColumn id="2" xr3:uid="{12ECD97A-4CBF-4516-9545-EA45C2E69AA0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C43434-F9AD-405C-8D9B-7469933A0BF3}" name="Tabella3" displayName="Tabella3" ref="B7:AC130" totalsRowShown="0" headerRowDxfId="36">
  <autoFilter ref="B7:AC130" xr:uid="{5E78D83D-6C25-40E0-A2DB-B68F6AAB46EA}"/>
  <tableColumns count="28">
    <tableColumn id="1" xr3:uid="{AC9FAB61-B731-40E3-83D5-22123EF8AE0D}" name="Date" dataDxfId="35"/>
    <tableColumn id="2" xr3:uid="{AB3B8E39-CEE3-43EE-B1A6-8D28135CAFC6}" name="Day" dataDxfId="34"/>
    <tableColumn id="3" xr3:uid="{DDACA13A-A286-4F18-9A4D-05064582A36A}" name="Italy cumul. Data"/>
    <tableColumn id="4" xr3:uid="{4A764917-3626-4415-9B41-E9B90EFD7FA4}" name="Italy data" dataDxfId="33"/>
    <tableColumn id="21" xr3:uid="{C976B52B-2786-4CB4-B206-E98A3E1A4632}" name="Colonna1" dataDxfId="32">
      <calculatedColumnFormula>Tabella3[[#This Row],[Italy data]]*NOT(ISBLANK(Tabella3[[#This Row],[Italy data]]))</calculatedColumnFormula>
    </tableColumn>
    <tableColumn id="5" xr3:uid="{3DBA7757-647A-453D-A0D3-43B83465DD6F}" name="Italy cumul. Fit" dataDxfId="31">
      <calculatedColumnFormula>Tabella3[[#This Row],[Lombardy cumul. Fit]]+Tabella3[[#This Row],[rest of Italy cumul. Fit]]</calculatedColumnFormula>
    </tableColumn>
    <tableColumn id="6" xr3:uid="{ADF84F98-C9B1-4D4E-965D-1E7BE56AE313}" name="Italy sum of regions" dataDxfId="30">
      <calculatedColumnFormula>Tabella3[[#This Row],[Lombardy fit]]+Tabella3[[#This Row],[rest of Italy fit]]</calculatedColumnFormula>
    </tableColumn>
    <tableColumn id="27" xr3:uid="{314DDD96-3EEF-47F6-A093-677CC3B78412}" name="Italy fit" dataDxfId="6">
      <calculatedColumnFormula>Kf*_xlfn.LOGNORM.DIST(Tabella3[[#This Row],[Day]],mu_f,sigma_f,FALSE)</calculatedColumnFormula>
    </tableColumn>
    <tableColumn id="22" xr3:uid="{7CB6D2CF-1488-45DF-B3D3-DA9FCE991397}" name="Colonna2" dataDxfId="29">
      <calculatedColumnFormula>Tabella3[[#This Row],[Italy sum of regions]]*NOT(ISBLANK(Tabella3[[#This Row],[Italy data]]))</calculatedColumnFormula>
    </tableColumn>
    <tableColumn id="28" xr3:uid="{B7998AB9-1622-4307-B253-C5A912B69B6C}" name="Colonna22" dataDxfId="28">
      <calculatedColumnFormula>Tabella3[[#This Row],[Italy fit]]*NOT(ISBLANK(Tabella3[[#This Row],[Italy data]]))</calculatedColumnFormula>
    </tableColumn>
    <tableColumn id="7" xr3:uid="{FD2AFF0D-028F-4079-9B67-B1C4C865DA70}" name="Upper CI"/>
    <tableColumn id="8" xr3:uid="{2C00E3C4-CD56-4BD9-82E9-BA6F629F232D}" name="Lower CI"/>
    <tableColumn id="9" xr3:uid="{62CAAF81-8EFB-45AC-BBA6-8D7C7B486997}" name="Lombardy cumul. Data"/>
    <tableColumn id="10" xr3:uid="{09663C31-3E7C-4611-8AF3-0C06B00BA6F1}" name="Lombardy data" dataDxfId="27"/>
    <tableColumn id="23" xr3:uid="{10082EA6-D10C-44B2-9A09-0B1409F1C373}" name="Colonna3" dataDxfId="26">
      <calculatedColumnFormula>Tabella3[[#This Row],[Lombardy data]]*NOT(ISBLANK(Tabella3[[#This Row],[Lombardy data]]))</calculatedColumnFormula>
    </tableColumn>
    <tableColumn id="11" xr3:uid="{CDC351C1-18CE-4B4C-A65D-FD39DA8A5DED}" name="Lombardy cumul. Fit" dataDxfId="25">
      <calculatedColumnFormula>Kl/(1+EXP(-(Tabella3[[#This Row],[Day]]-mu_l)/sigma_l))</calculatedColumnFormula>
    </tableColumn>
    <tableColumn id="12" xr3:uid="{442CC8F3-BD05-4FDA-B285-A701402ADF1D}" name="Lombardy fit" dataDxfId="5">
      <calculatedColumnFormula>Kl*_xlfn.LOGNORM.DIST(Tabella3[[#This Row],[Day]],mu_l,sigma_l,FALSE)</calculatedColumnFormula>
    </tableColumn>
    <tableColumn id="24" xr3:uid="{3735E881-B76D-4343-A940-CD03F154AD8A}" name="Colonna32" dataDxfId="24">
      <calculatedColumnFormula>Tabella3[[#This Row],[Lombardy fit]]*NOT(ISBLANK(Tabella3[[#This Row],[Lombardy data]]))</calculatedColumnFormula>
    </tableColumn>
    <tableColumn id="13" xr3:uid="{EE889393-6E60-4237-9EC5-DFB1642204B7}" name="Upper CI_"/>
    <tableColumn id="14" xr3:uid="{4BF9A623-B53D-4A7D-BCED-AF51065FBB44}" name="Lower CI_"/>
    <tableColumn id="15" xr3:uid="{88406667-2C06-4837-8C1D-7C7FB674BC25}" name="rest of Italy cum. Data"/>
    <tableColumn id="16" xr3:uid="{F9696E58-DE59-43F8-B795-C68B17BE8856}" name="rest of Italy data" dataDxfId="23"/>
    <tableColumn id="25" xr3:uid="{0DCF2D46-6281-4B7D-BB9E-222F69A41FF9}" name="Colonna33" dataDxfId="22">
      <calculatedColumnFormula>Tabella3[[#This Row],[rest of Italy data]]*NOT(ISBLANK(Tabella3[[#This Row],[rest of Italy data]]))</calculatedColumnFormula>
    </tableColumn>
    <tableColumn id="17" xr3:uid="{A81E690D-2D5C-4476-BFC1-14B6B7500BDD}" name="rest of Italy cumul. Fit" dataDxfId="21">
      <calculatedColumnFormula>Ka/(1+EXP(-(Tabella3[[#This Row],[Day]]-mu_a)/sigma_a))</calculatedColumnFormula>
    </tableColumn>
    <tableColumn id="18" xr3:uid="{84CE2F6C-88D6-4F6C-BCE7-AB2A3AB959DB}" name="rest of Italy fit" dataDxfId="4">
      <calculatedColumnFormula>Ka*_xlfn.LOGNORM.DIST(Tabella3[[#This Row],[Day]],mu_a,sigma_a,FALSE)</calculatedColumnFormula>
    </tableColumn>
    <tableColumn id="26" xr3:uid="{09DF6F78-AD5E-4D2B-8B55-4D9808403ED3}" name="Colonna322" dataDxfId="20">
      <calculatedColumnFormula>Tabella3[[#This Row],[rest of Italy fit]]*NOT(ISBLANK(Tabella3[[#This Row],[rest of Italy data]]))</calculatedColumnFormula>
    </tableColumn>
    <tableColumn id="19" xr3:uid="{825B4302-D347-4A3A-B1B4-0C960AAFF399}" name="Upper CI__"/>
    <tableColumn id="20" xr3:uid="{E509F0A5-EBDA-42F5-8E21-168F4C595F15}" name="Lower CI__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DD6354-3B59-4943-8730-CD3B8C8CB1F7}" name="Tabella4" displayName="Tabella4" ref="AE7:AF18" totalsRowShown="0" headerRowDxfId="1" dataDxfId="0">
  <autoFilter ref="AE7:AF18" xr:uid="{00766B7A-46BC-4E07-B4A9-02AE45892E82}"/>
  <tableColumns count="2">
    <tableColumn id="1" xr3:uid="{E4319721-3F80-4342-9D0A-B78DF39299B8}" name="Whole country sum" dataDxfId="3"/>
    <tableColumn id="2" xr3:uid="{B084DEAD-F4A7-4385-950A-B66123852865}" name="Italy sum" dataDxfId="2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94717D-24D4-45C4-B26D-359AC6BA8815}" name="Tabella5" displayName="Tabella5" ref="AE19:AF31" totalsRowShown="0">
  <autoFilter ref="AE19:AF31" xr:uid="{2E08838D-8BAF-42A1-B981-D6B449E7082E}"/>
  <tableColumns count="2">
    <tableColumn id="1" xr3:uid="{3FD0D38D-8842-4E6D-9882-984AB3BFADE1}" name="region"/>
    <tableColumn id="2" xr3:uid="{A2610841-2CD8-4F5A-829D-2493C4B73EC9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EEF903-D623-4533-84D2-A7C60F1EAB2C}" name="Tabella6" displayName="Tabella6" ref="AE32:AF44" totalsRowShown="0" headerRowDxfId="19">
  <autoFilter ref="AE32:AF44" xr:uid="{493E660F-E033-408D-A4BC-15A27F9E624C}"/>
  <tableColumns count="2">
    <tableColumn id="1" xr3:uid="{44D35643-5DC7-4195-979E-896CDDCB52C1}" name="outside"/>
    <tableColumn id="2" xr3:uid="{A86FC75B-BB86-40BE-8764-739189EEC27C}" name="rest of Italy fit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B90D4D-928B-41E1-A7D6-BBC2157CE923}" name="Tabella68" displayName="Tabella68" ref="AE45:AF57" totalsRowShown="0" headerRowDxfId="18">
  <autoFilter ref="AE45:AF57" xr:uid="{0F6FCA51-9485-4058-8475-AC6ECE9EB084}"/>
  <tableColumns count="2">
    <tableColumn id="1" xr3:uid="{A58BAF37-2CFC-44D3-8FF7-25C14C606C17}" name="Whole contry fit"/>
    <tableColumn id="2" xr3:uid="{96C5F196-9214-480C-B9CC-A31645BD150D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3" dT="2020-04-13T00:14:38.76" personId="{46504131-ADD3-4530-BCC7-16E4FED1C2C4}" id="{18E5A2A4-4328-4013-9C5A-7FF3FFE52F37}">
    <text>Saturation value or carrying capalcity</text>
  </threadedComment>
  <threadedComment ref="AA4" dT="2020-04-13T00:15:06.31" personId="{46504131-ADD3-4530-BCC7-16E4FED1C2C4}" id="{B28540D2-8971-4B31-876F-24BE58C058FA}">
    <text>Point of inflection</text>
  </threadedComment>
  <threadedComment ref="AA5" dT="2020-04-13T00:16:48.93" personId="{46504131-ADD3-4530-BCC7-16E4FED1C2C4}" id="{361F45E2-544C-4814-986A-5F23748796D7}">
    <text>Slope or decay time</text>
  </threadedComment>
  <threadedComment ref="B8" dT="2020-03-21T22:11:56.31" personId="{46504131-ADD3-4530-BCC7-16E4FED1C2C4}" id="{0621FDE1-092F-4B0A-B6B9-713897DF0CC5}">
    <text>first red zones (north)</text>
  </threadedComment>
  <threadedComment ref="B14" dT="2020-03-21T22:12:51.46" personId="{46504131-ADD3-4530-BCC7-16E4FED1C2C4}" id="{6744EB57-859E-42EA-B4F2-F10942B49A22}">
    <text>partial lockdown (north)</text>
  </threadedComment>
  <threadedComment ref="B18" dT="2020-03-21T22:13:52.19" personId="{46504131-ADD3-4530-BCC7-16E4FED1C2C4}" id="{33530D03-226A-4358-A568-CF8D6E16063E}">
    <text>school closure (Italy)</text>
  </threadedComment>
  <threadedComment ref="B21" dT="2020-03-21T22:14:24.84" personId="{46504131-ADD3-4530-BCC7-16E4FED1C2C4}" id="{DEE131DF-B99E-49E5-B71E-E8FA46139EA4}">
    <text>full lockdown (northern Italy)</text>
  </threadedComment>
  <threadedComment ref="B23" dT="2020-03-21T22:14:52.14" personId="{46504131-ADD3-4530-BCC7-16E4FED1C2C4}" id="{D7D1BB5E-BF21-4496-ACA8-360768C57861}">
    <text>partial lockdown (Italy)</text>
  </threadedComment>
  <threadedComment ref="B25" dT="2020-03-21T22:15:16.77" personId="{46504131-ADD3-4530-BCC7-16E4FED1C2C4}" id="{A4FE517B-52ED-47DC-A9CE-D59F3913061A}">
    <text>full lockdown (Italy)</text>
  </threadedComment>
  <threadedComment ref="B36" dT="2020-03-23T21:41:16.67" personId="{46504131-ADD3-4530-BCC7-16E4FED1C2C4}" id="{C9ADCFB2-7E30-41ED-B43B-6911BE354135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G3" dT="2020-04-13T00:14:38.76" personId="{46504131-ADD3-4530-BCC7-16E4FED1C2C4}" id="{722BC269-F91C-4139-8BC1-B2D7CFD655D1}">
    <text>Saturation value or carrying capalcity</text>
  </threadedComment>
  <threadedComment ref="AG4" dT="2020-04-13T00:15:06.31" personId="{46504131-ADD3-4530-BCC7-16E4FED1C2C4}" id="{545E94EF-1517-4064-88E6-2D9228EF509C}">
    <text>Point of inflection</text>
  </threadedComment>
  <threadedComment ref="AG5" dT="2020-04-13T00:16:48.93" personId="{46504131-ADD3-4530-BCC7-16E4FED1C2C4}" id="{9F0F1623-7128-476E-B1C6-D2F247C712B8}">
    <text>Slope or decay time</text>
  </threadedComment>
  <threadedComment ref="B8" dT="2020-03-21T22:11:56.31" personId="{46504131-ADD3-4530-BCC7-16E4FED1C2C4}" id="{55BA04F6-DD5C-404D-9143-067D1A800A3A}">
    <text>first red zones (north)</text>
  </threadedComment>
  <threadedComment ref="B14" dT="2020-03-21T22:12:51.46" personId="{46504131-ADD3-4530-BCC7-16E4FED1C2C4}" id="{BDDA7B4B-B1F4-44B2-A550-3674E961B52E}">
    <text>partial lockdown (north)</text>
  </threadedComment>
  <threadedComment ref="B18" dT="2020-03-21T22:13:52.19" personId="{46504131-ADD3-4530-BCC7-16E4FED1C2C4}" id="{4CDB76F3-57CC-4212-B53F-F8F165375B94}">
    <text>school closure (Italy)</text>
  </threadedComment>
  <threadedComment ref="B21" dT="2020-03-21T22:14:24.84" personId="{46504131-ADD3-4530-BCC7-16E4FED1C2C4}" id="{CE65C50C-3F83-4631-A90E-C07B7C5721E9}">
    <text>full lockdown (northern Italy)</text>
  </threadedComment>
  <threadedComment ref="B23" dT="2020-03-21T22:14:52.14" personId="{46504131-ADD3-4530-BCC7-16E4FED1C2C4}" id="{92B8577E-1708-4B0F-85FD-31A0291F718A}">
    <text>partial lockdown (Italy)</text>
  </threadedComment>
  <threadedComment ref="B25" dT="2020-03-21T22:15:16.77" personId="{46504131-ADD3-4530-BCC7-16E4FED1C2C4}" id="{67CE4491-269D-478E-850E-4FD0904AA888}">
    <text>full lockdown (Italy)</text>
  </threadedComment>
  <threadedComment ref="B36" dT="2020-03-23T21:41:16.67" personId="{46504131-ADD3-4530-BCC7-16E4FED1C2C4}" id="{12A51D8D-BC18-4F3B-A122-CB2A491B9543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drawing" Target="../drawings/drawing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3.xml"/><Relationship Id="rId10" Type="http://schemas.openxmlformats.org/officeDocument/2006/relationships/comments" Target="../comments1.xml"/><Relationship Id="rId4" Type="http://schemas.openxmlformats.org/officeDocument/2006/relationships/vmlDrawing" Target="../drawings/vmlDrawing1.vml"/><Relationship Id="rId9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10" Type="http://schemas.microsoft.com/office/2017/10/relationships/threadedComment" Target="../threadedComments/threadedComment2.xml"/><Relationship Id="rId4" Type="http://schemas.openxmlformats.org/officeDocument/2006/relationships/table" Target="../tables/table8.x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P60"/>
  <sheetViews>
    <sheetView topLeftCell="A55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2.5546875" bestFit="1" customWidth="1"/>
    <col min="15" max="15" width="19.5546875" bestFit="1" customWidth="1"/>
    <col min="16" max="16" width="21.109375" bestFit="1" customWidth="1"/>
  </cols>
  <sheetData>
    <row r="1" spans="1:1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91</v>
      </c>
      <c r="H1" t="s">
        <v>92</v>
      </c>
      <c r="I1" t="s">
        <v>93</v>
      </c>
      <c r="J1" t="s">
        <v>18</v>
      </c>
      <c r="K1" t="s">
        <v>19</v>
      </c>
      <c r="L1" t="s">
        <v>20</v>
      </c>
      <c r="M1" t="s">
        <v>21</v>
      </c>
      <c r="N1" t="s">
        <v>196</v>
      </c>
      <c r="O1" t="s">
        <v>23</v>
      </c>
      <c r="P1" t="s">
        <v>24</v>
      </c>
    </row>
    <row r="2" spans="1:16" x14ac:dyDescent="0.3">
      <c r="A2" s="14">
        <v>43885.75</v>
      </c>
      <c r="B2" s="13" t="s">
        <v>22</v>
      </c>
      <c r="C2" s="114">
        <v>101</v>
      </c>
      <c r="D2" s="114">
        <v>26</v>
      </c>
      <c r="E2" s="114">
        <v>127</v>
      </c>
      <c r="F2" s="114">
        <v>94</v>
      </c>
      <c r="G2" s="114">
        <v>221</v>
      </c>
      <c r="H2" s="114">
        <v>0</v>
      </c>
      <c r="I2" s="114">
        <v>221</v>
      </c>
      <c r="J2" s="114">
        <v>1</v>
      </c>
      <c r="K2" s="114">
        <v>7</v>
      </c>
      <c r="L2" s="114">
        <v>229</v>
      </c>
      <c r="M2" s="114">
        <v>4324</v>
      </c>
      <c r="N2" s="114"/>
      <c r="O2" s="13" t="s">
        <v>25</v>
      </c>
      <c r="P2" s="13" t="s">
        <v>25</v>
      </c>
    </row>
    <row r="3" spans="1:16" x14ac:dyDescent="0.3">
      <c r="A3" s="14">
        <v>43886.75</v>
      </c>
      <c r="B3" s="13" t="s">
        <v>22</v>
      </c>
      <c r="C3" s="114">
        <v>114</v>
      </c>
      <c r="D3" s="114">
        <v>35</v>
      </c>
      <c r="E3" s="114">
        <v>150</v>
      </c>
      <c r="F3" s="114">
        <v>162</v>
      </c>
      <c r="G3" s="114">
        <v>311</v>
      </c>
      <c r="H3" s="114">
        <v>90</v>
      </c>
      <c r="I3" s="114">
        <v>93</v>
      </c>
      <c r="J3" s="114">
        <v>1</v>
      </c>
      <c r="K3" s="114">
        <v>10</v>
      </c>
      <c r="L3" s="114">
        <v>322</v>
      </c>
      <c r="M3" s="114">
        <v>8623</v>
      </c>
      <c r="N3" s="114"/>
      <c r="O3" s="13" t="s">
        <v>25</v>
      </c>
      <c r="P3" s="13" t="s">
        <v>25</v>
      </c>
    </row>
    <row r="4" spans="1:16" x14ac:dyDescent="0.3">
      <c r="A4" s="14">
        <v>43887.75</v>
      </c>
      <c r="B4" s="13" t="s">
        <v>22</v>
      </c>
      <c r="C4" s="114">
        <v>128</v>
      </c>
      <c r="D4" s="114">
        <v>36</v>
      </c>
      <c r="E4" s="114">
        <v>164</v>
      </c>
      <c r="F4" s="114">
        <v>221</v>
      </c>
      <c r="G4" s="114">
        <v>385</v>
      </c>
      <c r="H4" s="114">
        <v>74</v>
      </c>
      <c r="I4" s="114">
        <v>78</v>
      </c>
      <c r="J4" s="114">
        <v>3</v>
      </c>
      <c r="K4" s="114">
        <v>12</v>
      </c>
      <c r="L4" s="114">
        <v>400</v>
      </c>
      <c r="M4" s="114">
        <v>9587</v>
      </c>
      <c r="N4" s="114"/>
      <c r="O4" s="13" t="s">
        <v>25</v>
      </c>
      <c r="P4" s="13" t="s">
        <v>25</v>
      </c>
    </row>
    <row r="5" spans="1:16" x14ac:dyDescent="0.3">
      <c r="A5" s="14">
        <v>43888.75</v>
      </c>
      <c r="B5" s="13" t="s">
        <v>22</v>
      </c>
      <c r="C5" s="114">
        <v>248</v>
      </c>
      <c r="D5" s="114">
        <v>56</v>
      </c>
      <c r="E5" s="114">
        <v>304</v>
      </c>
      <c r="F5" s="114">
        <v>284</v>
      </c>
      <c r="G5" s="114">
        <v>588</v>
      </c>
      <c r="H5" s="114">
        <v>203</v>
      </c>
      <c r="I5" s="114">
        <v>250</v>
      </c>
      <c r="J5" s="114">
        <v>45</v>
      </c>
      <c r="K5" s="114">
        <v>17</v>
      </c>
      <c r="L5" s="114">
        <v>650</v>
      </c>
      <c r="M5" s="114">
        <v>12014</v>
      </c>
      <c r="N5" s="114"/>
      <c r="O5" s="13" t="s">
        <v>25</v>
      </c>
      <c r="P5" s="13" t="s">
        <v>25</v>
      </c>
    </row>
    <row r="6" spans="1:16" x14ac:dyDescent="0.3">
      <c r="A6" s="14">
        <v>43889.75</v>
      </c>
      <c r="B6" s="13" t="s">
        <v>22</v>
      </c>
      <c r="C6" s="114">
        <v>345</v>
      </c>
      <c r="D6" s="114">
        <v>64</v>
      </c>
      <c r="E6" s="114">
        <v>409</v>
      </c>
      <c r="F6" s="114">
        <v>412</v>
      </c>
      <c r="G6" s="114">
        <v>821</v>
      </c>
      <c r="H6" s="114">
        <v>233</v>
      </c>
      <c r="I6" s="114">
        <v>238</v>
      </c>
      <c r="J6" s="114">
        <v>46</v>
      </c>
      <c r="K6" s="114">
        <v>21</v>
      </c>
      <c r="L6" s="114">
        <v>888</v>
      </c>
      <c r="M6" s="114">
        <v>15695</v>
      </c>
      <c r="N6" s="114"/>
      <c r="O6" s="13" t="s">
        <v>25</v>
      </c>
      <c r="P6" s="13" t="s">
        <v>25</v>
      </c>
    </row>
    <row r="7" spans="1:16" x14ac:dyDescent="0.3">
      <c r="A7" s="14">
        <v>43890.75</v>
      </c>
      <c r="B7" s="13" t="s">
        <v>22</v>
      </c>
      <c r="C7" s="114">
        <v>401</v>
      </c>
      <c r="D7" s="114">
        <v>105</v>
      </c>
      <c r="E7" s="114">
        <v>506</v>
      </c>
      <c r="F7" s="114">
        <v>543</v>
      </c>
      <c r="G7" s="114">
        <v>1049</v>
      </c>
      <c r="H7" s="114">
        <v>228</v>
      </c>
      <c r="I7" s="114">
        <v>240</v>
      </c>
      <c r="J7" s="114">
        <v>50</v>
      </c>
      <c r="K7" s="114">
        <v>29</v>
      </c>
      <c r="L7" s="114">
        <v>1128</v>
      </c>
      <c r="M7" s="114">
        <v>18661</v>
      </c>
      <c r="N7" s="114"/>
      <c r="O7" s="13" t="s">
        <v>25</v>
      </c>
      <c r="P7" s="13" t="s">
        <v>25</v>
      </c>
    </row>
    <row r="8" spans="1:16" x14ac:dyDescent="0.3">
      <c r="A8" s="14">
        <v>43891.75</v>
      </c>
      <c r="B8" s="13" t="s">
        <v>22</v>
      </c>
      <c r="C8" s="114">
        <v>639</v>
      </c>
      <c r="D8" s="114">
        <v>140</v>
      </c>
      <c r="E8" s="114">
        <v>779</v>
      </c>
      <c r="F8" s="114">
        <v>798</v>
      </c>
      <c r="G8" s="114">
        <v>1577</v>
      </c>
      <c r="H8" s="114">
        <v>528</v>
      </c>
      <c r="I8" s="114">
        <v>566</v>
      </c>
      <c r="J8" s="114">
        <v>83</v>
      </c>
      <c r="K8" s="114">
        <v>34</v>
      </c>
      <c r="L8" s="114">
        <v>1694</v>
      </c>
      <c r="M8" s="114">
        <v>21127</v>
      </c>
      <c r="N8" s="114"/>
      <c r="O8" s="13" t="s">
        <v>25</v>
      </c>
      <c r="P8" s="13" t="s">
        <v>25</v>
      </c>
    </row>
    <row r="9" spans="1:16" x14ac:dyDescent="0.3">
      <c r="A9" s="14">
        <v>43892.75</v>
      </c>
      <c r="B9" s="13" t="s">
        <v>22</v>
      </c>
      <c r="C9" s="114">
        <v>742</v>
      </c>
      <c r="D9" s="114">
        <v>166</v>
      </c>
      <c r="E9" s="114">
        <v>908</v>
      </c>
      <c r="F9" s="114">
        <v>927</v>
      </c>
      <c r="G9" s="114">
        <v>1835</v>
      </c>
      <c r="H9" s="114">
        <v>258</v>
      </c>
      <c r="I9" s="114">
        <v>342</v>
      </c>
      <c r="J9" s="114">
        <v>149</v>
      </c>
      <c r="K9" s="114">
        <v>52</v>
      </c>
      <c r="L9" s="114">
        <v>2036</v>
      </c>
      <c r="M9" s="114">
        <v>23345</v>
      </c>
      <c r="N9" s="114"/>
      <c r="O9" s="13" t="s">
        <v>25</v>
      </c>
      <c r="P9" s="13" t="s">
        <v>25</v>
      </c>
    </row>
    <row r="10" spans="1:16" x14ac:dyDescent="0.3">
      <c r="A10" s="14">
        <v>43893.75</v>
      </c>
      <c r="B10" s="13" t="s">
        <v>22</v>
      </c>
      <c r="C10" s="114">
        <v>1034</v>
      </c>
      <c r="D10" s="114">
        <v>229</v>
      </c>
      <c r="E10" s="114">
        <v>1263</v>
      </c>
      <c r="F10" s="114">
        <v>1000</v>
      </c>
      <c r="G10" s="114">
        <v>2263</v>
      </c>
      <c r="H10" s="114">
        <v>428</v>
      </c>
      <c r="I10" s="114">
        <v>466</v>
      </c>
      <c r="J10" s="114">
        <v>160</v>
      </c>
      <c r="K10" s="114">
        <v>79</v>
      </c>
      <c r="L10" s="114">
        <v>2502</v>
      </c>
      <c r="M10" s="114">
        <v>25856</v>
      </c>
      <c r="N10" s="114"/>
      <c r="O10" s="13" t="s">
        <v>25</v>
      </c>
      <c r="P10" s="13" t="s">
        <v>25</v>
      </c>
    </row>
    <row r="11" spans="1:16" x14ac:dyDescent="0.3">
      <c r="A11" s="14">
        <v>43894.75</v>
      </c>
      <c r="B11" s="13" t="s">
        <v>22</v>
      </c>
      <c r="C11" s="114">
        <v>1346</v>
      </c>
      <c r="D11" s="114">
        <v>295</v>
      </c>
      <c r="E11" s="114">
        <v>1641</v>
      </c>
      <c r="F11" s="114">
        <v>1065</v>
      </c>
      <c r="G11" s="114">
        <v>2706</v>
      </c>
      <c r="H11" s="114">
        <v>443</v>
      </c>
      <c r="I11" s="114">
        <v>587</v>
      </c>
      <c r="J11" s="114">
        <v>276</v>
      </c>
      <c r="K11" s="114">
        <v>107</v>
      </c>
      <c r="L11" s="114">
        <v>3089</v>
      </c>
      <c r="M11" s="114">
        <v>29837</v>
      </c>
      <c r="N11" s="114"/>
      <c r="O11" s="13" t="s">
        <v>25</v>
      </c>
      <c r="P11" s="13" t="s">
        <v>25</v>
      </c>
    </row>
    <row r="12" spans="1:16" x14ac:dyDescent="0.3">
      <c r="A12" s="14">
        <v>43895.75</v>
      </c>
      <c r="B12" s="13" t="s">
        <v>22</v>
      </c>
      <c r="C12" s="114">
        <v>1790</v>
      </c>
      <c r="D12" s="114">
        <v>351</v>
      </c>
      <c r="E12" s="114">
        <v>2141</v>
      </c>
      <c r="F12" s="114">
        <v>1155</v>
      </c>
      <c r="G12" s="114">
        <v>3296</v>
      </c>
      <c r="H12" s="114">
        <v>590</v>
      </c>
      <c r="I12" s="114">
        <v>769</v>
      </c>
      <c r="J12" s="114">
        <v>414</v>
      </c>
      <c r="K12" s="114">
        <v>148</v>
      </c>
      <c r="L12" s="114">
        <v>3858</v>
      </c>
      <c r="M12" s="114">
        <v>32362</v>
      </c>
      <c r="N12" s="114"/>
      <c r="O12" s="13" t="s">
        <v>25</v>
      </c>
      <c r="P12" s="13" t="s">
        <v>25</v>
      </c>
    </row>
    <row r="13" spans="1:16" x14ac:dyDescent="0.3">
      <c r="A13" s="14">
        <v>43896.75</v>
      </c>
      <c r="B13" s="13" t="s">
        <v>22</v>
      </c>
      <c r="C13" s="114">
        <v>2394</v>
      </c>
      <c r="D13" s="114">
        <v>462</v>
      </c>
      <c r="E13" s="114">
        <v>2856</v>
      </c>
      <c r="F13" s="114">
        <v>1060</v>
      </c>
      <c r="G13" s="114">
        <v>3916</v>
      </c>
      <c r="H13" s="114">
        <v>620</v>
      </c>
      <c r="I13" s="114">
        <v>778</v>
      </c>
      <c r="J13" s="114">
        <v>523</v>
      </c>
      <c r="K13" s="114">
        <v>197</v>
      </c>
      <c r="L13" s="114">
        <v>4636</v>
      </c>
      <c r="M13" s="114">
        <v>36359</v>
      </c>
      <c r="N13" s="114"/>
      <c r="O13" s="13" t="s">
        <v>25</v>
      </c>
      <c r="P13" s="13" t="s">
        <v>25</v>
      </c>
    </row>
    <row r="14" spans="1:16" x14ac:dyDescent="0.3">
      <c r="A14" s="14">
        <v>43897.75</v>
      </c>
      <c r="B14" s="13" t="s">
        <v>22</v>
      </c>
      <c r="C14" s="114">
        <v>2651</v>
      </c>
      <c r="D14" s="114">
        <v>567</v>
      </c>
      <c r="E14" s="114">
        <v>3218</v>
      </c>
      <c r="F14" s="114">
        <v>1843</v>
      </c>
      <c r="G14" s="114">
        <v>5061</v>
      </c>
      <c r="H14" s="114">
        <v>1145</v>
      </c>
      <c r="I14" s="114">
        <v>1247</v>
      </c>
      <c r="J14" s="114">
        <v>589</v>
      </c>
      <c r="K14" s="114">
        <v>233</v>
      </c>
      <c r="L14" s="114">
        <v>5883</v>
      </c>
      <c r="M14" s="114">
        <v>42062</v>
      </c>
      <c r="N14" s="114"/>
      <c r="O14" s="13" t="s">
        <v>26</v>
      </c>
      <c r="P14" s="13" t="s">
        <v>27</v>
      </c>
    </row>
    <row r="15" spans="1:16" x14ac:dyDescent="0.3">
      <c r="A15" s="14">
        <v>43898.75</v>
      </c>
      <c r="B15" s="13" t="s">
        <v>22</v>
      </c>
      <c r="C15" s="114">
        <v>3557</v>
      </c>
      <c r="D15" s="114">
        <v>650</v>
      </c>
      <c r="E15" s="114">
        <v>4207</v>
      </c>
      <c r="F15" s="114">
        <v>2180</v>
      </c>
      <c r="G15" s="114">
        <v>6387</v>
      </c>
      <c r="H15" s="114">
        <v>1326</v>
      </c>
      <c r="I15" s="114">
        <v>1492</v>
      </c>
      <c r="J15" s="114">
        <v>622</v>
      </c>
      <c r="K15" s="114">
        <v>366</v>
      </c>
      <c r="L15" s="114">
        <v>7375</v>
      </c>
      <c r="M15" s="114">
        <v>49937</v>
      </c>
      <c r="N15" s="114"/>
      <c r="O15" s="13" t="s">
        <v>25</v>
      </c>
      <c r="P15" s="13" t="s">
        <v>25</v>
      </c>
    </row>
    <row r="16" spans="1:16" x14ac:dyDescent="0.3">
      <c r="A16" s="14">
        <v>43899.75</v>
      </c>
      <c r="B16" s="13" t="s">
        <v>22</v>
      </c>
      <c r="C16" s="114">
        <v>4316</v>
      </c>
      <c r="D16" s="114">
        <v>733</v>
      </c>
      <c r="E16" s="114">
        <v>5049</v>
      </c>
      <c r="F16" s="114">
        <v>2936</v>
      </c>
      <c r="G16" s="114">
        <v>7985</v>
      </c>
      <c r="H16" s="114">
        <v>1598</v>
      </c>
      <c r="I16" s="114">
        <v>1797</v>
      </c>
      <c r="J16" s="114">
        <v>724</v>
      </c>
      <c r="K16" s="114">
        <v>463</v>
      </c>
      <c r="L16" s="114">
        <v>9172</v>
      </c>
      <c r="M16" s="114">
        <v>53826</v>
      </c>
      <c r="N16" s="114"/>
      <c r="O16" s="13" t="s">
        <v>25</v>
      </c>
      <c r="P16" s="13" t="s">
        <v>25</v>
      </c>
    </row>
    <row r="17" spans="1:16" x14ac:dyDescent="0.3">
      <c r="A17" s="14">
        <v>43900.75</v>
      </c>
      <c r="B17" s="13" t="s">
        <v>22</v>
      </c>
      <c r="C17" s="114">
        <v>5038</v>
      </c>
      <c r="D17" s="114">
        <v>877</v>
      </c>
      <c r="E17" s="114">
        <v>5915</v>
      </c>
      <c r="F17" s="114">
        <v>2599</v>
      </c>
      <c r="G17" s="114">
        <v>8514</v>
      </c>
      <c r="H17" s="114">
        <v>529</v>
      </c>
      <c r="I17" s="114">
        <v>977</v>
      </c>
      <c r="J17" s="114">
        <v>1004</v>
      </c>
      <c r="K17" s="114">
        <v>631</v>
      </c>
      <c r="L17" s="114">
        <v>10149</v>
      </c>
      <c r="M17" s="114">
        <v>60761</v>
      </c>
      <c r="N17" s="114"/>
      <c r="O17" s="13" t="s">
        <v>28</v>
      </c>
      <c r="P17" s="13" t="s">
        <v>29</v>
      </c>
    </row>
    <row r="18" spans="1:16" x14ac:dyDescent="0.3">
      <c r="A18" s="14">
        <v>43901.708333333336</v>
      </c>
      <c r="B18" s="13" t="s">
        <v>22</v>
      </c>
      <c r="C18" s="114">
        <v>5838</v>
      </c>
      <c r="D18" s="114">
        <v>1028</v>
      </c>
      <c r="E18" s="114">
        <v>6866</v>
      </c>
      <c r="F18" s="114">
        <v>3724</v>
      </c>
      <c r="G18" s="114">
        <v>10590</v>
      </c>
      <c r="H18" s="114">
        <v>2076</v>
      </c>
      <c r="I18" s="114">
        <v>2313</v>
      </c>
      <c r="J18" s="114">
        <v>1045</v>
      </c>
      <c r="K18" s="114">
        <v>827</v>
      </c>
      <c r="L18" s="114">
        <v>12462</v>
      </c>
      <c r="M18" s="114">
        <v>73154</v>
      </c>
      <c r="N18" s="114"/>
      <c r="O18" s="13" t="s">
        <v>30</v>
      </c>
      <c r="P18" s="13" t="s">
        <v>31</v>
      </c>
    </row>
    <row r="19" spans="1:16" x14ac:dyDescent="0.3">
      <c r="A19" s="14">
        <v>43902.708333333336</v>
      </c>
      <c r="B19" s="13" t="s">
        <v>22</v>
      </c>
      <c r="C19" s="114">
        <v>6650</v>
      </c>
      <c r="D19" s="114">
        <v>1153</v>
      </c>
      <c r="E19" s="114">
        <v>7803</v>
      </c>
      <c r="F19" s="114">
        <v>5036</v>
      </c>
      <c r="G19" s="114">
        <v>12839</v>
      </c>
      <c r="H19" s="114">
        <v>2249</v>
      </c>
      <c r="I19" s="114">
        <v>2651</v>
      </c>
      <c r="J19" s="114">
        <v>1258</v>
      </c>
      <c r="K19" s="114">
        <v>1016</v>
      </c>
      <c r="L19" s="114">
        <v>15113</v>
      </c>
      <c r="M19" s="114">
        <v>86011</v>
      </c>
      <c r="N19" s="114"/>
      <c r="O19" s="13" t="s">
        <v>25</v>
      </c>
      <c r="P19" s="13" t="s">
        <v>25</v>
      </c>
    </row>
    <row r="20" spans="1:16" x14ac:dyDescent="0.3">
      <c r="A20" s="14">
        <v>43903.708333333336</v>
      </c>
      <c r="B20" s="13" t="s">
        <v>22</v>
      </c>
      <c r="C20" s="114">
        <v>7426</v>
      </c>
      <c r="D20" s="114">
        <v>1328</v>
      </c>
      <c r="E20" s="114">
        <v>8754</v>
      </c>
      <c r="F20" s="114">
        <v>6201</v>
      </c>
      <c r="G20" s="114">
        <v>14955</v>
      </c>
      <c r="H20" s="114">
        <v>2116</v>
      </c>
      <c r="I20" s="114">
        <v>2547</v>
      </c>
      <c r="J20" s="114">
        <v>1439</v>
      </c>
      <c r="K20" s="114">
        <v>1266</v>
      </c>
      <c r="L20" s="114">
        <v>17660</v>
      </c>
      <c r="M20" s="114">
        <v>97488</v>
      </c>
      <c r="N20" s="114"/>
      <c r="O20" s="13" t="s">
        <v>25</v>
      </c>
      <c r="P20" s="13" t="s">
        <v>25</v>
      </c>
    </row>
    <row r="21" spans="1:16" x14ac:dyDescent="0.3">
      <c r="A21" s="14">
        <v>43904.708333333336</v>
      </c>
      <c r="B21" s="13" t="s">
        <v>22</v>
      </c>
      <c r="C21" s="114">
        <v>8372</v>
      </c>
      <c r="D21" s="114">
        <v>1518</v>
      </c>
      <c r="E21" s="114">
        <v>9890</v>
      </c>
      <c r="F21" s="114">
        <v>7860</v>
      </c>
      <c r="G21" s="114">
        <v>17750</v>
      </c>
      <c r="H21" s="114">
        <v>2795</v>
      </c>
      <c r="I21" s="114">
        <v>3497</v>
      </c>
      <c r="J21" s="114">
        <v>1966</v>
      </c>
      <c r="K21" s="114">
        <v>1441</v>
      </c>
      <c r="L21" s="114">
        <v>21157</v>
      </c>
      <c r="M21" s="114">
        <v>109170</v>
      </c>
      <c r="N21" s="114"/>
      <c r="O21" s="13" t="s">
        <v>25</v>
      </c>
      <c r="P21" s="13" t="s">
        <v>25</v>
      </c>
    </row>
    <row r="22" spans="1:16" x14ac:dyDescent="0.3">
      <c r="A22" s="14">
        <v>43905.708333333336</v>
      </c>
      <c r="B22" s="13" t="s">
        <v>22</v>
      </c>
      <c r="C22" s="114">
        <v>9663</v>
      </c>
      <c r="D22" s="114">
        <v>1672</v>
      </c>
      <c r="E22" s="114">
        <v>11335</v>
      </c>
      <c r="F22" s="114">
        <v>9268</v>
      </c>
      <c r="G22" s="114">
        <v>20603</v>
      </c>
      <c r="H22" s="114">
        <v>2853</v>
      </c>
      <c r="I22" s="114">
        <v>3590</v>
      </c>
      <c r="J22" s="114">
        <v>2335</v>
      </c>
      <c r="K22" s="114">
        <v>1809</v>
      </c>
      <c r="L22" s="114">
        <v>24747</v>
      </c>
      <c r="M22" s="114">
        <v>124899</v>
      </c>
      <c r="N22" s="114"/>
      <c r="O22" s="13" t="s">
        <v>25</v>
      </c>
      <c r="P22" s="13" t="s">
        <v>25</v>
      </c>
    </row>
    <row r="23" spans="1:16" x14ac:dyDescent="0.3">
      <c r="A23" s="14">
        <v>43906.708333333336</v>
      </c>
      <c r="B23" s="13" t="s">
        <v>22</v>
      </c>
      <c r="C23" s="114">
        <v>11025</v>
      </c>
      <c r="D23" s="114">
        <v>1851</v>
      </c>
      <c r="E23" s="114">
        <v>12876</v>
      </c>
      <c r="F23" s="114">
        <v>10197</v>
      </c>
      <c r="G23" s="114">
        <v>23073</v>
      </c>
      <c r="H23" s="114">
        <v>2470</v>
      </c>
      <c r="I23" s="114">
        <v>3233</v>
      </c>
      <c r="J23" s="114">
        <v>2749</v>
      </c>
      <c r="K23" s="114">
        <v>2158</v>
      </c>
      <c r="L23" s="114">
        <v>27980</v>
      </c>
      <c r="M23" s="114">
        <v>137962</v>
      </c>
      <c r="N23" s="114"/>
      <c r="O23" s="13" t="s">
        <v>32</v>
      </c>
      <c r="P23" s="13" t="s">
        <v>33</v>
      </c>
    </row>
    <row r="24" spans="1:16" x14ac:dyDescent="0.3">
      <c r="A24" s="14">
        <v>43907.708333333336</v>
      </c>
      <c r="B24" s="13" t="s">
        <v>22</v>
      </c>
      <c r="C24" s="114">
        <v>12894</v>
      </c>
      <c r="D24" s="114">
        <v>2060</v>
      </c>
      <c r="E24" s="114">
        <v>14954</v>
      </c>
      <c r="F24" s="114">
        <v>11108</v>
      </c>
      <c r="G24" s="114">
        <v>26062</v>
      </c>
      <c r="H24" s="114">
        <v>2989</v>
      </c>
      <c r="I24" s="114">
        <v>3526</v>
      </c>
      <c r="J24" s="114">
        <v>2941</v>
      </c>
      <c r="K24" s="114">
        <v>2503</v>
      </c>
      <c r="L24" s="114">
        <v>31506</v>
      </c>
      <c r="M24" s="114">
        <v>148657</v>
      </c>
      <c r="N24" s="114"/>
      <c r="O24" s="13" t="s">
        <v>34</v>
      </c>
      <c r="P24" s="13" t="s">
        <v>35</v>
      </c>
    </row>
    <row r="25" spans="1:16" x14ac:dyDescent="0.3">
      <c r="A25" s="14">
        <v>43908.708333333336</v>
      </c>
      <c r="B25" s="13" t="s">
        <v>22</v>
      </c>
      <c r="C25" s="114">
        <v>14363</v>
      </c>
      <c r="D25" s="114">
        <v>2257</v>
      </c>
      <c r="E25" s="114">
        <v>16620</v>
      </c>
      <c r="F25" s="114">
        <v>12090</v>
      </c>
      <c r="G25" s="114">
        <v>28710</v>
      </c>
      <c r="H25" s="114">
        <v>2648</v>
      </c>
      <c r="I25" s="114">
        <v>4207</v>
      </c>
      <c r="J25" s="114">
        <v>4025</v>
      </c>
      <c r="K25" s="114">
        <v>2978</v>
      </c>
      <c r="L25" s="114">
        <v>35713</v>
      </c>
      <c r="M25" s="114">
        <v>165541</v>
      </c>
      <c r="N25" s="114"/>
      <c r="O25" s="13" t="s">
        <v>36</v>
      </c>
      <c r="P25" s="13" t="s">
        <v>37</v>
      </c>
    </row>
    <row r="26" spans="1:16" x14ac:dyDescent="0.3">
      <c r="A26" s="14">
        <v>43909.708333333336</v>
      </c>
      <c r="B26" s="13" t="s">
        <v>22</v>
      </c>
      <c r="C26" s="114">
        <v>15757</v>
      </c>
      <c r="D26" s="114">
        <v>2498</v>
      </c>
      <c r="E26" s="114">
        <v>18255</v>
      </c>
      <c r="F26" s="114">
        <v>14935</v>
      </c>
      <c r="G26" s="114">
        <v>33190</v>
      </c>
      <c r="H26" s="114">
        <v>4480</v>
      </c>
      <c r="I26" s="114">
        <v>5322</v>
      </c>
      <c r="J26" s="114">
        <v>4440</v>
      </c>
      <c r="K26" s="114">
        <v>3405</v>
      </c>
      <c r="L26" s="114">
        <v>41035</v>
      </c>
      <c r="M26" s="114">
        <v>182777</v>
      </c>
      <c r="N26" s="114"/>
      <c r="O26" s="13" t="s">
        <v>25</v>
      </c>
      <c r="P26" s="13" t="s">
        <v>25</v>
      </c>
    </row>
    <row r="27" spans="1:16" x14ac:dyDescent="0.3">
      <c r="A27" s="14">
        <v>43910.708333333336</v>
      </c>
      <c r="B27" s="13" t="s">
        <v>22</v>
      </c>
      <c r="C27" s="114">
        <v>16020</v>
      </c>
      <c r="D27" s="114">
        <v>2655</v>
      </c>
      <c r="E27" s="114">
        <v>18675</v>
      </c>
      <c r="F27" s="114">
        <v>19185</v>
      </c>
      <c r="G27" s="114">
        <v>37860</v>
      </c>
      <c r="H27" s="114">
        <v>4670</v>
      </c>
      <c r="I27" s="114">
        <v>5986</v>
      </c>
      <c r="J27" s="114">
        <v>5129</v>
      </c>
      <c r="K27" s="114">
        <v>4032</v>
      </c>
      <c r="L27" s="114">
        <v>47021</v>
      </c>
      <c r="M27" s="114">
        <v>206886</v>
      </c>
      <c r="N27" s="114"/>
      <c r="O27" s="13" t="s">
        <v>25</v>
      </c>
      <c r="P27" s="13" t="s">
        <v>25</v>
      </c>
    </row>
    <row r="28" spans="1:16" x14ac:dyDescent="0.3">
      <c r="A28" s="14">
        <v>43911.708333333336</v>
      </c>
      <c r="B28" s="13" t="s">
        <v>22</v>
      </c>
      <c r="C28" s="114">
        <v>17708</v>
      </c>
      <c r="D28" s="114">
        <v>2857</v>
      </c>
      <c r="E28" s="114">
        <v>20565</v>
      </c>
      <c r="F28" s="114">
        <v>22116</v>
      </c>
      <c r="G28" s="114">
        <v>42681</v>
      </c>
      <c r="H28" s="114">
        <v>4821</v>
      </c>
      <c r="I28" s="114">
        <v>6557</v>
      </c>
      <c r="J28" s="114">
        <v>6072</v>
      </c>
      <c r="K28" s="114">
        <v>4825</v>
      </c>
      <c r="L28" s="114">
        <v>53578</v>
      </c>
      <c r="M28" s="114">
        <v>233222</v>
      </c>
      <c r="N28" s="114"/>
      <c r="O28" s="13" t="s">
        <v>25</v>
      </c>
      <c r="P28" s="13" t="s">
        <v>25</v>
      </c>
    </row>
    <row r="29" spans="1:16" x14ac:dyDescent="0.3">
      <c r="A29" s="14">
        <v>43912.708333333336</v>
      </c>
      <c r="B29" s="13" t="s">
        <v>22</v>
      </c>
      <c r="C29" s="114">
        <v>19846</v>
      </c>
      <c r="D29" s="114">
        <v>3009</v>
      </c>
      <c r="E29" s="114">
        <v>22855</v>
      </c>
      <c r="F29" s="114">
        <v>23783</v>
      </c>
      <c r="G29" s="114">
        <v>46638</v>
      </c>
      <c r="H29" s="114">
        <v>3957</v>
      </c>
      <c r="I29" s="114">
        <v>5560</v>
      </c>
      <c r="J29" s="114">
        <v>7024</v>
      </c>
      <c r="K29" s="114">
        <v>5476</v>
      </c>
      <c r="L29" s="114">
        <v>59138</v>
      </c>
      <c r="M29" s="114">
        <v>258402</v>
      </c>
      <c r="N29" s="114"/>
      <c r="O29" s="13" t="s">
        <v>25</v>
      </c>
      <c r="P29" s="13" t="s">
        <v>25</v>
      </c>
    </row>
    <row r="30" spans="1:16" x14ac:dyDescent="0.3">
      <c r="A30" s="14">
        <v>43913.708333333336</v>
      </c>
      <c r="B30" s="13" t="s">
        <v>22</v>
      </c>
      <c r="C30" s="114">
        <v>20692</v>
      </c>
      <c r="D30" s="114">
        <v>3204</v>
      </c>
      <c r="E30" s="114">
        <v>23896</v>
      </c>
      <c r="F30" s="114">
        <v>26522</v>
      </c>
      <c r="G30" s="114">
        <v>50418</v>
      </c>
      <c r="H30" s="114">
        <v>3780</v>
      </c>
      <c r="I30" s="114">
        <v>4789</v>
      </c>
      <c r="J30" s="114">
        <v>7432</v>
      </c>
      <c r="K30" s="114">
        <v>6077</v>
      </c>
      <c r="L30" s="114">
        <v>63927</v>
      </c>
      <c r="M30" s="114">
        <v>275468</v>
      </c>
      <c r="N30" s="114"/>
      <c r="O30" s="13" t="s">
        <v>25</v>
      </c>
      <c r="P30" s="13" t="s">
        <v>25</v>
      </c>
    </row>
    <row r="31" spans="1:16" x14ac:dyDescent="0.3">
      <c r="A31" s="14">
        <v>43914.708333333336</v>
      </c>
      <c r="B31" s="13" t="s">
        <v>22</v>
      </c>
      <c r="C31" s="114">
        <v>21937</v>
      </c>
      <c r="D31" s="114">
        <v>3396</v>
      </c>
      <c r="E31" s="114">
        <v>25333</v>
      </c>
      <c r="F31" s="114">
        <v>28697</v>
      </c>
      <c r="G31" s="114">
        <v>54030</v>
      </c>
      <c r="H31" s="114">
        <v>3612</v>
      </c>
      <c r="I31" s="114">
        <v>5249</v>
      </c>
      <c r="J31" s="114">
        <v>8326</v>
      </c>
      <c r="K31" s="114">
        <v>6820</v>
      </c>
      <c r="L31" s="114">
        <v>69176</v>
      </c>
      <c r="M31" s="114">
        <v>296964</v>
      </c>
      <c r="N31" s="114"/>
      <c r="O31" s="13" t="s">
        <v>25</v>
      </c>
      <c r="P31" s="13" t="s">
        <v>25</v>
      </c>
    </row>
    <row r="32" spans="1:16" x14ac:dyDescent="0.3">
      <c r="A32" s="14">
        <v>43915.708333333336</v>
      </c>
      <c r="B32" s="13" t="s">
        <v>22</v>
      </c>
      <c r="C32" s="114">
        <v>23112</v>
      </c>
      <c r="D32" s="114">
        <v>3489</v>
      </c>
      <c r="E32" s="114">
        <v>26601</v>
      </c>
      <c r="F32" s="114">
        <v>30920</v>
      </c>
      <c r="G32" s="114">
        <v>57521</v>
      </c>
      <c r="H32" s="114">
        <v>3491</v>
      </c>
      <c r="I32" s="114">
        <v>5210</v>
      </c>
      <c r="J32" s="114">
        <v>9362</v>
      </c>
      <c r="K32" s="114">
        <v>7503</v>
      </c>
      <c r="L32" s="114">
        <v>74386</v>
      </c>
      <c r="M32" s="114">
        <v>324445</v>
      </c>
      <c r="N32" s="114"/>
      <c r="O32" s="13" t="s">
        <v>25</v>
      </c>
      <c r="P32" s="13" t="s">
        <v>25</v>
      </c>
    </row>
    <row r="33" spans="1:16" x14ac:dyDescent="0.3">
      <c r="A33" s="14">
        <v>43916.708333333336</v>
      </c>
      <c r="B33" s="13" t="s">
        <v>22</v>
      </c>
      <c r="C33" s="114">
        <v>24753</v>
      </c>
      <c r="D33" s="114">
        <v>3612</v>
      </c>
      <c r="E33" s="114">
        <v>28365</v>
      </c>
      <c r="F33" s="114">
        <v>33648</v>
      </c>
      <c r="G33" s="114">
        <v>62013</v>
      </c>
      <c r="H33" s="114">
        <v>4492</v>
      </c>
      <c r="I33" s="114">
        <v>6153</v>
      </c>
      <c r="J33" s="114">
        <v>10361</v>
      </c>
      <c r="K33" s="114">
        <v>8165</v>
      </c>
      <c r="L33" s="114">
        <v>80539</v>
      </c>
      <c r="M33" s="114">
        <v>361060</v>
      </c>
      <c r="N33" s="114"/>
      <c r="O33" s="13" t="s">
        <v>87</v>
      </c>
      <c r="P33" s="13" t="s">
        <v>88</v>
      </c>
    </row>
    <row r="34" spans="1:16" x14ac:dyDescent="0.3">
      <c r="A34" s="14">
        <v>43917.708333333336</v>
      </c>
      <c r="B34" s="13" t="s">
        <v>22</v>
      </c>
      <c r="C34" s="114">
        <v>26029</v>
      </c>
      <c r="D34" s="114">
        <v>3732</v>
      </c>
      <c r="E34" s="114">
        <v>29761</v>
      </c>
      <c r="F34" s="114">
        <v>36653</v>
      </c>
      <c r="G34" s="114">
        <v>66414</v>
      </c>
      <c r="H34" s="114">
        <v>4401</v>
      </c>
      <c r="I34" s="114">
        <v>5959</v>
      </c>
      <c r="J34" s="114">
        <v>10950</v>
      </c>
      <c r="K34" s="114">
        <v>9134</v>
      </c>
      <c r="L34" s="114">
        <v>86498</v>
      </c>
      <c r="M34" s="114">
        <v>394079</v>
      </c>
      <c r="N34" s="114"/>
      <c r="O34" s="13" t="s">
        <v>25</v>
      </c>
      <c r="P34" s="13" t="s">
        <v>25</v>
      </c>
    </row>
    <row r="35" spans="1:16" x14ac:dyDescent="0.3">
      <c r="A35" s="14">
        <v>43918.708333333336</v>
      </c>
      <c r="B35" s="13" t="s">
        <v>22</v>
      </c>
      <c r="C35" s="114">
        <v>26676</v>
      </c>
      <c r="D35" s="114">
        <v>3856</v>
      </c>
      <c r="E35" s="114">
        <v>30532</v>
      </c>
      <c r="F35" s="114">
        <v>39533</v>
      </c>
      <c r="G35" s="114">
        <v>70065</v>
      </c>
      <c r="H35" s="114">
        <v>3651</v>
      </c>
      <c r="I35" s="114">
        <v>5974</v>
      </c>
      <c r="J35" s="114">
        <v>12384</v>
      </c>
      <c r="K35" s="114">
        <v>10023</v>
      </c>
      <c r="L35" s="114">
        <v>92472</v>
      </c>
      <c r="M35" s="114">
        <v>429526</v>
      </c>
      <c r="N35" s="114"/>
      <c r="O35" s="13" t="s">
        <v>25</v>
      </c>
      <c r="P35" s="13" t="s">
        <v>25</v>
      </c>
    </row>
    <row r="36" spans="1:16" x14ac:dyDescent="0.3">
      <c r="A36" s="14">
        <v>43919.708333333336</v>
      </c>
      <c r="B36" s="13" t="s">
        <v>22</v>
      </c>
      <c r="C36" s="114">
        <v>27386</v>
      </c>
      <c r="D36" s="114">
        <v>3906</v>
      </c>
      <c r="E36" s="114">
        <v>31292</v>
      </c>
      <c r="F36" s="114">
        <v>42588</v>
      </c>
      <c r="G36" s="114">
        <v>73880</v>
      </c>
      <c r="H36" s="114">
        <v>3815</v>
      </c>
      <c r="I36" s="114">
        <v>5217</v>
      </c>
      <c r="J36" s="114">
        <v>13030</v>
      </c>
      <c r="K36" s="114">
        <v>10779</v>
      </c>
      <c r="L36" s="114">
        <v>97689</v>
      </c>
      <c r="M36" s="114">
        <v>454030</v>
      </c>
      <c r="N36" s="114"/>
      <c r="O36" s="13" t="s">
        <v>94</v>
      </c>
      <c r="P36" s="13" t="s">
        <v>95</v>
      </c>
    </row>
    <row r="37" spans="1:16" x14ac:dyDescent="0.3">
      <c r="A37" s="14">
        <v>43920.708333333336</v>
      </c>
      <c r="B37" s="13" t="s">
        <v>22</v>
      </c>
      <c r="C37" s="114">
        <v>27795</v>
      </c>
      <c r="D37" s="114">
        <v>3981</v>
      </c>
      <c r="E37" s="114">
        <v>31776</v>
      </c>
      <c r="F37" s="114">
        <v>43752</v>
      </c>
      <c r="G37" s="114">
        <v>75528</v>
      </c>
      <c r="H37" s="114">
        <v>1648</v>
      </c>
      <c r="I37" s="114">
        <v>4050</v>
      </c>
      <c r="J37" s="114">
        <v>14620</v>
      </c>
      <c r="K37" s="114">
        <v>11591</v>
      </c>
      <c r="L37" s="114">
        <v>101739</v>
      </c>
      <c r="M37" s="114">
        <v>477359</v>
      </c>
      <c r="N37" s="114"/>
      <c r="O37" s="13" t="s">
        <v>25</v>
      </c>
      <c r="P37" s="13" t="s">
        <v>25</v>
      </c>
    </row>
    <row r="38" spans="1:16" x14ac:dyDescent="0.3">
      <c r="A38" s="14">
        <v>43921.708333333336</v>
      </c>
      <c r="B38" s="13" t="s">
        <v>22</v>
      </c>
      <c r="C38" s="114">
        <v>28192</v>
      </c>
      <c r="D38" s="114">
        <v>4023</v>
      </c>
      <c r="E38" s="114">
        <v>32215</v>
      </c>
      <c r="F38" s="114">
        <v>45420</v>
      </c>
      <c r="G38" s="114">
        <v>77635</v>
      </c>
      <c r="H38" s="114">
        <v>2107</v>
      </c>
      <c r="I38" s="114">
        <v>4053</v>
      </c>
      <c r="J38" s="114">
        <v>15729</v>
      </c>
      <c r="K38" s="114">
        <v>12428</v>
      </c>
      <c r="L38" s="114">
        <v>105792</v>
      </c>
      <c r="M38" s="114">
        <v>506968</v>
      </c>
      <c r="N38" s="114"/>
      <c r="O38" s="13" t="s">
        <v>25</v>
      </c>
      <c r="P38" s="13" t="s">
        <v>25</v>
      </c>
    </row>
    <row r="39" spans="1:16" x14ac:dyDescent="0.3">
      <c r="A39" s="14">
        <v>43922.708333333336</v>
      </c>
      <c r="B39" s="13" t="s">
        <v>22</v>
      </c>
      <c r="C39" s="114">
        <v>28403</v>
      </c>
      <c r="D39" s="114">
        <v>4035</v>
      </c>
      <c r="E39" s="114">
        <v>32438</v>
      </c>
      <c r="F39" s="114">
        <v>48134</v>
      </c>
      <c r="G39" s="114">
        <v>80572</v>
      </c>
      <c r="H39" s="114">
        <v>2937</v>
      </c>
      <c r="I39" s="114">
        <v>4782</v>
      </c>
      <c r="J39" s="114">
        <v>16847</v>
      </c>
      <c r="K39" s="114">
        <v>13155</v>
      </c>
      <c r="L39" s="114">
        <v>110574</v>
      </c>
      <c r="M39" s="114">
        <v>541423</v>
      </c>
      <c r="N39" s="114"/>
      <c r="O39" s="13" t="s">
        <v>25</v>
      </c>
      <c r="P39" s="13" t="s">
        <v>25</v>
      </c>
    </row>
    <row r="40" spans="1:16" x14ac:dyDescent="0.3">
      <c r="A40" s="14">
        <v>43923.708333333336</v>
      </c>
      <c r="B40" s="13" t="s">
        <v>22</v>
      </c>
      <c r="C40" s="114">
        <v>28540</v>
      </c>
      <c r="D40" s="114">
        <v>4053</v>
      </c>
      <c r="E40" s="114">
        <v>32593</v>
      </c>
      <c r="F40" s="114">
        <v>50456</v>
      </c>
      <c r="G40" s="114">
        <v>83049</v>
      </c>
      <c r="H40" s="114">
        <v>2477</v>
      </c>
      <c r="I40" s="114">
        <v>4668</v>
      </c>
      <c r="J40" s="114">
        <v>18278</v>
      </c>
      <c r="K40" s="114">
        <v>13915</v>
      </c>
      <c r="L40" s="114">
        <v>115242</v>
      </c>
      <c r="M40" s="114">
        <v>581232</v>
      </c>
      <c r="N40" s="114"/>
      <c r="O40" s="13" t="s">
        <v>25</v>
      </c>
      <c r="P40" s="13" t="s">
        <v>25</v>
      </c>
    </row>
    <row r="41" spans="1:16" x14ac:dyDescent="0.3">
      <c r="A41" s="14">
        <v>43924.708333333336</v>
      </c>
      <c r="B41" s="13" t="s">
        <v>22</v>
      </c>
      <c r="C41" s="114">
        <v>28741</v>
      </c>
      <c r="D41" s="114">
        <v>4068</v>
      </c>
      <c r="E41" s="114">
        <v>32809</v>
      </c>
      <c r="F41" s="114">
        <v>52579</v>
      </c>
      <c r="G41" s="114">
        <v>85388</v>
      </c>
      <c r="H41" s="114">
        <v>2339</v>
      </c>
      <c r="I41" s="114">
        <v>4585</v>
      </c>
      <c r="J41" s="114">
        <v>19758</v>
      </c>
      <c r="K41" s="114">
        <v>14681</v>
      </c>
      <c r="L41" s="114">
        <v>119827</v>
      </c>
      <c r="M41" s="114">
        <v>619849</v>
      </c>
      <c r="N41" s="114"/>
      <c r="O41" s="13" t="s">
        <v>25</v>
      </c>
      <c r="P41" s="13" t="s">
        <v>25</v>
      </c>
    </row>
    <row r="42" spans="1:16" x14ac:dyDescent="0.3">
      <c r="A42" s="14">
        <v>43925.708333333336</v>
      </c>
      <c r="B42" s="13" t="s">
        <v>22</v>
      </c>
      <c r="C42" s="114">
        <v>29010</v>
      </c>
      <c r="D42" s="114">
        <v>3994</v>
      </c>
      <c r="E42" s="114">
        <v>33004</v>
      </c>
      <c r="F42" s="114">
        <v>55270</v>
      </c>
      <c r="G42" s="114">
        <v>88274</v>
      </c>
      <c r="H42" s="114">
        <v>2886</v>
      </c>
      <c r="I42" s="114">
        <v>4805</v>
      </c>
      <c r="J42" s="114">
        <v>20996</v>
      </c>
      <c r="K42" s="114">
        <v>15362</v>
      </c>
      <c r="L42" s="114">
        <v>124632</v>
      </c>
      <c r="M42" s="114">
        <v>657224</v>
      </c>
      <c r="N42" s="114"/>
      <c r="O42" s="13" t="s">
        <v>25</v>
      </c>
      <c r="P42" s="13" t="s">
        <v>25</v>
      </c>
    </row>
    <row r="43" spans="1:16" x14ac:dyDescent="0.3">
      <c r="A43" s="14">
        <v>43926.708333333336</v>
      </c>
      <c r="B43" s="13" t="s">
        <v>22</v>
      </c>
      <c r="C43" s="114">
        <v>28949</v>
      </c>
      <c r="D43" s="114">
        <v>3977</v>
      </c>
      <c r="E43" s="114">
        <v>32926</v>
      </c>
      <c r="F43" s="114">
        <v>58320</v>
      </c>
      <c r="G43" s="114">
        <v>91246</v>
      </c>
      <c r="H43" s="114">
        <v>2972</v>
      </c>
      <c r="I43" s="114">
        <v>4316</v>
      </c>
      <c r="J43" s="114">
        <v>21815</v>
      </c>
      <c r="K43" s="114">
        <v>15887</v>
      </c>
      <c r="L43" s="114">
        <v>128948</v>
      </c>
      <c r="M43" s="114">
        <v>691461</v>
      </c>
      <c r="N43" s="114"/>
      <c r="O43" s="13" t="s">
        <v>25</v>
      </c>
      <c r="P43" s="13" t="s">
        <v>25</v>
      </c>
    </row>
    <row r="44" spans="1:16" x14ac:dyDescent="0.3">
      <c r="A44" s="14">
        <v>43927.708333333336</v>
      </c>
      <c r="B44" s="13" t="s">
        <v>22</v>
      </c>
      <c r="C44" s="114">
        <v>28976</v>
      </c>
      <c r="D44" s="114">
        <v>3898</v>
      </c>
      <c r="E44" s="114">
        <v>32874</v>
      </c>
      <c r="F44" s="114">
        <v>60313</v>
      </c>
      <c r="G44" s="114">
        <v>93187</v>
      </c>
      <c r="H44" s="114">
        <v>1941</v>
      </c>
      <c r="I44" s="114">
        <v>3599</v>
      </c>
      <c r="J44" s="114">
        <v>22837</v>
      </c>
      <c r="K44" s="114">
        <v>16523</v>
      </c>
      <c r="L44" s="114">
        <v>132547</v>
      </c>
      <c r="M44" s="114">
        <v>721732</v>
      </c>
      <c r="N44" s="114"/>
      <c r="O44" s="13" t="s">
        <v>25</v>
      </c>
      <c r="P44" s="13" t="s">
        <v>25</v>
      </c>
    </row>
    <row r="45" spans="1:16" x14ac:dyDescent="0.3">
      <c r="A45" s="14">
        <v>43928.708333333336</v>
      </c>
      <c r="B45" s="13" t="s">
        <v>22</v>
      </c>
      <c r="C45" s="114">
        <v>28718</v>
      </c>
      <c r="D45" s="114">
        <v>3792</v>
      </c>
      <c r="E45" s="114">
        <v>32510</v>
      </c>
      <c r="F45" s="114">
        <v>61557</v>
      </c>
      <c r="G45" s="114">
        <v>94067</v>
      </c>
      <c r="H45" s="114">
        <v>880</v>
      </c>
      <c r="I45" s="114">
        <v>3039</v>
      </c>
      <c r="J45" s="114">
        <v>24392</v>
      </c>
      <c r="K45" s="114">
        <v>17127</v>
      </c>
      <c r="L45" s="114">
        <v>135586</v>
      </c>
      <c r="M45" s="114">
        <v>755445</v>
      </c>
      <c r="N45" s="114"/>
      <c r="O45" s="13" t="s">
        <v>25</v>
      </c>
      <c r="P45" s="13" t="s">
        <v>25</v>
      </c>
    </row>
    <row r="46" spans="1:16" x14ac:dyDescent="0.3">
      <c r="A46" s="14">
        <v>43929.708333333336</v>
      </c>
      <c r="B46" s="13" t="s">
        <v>22</v>
      </c>
      <c r="C46" s="114">
        <v>28485</v>
      </c>
      <c r="D46" s="114">
        <v>3693</v>
      </c>
      <c r="E46" s="114">
        <v>32178</v>
      </c>
      <c r="F46" s="114">
        <v>63084</v>
      </c>
      <c r="G46" s="114">
        <v>95262</v>
      </c>
      <c r="H46" s="114">
        <v>1195</v>
      </c>
      <c r="I46" s="114">
        <v>3836</v>
      </c>
      <c r="J46" s="114">
        <v>26491</v>
      </c>
      <c r="K46" s="114">
        <v>17669</v>
      </c>
      <c r="L46" s="114">
        <v>139422</v>
      </c>
      <c r="M46" s="114">
        <v>807125</v>
      </c>
      <c r="N46" s="114"/>
      <c r="O46" s="13" t="s">
        <v>25</v>
      </c>
      <c r="P46" s="13" t="s">
        <v>25</v>
      </c>
    </row>
    <row r="47" spans="1:16" x14ac:dyDescent="0.3">
      <c r="A47" s="14">
        <v>43930.708333333336</v>
      </c>
      <c r="B47" s="13" t="s">
        <v>22</v>
      </c>
      <c r="C47" s="114">
        <v>28399</v>
      </c>
      <c r="D47" s="114">
        <v>3605</v>
      </c>
      <c r="E47" s="114">
        <v>32004</v>
      </c>
      <c r="F47" s="114">
        <v>64873</v>
      </c>
      <c r="G47" s="114">
        <v>96877</v>
      </c>
      <c r="H47" s="114">
        <v>1615</v>
      </c>
      <c r="I47" s="114">
        <v>4204</v>
      </c>
      <c r="J47" s="114">
        <v>28470</v>
      </c>
      <c r="K47" s="114">
        <v>18279</v>
      </c>
      <c r="L47" s="114">
        <v>143626</v>
      </c>
      <c r="M47" s="114">
        <v>853369</v>
      </c>
      <c r="N47" s="114"/>
      <c r="O47" s="13" t="s">
        <v>25</v>
      </c>
      <c r="P47" s="13" t="s">
        <v>25</v>
      </c>
    </row>
    <row r="48" spans="1:16" x14ac:dyDescent="0.3">
      <c r="A48" s="14">
        <v>43931.708333333336</v>
      </c>
      <c r="B48" s="13" t="s">
        <v>22</v>
      </c>
      <c r="C48" s="114">
        <v>28242</v>
      </c>
      <c r="D48" s="114">
        <v>3497</v>
      </c>
      <c r="E48" s="114">
        <v>31739</v>
      </c>
      <c r="F48" s="114">
        <v>66534</v>
      </c>
      <c r="G48" s="114">
        <v>98273</v>
      </c>
      <c r="H48" s="114">
        <v>1396</v>
      </c>
      <c r="I48" s="114">
        <v>3951</v>
      </c>
      <c r="J48" s="114">
        <v>30455</v>
      </c>
      <c r="K48" s="114">
        <v>18849</v>
      </c>
      <c r="L48" s="114">
        <v>147577</v>
      </c>
      <c r="M48" s="114">
        <v>906864</v>
      </c>
      <c r="N48" s="114"/>
      <c r="O48" s="13" t="s">
        <v>108</v>
      </c>
      <c r="P48" s="13" t="s">
        <v>109</v>
      </c>
    </row>
    <row r="49" spans="1:16" x14ac:dyDescent="0.3">
      <c r="A49" s="14">
        <v>43932.708333333336</v>
      </c>
      <c r="B49" s="13" t="s">
        <v>22</v>
      </c>
      <c r="C49" s="114">
        <v>28144</v>
      </c>
      <c r="D49" s="114">
        <v>3381</v>
      </c>
      <c r="E49" s="114">
        <v>31525</v>
      </c>
      <c r="F49" s="114">
        <v>68744</v>
      </c>
      <c r="G49" s="114">
        <v>100269</v>
      </c>
      <c r="H49" s="114">
        <v>1996</v>
      </c>
      <c r="I49" s="114">
        <v>4694</v>
      </c>
      <c r="J49" s="114">
        <v>32534</v>
      </c>
      <c r="K49" s="114">
        <v>19468</v>
      </c>
      <c r="L49" s="114">
        <v>152271</v>
      </c>
      <c r="M49" s="114">
        <v>963473</v>
      </c>
      <c r="N49" s="114"/>
      <c r="O49" s="13" t="s">
        <v>25</v>
      </c>
      <c r="P49" s="13" t="s">
        <v>25</v>
      </c>
    </row>
    <row r="50" spans="1:16" x14ac:dyDescent="0.3">
      <c r="A50" s="14">
        <v>43933.708333333336</v>
      </c>
      <c r="B50" s="13" t="s">
        <v>22</v>
      </c>
      <c r="C50" s="114">
        <v>27847</v>
      </c>
      <c r="D50" s="114">
        <v>3343</v>
      </c>
      <c r="E50" s="114">
        <v>31190</v>
      </c>
      <c r="F50" s="114">
        <v>71063</v>
      </c>
      <c r="G50" s="114">
        <v>102253</v>
      </c>
      <c r="H50" s="114">
        <v>1984</v>
      </c>
      <c r="I50" s="114">
        <v>4092</v>
      </c>
      <c r="J50" s="114">
        <v>34211</v>
      </c>
      <c r="K50" s="114">
        <v>19899</v>
      </c>
      <c r="L50" s="114">
        <v>156363</v>
      </c>
      <c r="M50" s="114">
        <v>1010193</v>
      </c>
      <c r="N50" s="114"/>
      <c r="O50" s="13" t="s">
        <v>110</v>
      </c>
      <c r="P50" s="13" t="s">
        <v>111</v>
      </c>
    </row>
    <row r="51" spans="1:16" x14ac:dyDescent="0.3">
      <c r="A51" s="14">
        <v>43934.708333333336</v>
      </c>
      <c r="B51" s="13" t="s">
        <v>22</v>
      </c>
      <c r="C51" s="114">
        <v>28023</v>
      </c>
      <c r="D51" s="114">
        <v>3260</v>
      </c>
      <c r="E51" s="114">
        <v>31283</v>
      </c>
      <c r="F51" s="114">
        <v>72333</v>
      </c>
      <c r="G51" s="114">
        <v>103616</v>
      </c>
      <c r="H51" s="114">
        <v>1363</v>
      </c>
      <c r="I51" s="114">
        <v>3153</v>
      </c>
      <c r="J51" s="114">
        <v>35435</v>
      </c>
      <c r="K51" s="114">
        <v>20465</v>
      </c>
      <c r="L51" s="114">
        <v>159516</v>
      </c>
      <c r="M51" s="114">
        <v>1046910</v>
      </c>
      <c r="N51" s="114"/>
      <c r="O51" s="13" t="s">
        <v>25</v>
      </c>
      <c r="P51" s="13" t="s">
        <v>25</v>
      </c>
    </row>
    <row r="52" spans="1:16" x14ac:dyDescent="0.3">
      <c r="A52" s="14">
        <v>43935.708333333336</v>
      </c>
      <c r="B52" s="13" t="s">
        <v>22</v>
      </c>
      <c r="C52" s="114">
        <v>28011</v>
      </c>
      <c r="D52" s="114">
        <v>3186</v>
      </c>
      <c r="E52" s="114">
        <v>31197</v>
      </c>
      <c r="F52" s="114">
        <v>73094</v>
      </c>
      <c r="G52" s="114">
        <v>104291</v>
      </c>
      <c r="H52" s="114">
        <v>675</v>
      </c>
      <c r="I52" s="114">
        <v>2972</v>
      </c>
      <c r="J52" s="114">
        <v>37130</v>
      </c>
      <c r="K52" s="114">
        <v>21067</v>
      </c>
      <c r="L52" s="114">
        <v>162488</v>
      </c>
      <c r="M52" s="114">
        <v>1073689</v>
      </c>
      <c r="N52" s="114"/>
      <c r="O52" s="13" t="s">
        <v>25</v>
      </c>
      <c r="P52" s="13" t="s">
        <v>25</v>
      </c>
    </row>
    <row r="53" spans="1:16" x14ac:dyDescent="0.3">
      <c r="A53" s="14">
        <v>43936.708333333336</v>
      </c>
      <c r="B53" s="13" t="s">
        <v>22</v>
      </c>
      <c r="C53" s="114">
        <v>27643</v>
      </c>
      <c r="D53" s="114">
        <v>3079</v>
      </c>
      <c r="E53" s="114">
        <v>30722</v>
      </c>
      <c r="F53" s="114">
        <v>74696</v>
      </c>
      <c r="G53" s="114">
        <v>105418</v>
      </c>
      <c r="H53" s="114">
        <v>1127</v>
      </c>
      <c r="I53" s="114">
        <v>2667</v>
      </c>
      <c r="J53" s="114">
        <v>38092</v>
      </c>
      <c r="K53" s="114">
        <v>21645</v>
      </c>
      <c r="L53" s="114">
        <v>165155</v>
      </c>
      <c r="M53" s="114">
        <v>1117404</v>
      </c>
      <c r="N53" s="114"/>
      <c r="O53" s="13" t="s">
        <v>188</v>
      </c>
      <c r="P53" s="13" t="s">
        <v>189</v>
      </c>
    </row>
    <row r="54" spans="1:16" x14ac:dyDescent="0.3">
      <c r="A54" s="14">
        <v>43937.708333333336</v>
      </c>
      <c r="B54" s="13" t="s">
        <v>22</v>
      </c>
      <c r="C54" s="114">
        <v>26893</v>
      </c>
      <c r="D54" s="114">
        <v>2936</v>
      </c>
      <c r="E54" s="114">
        <v>29829</v>
      </c>
      <c r="F54" s="114">
        <v>76778</v>
      </c>
      <c r="G54" s="114">
        <v>106607</v>
      </c>
      <c r="H54" s="114">
        <v>1189</v>
      </c>
      <c r="I54" s="114">
        <v>3786</v>
      </c>
      <c r="J54" s="114">
        <v>40164</v>
      </c>
      <c r="K54" s="114">
        <v>22170</v>
      </c>
      <c r="L54" s="114">
        <v>168941</v>
      </c>
      <c r="M54" s="114">
        <v>1178403</v>
      </c>
      <c r="N54" s="114"/>
      <c r="O54" s="13" t="s">
        <v>25</v>
      </c>
      <c r="P54" s="13" t="s">
        <v>25</v>
      </c>
    </row>
    <row r="55" spans="1:16" x14ac:dyDescent="0.3">
      <c r="A55" s="14">
        <v>43938.708333333336</v>
      </c>
      <c r="B55" s="13" t="s">
        <v>22</v>
      </c>
      <c r="C55" s="114">
        <v>25786</v>
      </c>
      <c r="D55" s="114">
        <v>2812</v>
      </c>
      <c r="E55" s="114">
        <v>28598</v>
      </c>
      <c r="F55" s="114">
        <v>78364</v>
      </c>
      <c r="G55" s="114">
        <v>106962</v>
      </c>
      <c r="H55" s="114">
        <v>355</v>
      </c>
      <c r="I55" s="114">
        <v>3493</v>
      </c>
      <c r="J55" s="114">
        <v>42727</v>
      </c>
      <c r="K55" s="114">
        <v>22745</v>
      </c>
      <c r="L55" s="114">
        <v>172434</v>
      </c>
      <c r="M55" s="114">
        <v>1244108</v>
      </c>
      <c r="N55" s="114"/>
      <c r="O55" s="13" t="s">
        <v>25</v>
      </c>
      <c r="P55" s="13" t="s">
        <v>25</v>
      </c>
    </row>
    <row r="56" spans="1:16" x14ac:dyDescent="0.3">
      <c r="A56" s="14">
        <v>43939.708333333336</v>
      </c>
      <c r="B56" s="13" t="s">
        <v>22</v>
      </c>
      <c r="C56" s="114">
        <v>25007</v>
      </c>
      <c r="D56" s="114">
        <v>2733</v>
      </c>
      <c r="E56" s="114">
        <v>27740</v>
      </c>
      <c r="F56" s="114">
        <v>80031</v>
      </c>
      <c r="G56" s="114">
        <v>107771</v>
      </c>
      <c r="H56" s="114">
        <v>809</v>
      </c>
      <c r="I56" s="114">
        <v>3491</v>
      </c>
      <c r="J56" s="114">
        <v>44927</v>
      </c>
      <c r="K56" s="114">
        <v>23227</v>
      </c>
      <c r="L56" s="114">
        <v>175925</v>
      </c>
      <c r="M56" s="114">
        <v>1305833</v>
      </c>
      <c r="N56" s="114"/>
      <c r="O56" s="13" t="s">
        <v>25</v>
      </c>
      <c r="P56" s="13" t="s">
        <v>25</v>
      </c>
    </row>
    <row r="57" spans="1:16" x14ac:dyDescent="0.3">
      <c r="A57" s="14">
        <v>43940.708333333336</v>
      </c>
      <c r="B57" s="13" t="s">
        <v>22</v>
      </c>
      <c r="C57" s="114">
        <v>25033</v>
      </c>
      <c r="D57" s="114">
        <v>2635</v>
      </c>
      <c r="E57" s="114">
        <v>27668</v>
      </c>
      <c r="F57" s="114">
        <v>80589</v>
      </c>
      <c r="G57" s="114">
        <v>108257</v>
      </c>
      <c r="H57" s="114">
        <v>486</v>
      </c>
      <c r="I57" s="114">
        <v>3047</v>
      </c>
      <c r="J57" s="114">
        <v>47055</v>
      </c>
      <c r="K57" s="114">
        <v>23660</v>
      </c>
      <c r="L57" s="114">
        <v>178972</v>
      </c>
      <c r="M57" s="114">
        <v>1356541</v>
      </c>
      <c r="N57" s="114">
        <v>935310</v>
      </c>
      <c r="O57" s="13" t="s">
        <v>25</v>
      </c>
      <c r="P57" s="13" t="s">
        <v>25</v>
      </c>
    </row>
    <row r="58" spans="1:16" x14ac:dyDescent="0.3">
      <c r="A58" s="14">
        <v>43941.708333333336</v>
      </c>
      <c r="B58" s="13" t="s">
        <v>22</v>
      </c>
      <c r="C58" s="114">
        <v>24906</v>
      </c>
      <c r="D58" s="114">
        <v>2573</v>
      </c>
      <c r="E58" s="114">
        <v>27479</v>
      </c>
      <c r="F58" s="114">
        <v>80758</v>
      </c>
      <c r="G58" s="114">
        <v>108237</v>
      </c>
      <c r="H58" s="114">
        <v>-20</v>
      </c>
      <c r="I58" s="114">
        <v>2256</v>
      </c>
      <c r="J58" s="114">
        <v>48877</v>
      </c>
      <c r="K58" s="114">
        <v>24114</v>
      </c>
      <c r="L58" s="114">
        <v>181228</v>
      </c>
      <c r="M58" s="114">
        <v>1398024</v>
      </c>
      <c r="N58" s="114">
        <v>943151</v>
      </c>
      <c r="O58" s="13" t="s">
        <v>197</v>
      </c>
      <c r="P58" s="13" t="s">
        <v>198</v>
      </c>
    </row>
    <row r="59" spans="1:16" x14ac:dyDescent="0.3">
      <c r="A59" s="14">
        <v>43942.708333333336</v>
      </c>
      <c r="B59" s="13" t="s">
        <v>22</v>
      </c>
      <c r="C59" s="115">
        <v>24134</v>
      </c>
      <c r="D59" s="115">
        <v>2471</v>
      </c>
      <c r="E59" s="115">
        <v>26605</v>
      </c>
      <c r="F59" s="115">
        <v>81104</v>
      </c>
      <c r="G59" s="115">
        <v>107709</v>
      </c>
      <c r="H59" s="115">
        <v>-528</v>
      </c>
      <c r="I59" s="115">
        <v>2729</v>
      </c>
      <c r="J59" s="115">
        <v>51600</v>
      </c>
      <c r="K59" s="115">
        <v>24648</v>
      </c>
      <c r="L59" s="115">
        <v>183957</v>
      </c>
      <c r="M59" s="115">
        <v>1450150</v>
      </c>
      <c r="N59" s="115">
        <v>971246</v>
      </c>
      <c r="O59" s="13" t="s">
        <v>199</v>
      </c>
      <c r="P59" s="13" t="s">
        <v>200</v>
      </c>
    </row>
    <row r="60" spans="1:16" x14ac:dyDescent="0.3">
      <c r="A60" s="14">
        <v>43943.708333333336</v>
      </c>
      <c r="B60" s="13" t="s">
        <v>22</v>
      </c>
      <c r="C60" s="115">
        <v>23805</v>
      </c>
      <c r="D60" s="115">
        <v>2384</v>
      </c>
      <c r="E60" s="115">
        <v>26189</v>
      </c>
      <c r="F60" s="115">
        <v>81510</v>
      </c>
      <c r="G60" s="115">
        <v>107699</v>
      </c>
      <c r="H60" s="115">
        <v>-10</v>
      </c>
      <c r="I60" s="115">
        <v>3370</v>
      </c>
      <c r="J60" s="115">
        <v>54543</v>
      </c>
      <c r="K60" s="115">
        <v>25085</v>
      </c>
      <c r="L60" s="115">
        <v>187327</v>
      </c>
      <c r="M60" s="115">
        <v>1513251</v>
      </c>
      <c r="N60" s="115">
        <v>1015494</v>
      </c>
      <c r="O60" s="13" t="s">
        <v>25</v>
      </c>
      <c r="P60" s="13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T1240"/>
  <sheetViews>
    <sheetView topLeftCell="A1213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12.5546875" bestFit="1" customWidth="1"/>
    <col min="19" max="19" width="9.88671875" bestFit="1" customWidth="1"/>
    <col min="20" max="20" width="10.6640625" bestFit="1" customWidth="1"/>
  </cols>
  <sheetData>
    <row r="1" spans="1:20" x14ac:dyDescent="0.3">
      <c r="A1" t="s">
        <v>12</v>
      </c>
      <c r="B1" t="s">
        <v>13</v>
      </c>
      <c r="C1" t="s">
        <v>38</v>
      </c>
      <c r="D1" t="s">
        <v>39</v>
      </c>
      <c r="E1" t="s">
        <v>40</v>
      </c>
      <c r="F1" t="s">
        <v>41</v>
      </c>
      <c r="G1" t="s">
        <v>14</v>
      </c>
      <c r="H1" t="s">
        <v>15</v>
      </c>
      <c r="I1" t="s">
        <v>16</v>
      </c>
      <c r="J1" t="s">
        <v>17</v>
      </c>
      <c r="K1" t="s">
        <v>91</v>
      </c>
      <c r="L1" t="s">
        <v>92</v>
      </c>
      <c r="M1" t="s">
        <v>93</v>
      </c>
      <c r="N1" t="s">
        <v>18</v>
      </c>
      <c r="O1" t="s">
        <v>19</v>
      </c>
      <c r="P1" t="s">
        <v>20</v>
      </c>
      <c r="Q1" t="s">
        <v>21</v>
      </c>
      <c r="R1" t="s">
        <v>196</v>
      </c>
      <c r="S1" t="s">
        <v>23</v>
      </c>
      <c r="T1" t="s">
        <v>24</v>
      </c>
    </row>
    <row r="2" spans="1:20" x14ac:dyDescent="0.3">
      <c r="A2" s="14">
        <v>43885.75</v>
      </c>
      <c r="B2" s="13" t="s">
        <v>22</v>
      </c>
      <c r="C2" s="114">
        <v>13</v>
      </c>
      <c r="D2" s="13" t="s">
        <v>42</v>
      </c>
      <c r="E2" s="114">
        <v>4235122196</v>
      </c>
      <c r="F2" s="114">
        <v>1339843823</v>
      </c>
      <c r="G2" s="114">
        <v>0</v>
      </c>
      <c r="H2" s="114">
        <v>0</v>
      </c>
      <c r="I2" s="114">
        <v>0</v>
      </c>
      <c r="J2" s="114">
        <v>0</v>
      </c>
      <c r="K2" s="114">
        <v>0</v>
      </c>
      <c r="L2" s="114">
        <v>0</v>
      </c>
      <c r="M2" s="114">
        <v>0</v>
      </c>
      <c r="N2" s="114">
        <v>0</v>
      </c>
      <c r="O2" s="114">
        <v>0</v>
      </c>
      <c r="P2" s="114">
        <v>0</v>
      </c>
      <c r="Q2" s="114">
        <v>5</v>
      </c>
      <c r="R2" s="13" t="s">
        <v>25</v>
      </c>
      <c r="S2" s="13" t="s">
        <v>25</v>
      </c>
      <c r="T2" s="13" t="s">
        <v>25</v>
      </c>
    </row>
    <row r="3" spans="1:20" x14ac:dyDescent="0.3">
      <c r="A3" s="14">
        <v>43885.75</v>
      </c>
      <c r="B3" s="13" t="s">
        <v>22</v>
      </c>
      <c r="C3" s="114">
        <v>17</v>
      </c>
      <c r="D3" s="13" t="s">
        <v>43</v>
      </c>
      <c r="E3" s="114">
        <v>4063947052</v>
      </c>
      <c r="F3" s="114">
        <v>1580514834</v>
      </c>
      <c r="G3" s="114">
        <v>0</v>
      </c>
      <c r="H3" s="114">
        <v>0</v>
      </c>
      <c r="I3" s="114">
        <v>0</v>
      </c>
      <c r="J3" s="114">
        <v>0</v>
      </c>
      <c r="K3" s="114">
        <v>0</v>
      </c>
      <c r="L3" s="114">
        <v>0</v>
      </c>
      <c r="M3" s="114">
        <v>0</v>
      </c>
      <c r="N3" s="114">
        <v>0</v>
      </c>
      <c r="O3" s="114">
        <v>0</v>
      </c>
      <c r="P3" s="114">
        <v>0</v>
      </c>
      <c r="Q3" s="114">
        <v>0</v>
      </c>
      <c r="R3" s="13" t="s">
        <v>25</v>
      </c>
      <c r="S3" s="13" t="s">
        <v>25</v>
      </c>
      <c r="T3" s="13" t="s">
        <v>25</v>
      </c>
    </row>
    <row r="4" spans="1:20" x14ac:dyDescent="0.3">
      <c r="A4" s="14">
        <v>43885.75</v>
      </c>
      <c r="B4" s="13" t="s">
        <v>22</v>
      </c>
      <c r="C4" s="114">
        <v>4</v>
      </c>
      <c r="D4" s="13" t="s">
        <v>44</v>
      </c>
      <c r="E4" s="114">
        <v>4649933453</v>
      </c>
      <c r="F4" s="114">
        <v>1135662422</v>
      </c>
      <c r="G4" s="114">
        <v>0</v>
      </c>
      <c r="H4" s="114">
        <v>0</v>
      </c>
      <c r="I4" s="114">
        <v>0</v>
      </c>
      <c r="J4" s="114">
        <v>0</v>
      </c>
      <c r="K4" s="114">
        <v>0</v>
      </c>
      <c r="L4" s="114">
        <v>0</v>
      </c>
      <c r="M4" s="114">
        <v>0</v>
      </c>
      <c r="N4" s="114">
        <v>0</v>
      </c>
      <c r="O4" s="114">
        <v>0</v>
      </c>
      <c r="P4" s="114">
        <v>0</v>
      </c>
      <c r="Q4" s="114">
        <v>1</v>
      </c>
      <c r="R4" s="13" t="s">
        <v>25</v>
      </c>
      <c r="S4" s="13" t="s">
        <v>25</v>
      </c>
      <c r="T4" s="13" t="s">
        <v>25</v>
      </c>
    </row>
    <row r="5" spans="1:20" x14ac:dyDescent="0.3">
      <c r="A5" s="14">
        <v>43885.75</v>
      </c>
      <c r="B5" s="13" t="s">
        <v>22</v>
      </c>
      <c r="C5" s="114">
        <v>18</v>
      </c>
      <c r="D5" s="13" t="s">
        <v>45</v>
      </c>
      <c r="E5" s="114">
        <v>3890597598</v>
      </c>
      <c r="F5" s="114">
        <v>1659440194</v>
      </c>
      <c r="G5" s="114">
        <v>0</v>
      </c>
      <c r="H5" s="114">
        <v>0</v>
      </c>
      <c r="I5" s="114">
        <v>0</v>
      </c>
      <c r="J5" s="114">
        <v>0</v>
      </c>
      <c r="K5" s="114">
        <v>0</v>
      </c>
      <c r="L5" s="114">
        <v>0</v>
      </c>
      <c r="M5" s="114">
        <v>0</v>
      </c>
      <c r="N5" s="114">
        <v>0</v>
      </c>
      <c r="O5" s="114">
        <v>0</v>
      </c>
      <c r="P5" s="114">
        <v>0</v>
      </c>
      <c r="Q5" s="114">
        <v>1</v>
      </c>
      <c r="R5" s="13" t="s">
        <v>25</v>
      </c>
      <c r="S5" s="13" t="s">
        <v>25</v>
      </c>
      <c r="T5" s="13" t="s">
        <v>25</v>
      </c>
    </row>
    <row r="6" spans="1:20" x14ac:dyDescent="0.3">
      <c r="A6" s="14">
        <v>43885.75</v>
      </c>
      <c r="B6" s="13" t="s">
        <v>22</v>
      </c>
      <c r="C6" s="114">
        <v>15</v>
      </c>
      <c r="D6" s="13" t="s">
        <v>46</v>
      </c>
      <c r="E6" s="114">
        <v>4083956555</v>
      </c>
      <c r="F6" s="114">
        <v>1425084984</v>
      </c>
      <c r="G6" s="114">
        <v>0</v>
      </c>
      <c r="H6" s="114">
        <v>0</v>
      </c>
      <c r="I6" s="114">
        <v>0</v>
      </c>
      <c r="J6" s="114">
        <v>0</v>
      </c>
      <c r="K6" s="114">
        <v>0</v>
      </c>
      <c r="L6" s="114">
        <v>0</v>
      </c>
      <c r="M6" s="114">
        <v>0</v>
      </c>
      <c r="N6" s="114">
        <v>0</v>
      </c>
      <c r="O6" s="114">
        <v>0</v>
      </c>
      <c r="P6" s="114">
        <v>0</v>
      </c>
      <c r="Q6" s="114">
        <v>10</v>
      </c>
      <c r="R6" s="13" t="s">
        <v>25</v>
      </c>
      <c r="S6" s="13" t="s">
        <v>25</v>
      </c>
      <c r="T6" s="13" t="s">
        <v>25</v>
      </c>
    </row>
    <row r="7" spans="1:20" x14ac:dyDescent="0.3">
      <c r="A7" s="14">
        <v>43885.75</v>
      </c>
      <c r="B7" s="13" t="s">
        <v>22</v>
      </c>
      <c r="C7" s="114">
        <v>8</v>
      </c>
      <c r="D7" s="13" t="s">
        <v>96</v>
      </c>
      <c r="E7" s="114">
        <v>4449436681</v>
      </c>
      <c r="F7" s="114">
        <v>113417208</v>
      </c>
      <c r="G7" s="114">
        <v>10</v>
      </c>
      <c r="H7" s="114">
        <v>2</v>
      </c>
      <c r="I7" s="114">
        <v>12</v>
      </c>
      <c r="J7" s="114">
        <v>6</v>
      </c>
      <c r="K7" s="114">
        <v>18</v>
      </c>
      <c r="L7" s="114">
        <v>0</v>
      </c>
      <c r="M7" s="114">
        <v>18</v>
      </c>
      <c r="N7" s="114">
        <v>0</v>
      </c>
      <c r="O7" s="114">
        <v>0</v>
      </c>
      <c r="P7" s="114">
        <v>18</v>
      </c>
      <c r="Q7" s="114">
        <v>148</v>
      </c>
      <c r="R7" s="13" t="s">
        <v>25</v>
      </c>
      <c r="S7" s="13" t="s">
        <v>25</v>
      </c>
      <c r="T7" s="13" t="s">
        <v>25</v>
      </c>
    </row>
    <row r="8" spans="1:20" x14ac:dyDescent="0.3">
      <c r="A8" s="14">
        <v>43885.75</v>
      </c>
      <c r="B8" s="13" t="s">
        <v>22</v>
      </c>
      <c r="C8" s="114">
        <v>6</v>
      </c>
      <c r="D8" s="13" t="s">
        <v>47</v>
      </c>
      <c r="E8" s="114">
        <v>456494354</v>
      </c>
      <c r="F8" s="114">
        <v>1376813649</v>
      </c>
      <c r="G8" s="114">
        <v>0</v>
      </c>
      <c r="H8" s="114">
        <v>0</v>
      </c>
      <c r="I8" s="114">
        <v>0</v>
      </c>
      <c r="J8" s="114">
        <v>0</v>
      </c>
      <c r="K8" s="114">
        <v>0</v>
      </c>
      <c r="L8" s="114">
        <v>0</v>
      </c>
      <c r="M8" s="114">
        <v>0</v>
      </c>
      <c r="N8" s="114">
        <v>0</v>
      </c>
      <c r="O8" s="114">
        <v>0</v>
      </c>
      <c r="P8" s="114">
        <v>0</v>
      </c>
      <c r="Q8" s="114">
        <v>58</v>
      </c>
      <c r="R8" s="13" t="s">
        <v>25</v>
      </c>
      <c r="S8" s="13" t="s">
        <v>25</v>
      </c>
      <c r="T8" s="13" t="s">
        <v>25</v>
      </c>
    </row>
    <row r="9" spans="1:20" x14ac:dyDescent="0.3">
      <c r="A9" s="14">
        <v>43885.75</v>
      </c>
      <c r="B9" s="13" t="s">
        <v>22</v>
      </c>
      <c r="C9" s="114">
        <v>12</v>
      </c>
      <c r="D9" s="13" t="s">
        <v>48</v>
      </c>
      <c r="E9" s="114">
        <v>4189277044</v>
      </c>
      <c r="F9" s="114">
        <v>1248366722</v>
      </c>
      <c r="G9" s="114">
        <v>1</v>
      </c>
      <c r="H9" s="114">
        <v>1</v>
      </c>
      <c r="I9" s="114">
        <v>2</v>
      </c>
      <c r="J9" s="114">
        <v>0</v>
      </c>
      <c r="K9" s="114">
        <v>2</v>
      </c>
      <c r="L9" s="114">
        <v>0</v>
      </c>
      <c r="M9" s="114">
        <v>2</v>
      </c>
      <c r="N9" s="114">
        <v>1</v>
      </c>
      <c r="O9" s="114">
        <v>0</v>
      </c>
      <c r="P9" s="114">
        <v>3</v>
      </c>
      <c r="Q9" s="114">
        <v>124</v>
      </c>
      <c r="R9" s="13" t="s">
        <v>25</v>
      </c>
      <c r="S9" s="13" t="s">
        <v>25</v>
      </c>
      <c r="T9" s="13" t="s">
        <v>25</v>
      </c>
    </row>
    <row r="10" spans="1:20" x14ac:dyDescent="0.3">
      <c r="A10" s="14">
        <v>43885.75</v>
      </c>
      <c r="B10" s="13" t="s">
        <v>22</v>
      </c>
      <c r="C10" s="114">
        <v>7</v>
      </c>
      <c r="D10" s="13" t="s">
        <v>49</v>
      </c>
      <c r="E10" s="114">
        <v>4441149315</v>
      </c>
      <c r="F10" s="114">
        <v>89326992</v>
      </c>
      <c r="G10" s="114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4">
        <v>0</v>
      </c>
      <c r="P10" s="114">
        <v>0</v>
      </c>
      <c r="Q10" s="114">
        <v>1</v>
      </c>
      <c r="R10" s="13" t="s">
        <v>25</v>
      </c>
      <c r="S10" s="13" t="s">
        <v>25</v>
      </c>
      <c r="T10" s="13" t="s">
        <v>25</v>
      </c>
    </row>
    <row r="11" spans="1:20" x14ac:dyDescent="0.3">
      <c r="A11" s="14">
        <v>43885.75</v>
      </c>
      <c r="B11" s="13" t="s">
        <v>22</v>
      </c>
      <c r="C11" s="114">
        <v>3</v>
      </c>
      <c r="D11" s="13" t="s">
        <v>50</v>
      </c>
      <c r="E11" s="114">
        <v>4546679409</v>
      </c>
      <c r="F11" s="114">
        <v>9190347404</v>
      </c>
      <c r="G11" s="114">
        <v>76</v>
      </c>
      <c r="H11" s="114">
        <v>19</v>
      </c>
      <c r="I11" s="114">
        <v>95</v>
      </c>
      <c r="J11" s="114">
        <v>71</v>
      </c>
      <c r="K11" s="114">
        <v>166</v>
      </c>
      <c r="L11" s="114">
        <v>0</v>
      </c>
      <c r="M11" s="114">
        <v>166</v>
      </c>
      <c r="N11" s="114">
        <v>0</v>
      </c>
      <c r="O11" s="114">
        <v>6</v>
      </c>
      <c r="P11" s="114">
        <v>172</v>
      </c>
      <c r="Q11" s="114">
        <v>1463</v>
      </c>
      <c r="R11" s="13" t="s">
        <v>25</v>
      </c>
      <c r="S11" s="13" t="s">
        <v>25</v>
      </c>
      <c r="T11" s="13" t="s">
        <v>25</v>
      </c>
    </row>
    <row r="12" spans="1:20" x14ac:dyDescent="0.3">
      <c r="A12" s="14">
        <v>43885.75</v>
      </c>
      <c r="B12" s="13" t="s">
        <v>22</v>
      </c>
      <c r="C12" s="114">
        <v>11</v>
      </c>
      <c r="D12" s="13" t="s">
        <v>51</v>
      </c>
      <c r="E12" s="114">
        <v>4361675973</v>
      </c>
      <c r="F12" s="114">
        <v>135188753</v>
      </c>
      <c r="G12" s="114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16</v>
      </c>
      <c r="R12" s="13" t="s">
        <v>25</v>
      </c>
      <c r="S12" s="13" t="s">
        <v>25</v>
      </c>
      <c r="T12" s="13" t="s">
        <v>25</v>
      </c>
    </row>
    <row r="13" spans="1:20" x14ac:dyDescent="0.3">
      <c r="A13" s="14">
        <v>43885.75</v>
      </c>
      <c r="B13" s="13" t="s">
        <v>22</v>
      </c>
      <c r="C13" s="114">
        <v>14</v>
      </c>
      <c r="D13" s="13" t="s">
        <v>52</v>
      </c>
      <c r="E13" s="114">
        <v>4155774754</v>
      </c>
      <c r="F13" s="114">
        <v>1465916051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4">
        <v>0</v>
      </c>
      <c r="P13" s="114">
        <v>0</v>
      </c>
      <c r="Q13" s="114">
        <v>0</v>
      </c>
      <c r="R13" s="13" t="s">
        <v>25</v>
      </c>
      <c r="S13" s="13" t="s">
        <v>25</v>
      </c>
      <c r="T13" s="13" t="s">
        <v>25</v>
      </c>
    </row>
    <row r="14" spans="1:20" x14ac:dyDescent="0.3">
      <c r="A14" s="14">
        <v>43885.75</v>
      </c>
      <c r="B14" s="13" t="s">
        <v>22</v>
      </c>
      <c r="C14" s="114">
        <v>1</v>
      </c>
      <c r="D14" s="13" t="s">
        <v>53</v>
      </c>
      <c r="E14" s="114">
        <v>450732745</v>
      </c>
      <c r="F14" s="114">
        <v>7680687483</v>
      </c>
      <c r="G14" s="114">
        <v>2</v>
      </c>
      <c r="H14" s="114">
        <v>0</v>
      </c>
      <c r="I14" s="114">
        <v>2</v>
      </c>
      <c r="J14" s="114">
        <v>1</v>
      </c>
      <c r="K14" s="114">
        <v>3</v>
      </c>
      <c r="L14" s="114">
        <v>0</v>
      </c>
      <c r="M14" s="114">
        <v>3</v>
      </c>
      <c r="N14" s="114">
        <v>0</v>
      </c>
      <c r="O14" s="114">
        <v>0</v>
      </c>
      <c r="P14" s="114">
        <v>3</v>
      </c>
      <c r="Q14" s="114">
        <v>141</v>
      </c>
      <c r="R14" s="13" t="s">
        <v>25</v>
      </c>
      <c r="S14" s="13" t="s">
        <v>25</v>
      </c>
      <c r="T14" s="13" t="s">
        <v>25</v>
      </c>
    </row>
    <row r="15" spans="1:20" x14ac:dyDescent="0.3">
      <c r="A15" s="14">
        <v>43885.75</v>
      </c>
      <c r="B15" s="13" t="s">
        <v>22</v>
      </c>
      <c r="C15" s="114">
        <v>16</v>
      </c>
      <c r="D15" s="13" t="s">
        <v>54</v>
      </c>
      <c r="E15" s="114">
        <v>4112559576</v>
      </c>
      <c r="F15" s="114">
        <v>1686736689</v>
      </c>
      <c r="G15" s="114">
        <v>0</v>
      </c>
      <c r="H15" s="114">
        <v>0</v>
      </c>
      <c r="I15" s="114">
        <v>0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3" t="s">
        <v>25</v>
      </c>
      <c r="S15" s="13" t="s">
        <v>25</v>
      </c>
      <c r="T15" s="13" t="s">
        <v>25</v>
      </c>
    </row>
    <row r="16" spans="1:20" x14ac:dyDescent="0.3">
      <c r="A16" s="14">
        <v>43885.75</v>
      </c>
      <c r="B16" s="13" t="s">
        <v>22</v>
      </c>
      <c r="C16" s="114">
        <v>20</v>
      </c>
      <c r="D16" s="13" t="s">
        <v>55</v>
      </c>
      <c r="E16" s="114">
        <v>3921531192</v>
      </c>
      <c r="F16" s="114">
        <v>9110616306</v>
      </c>
      <c r="G16" s="114">
        <v>0</v>
      </c>
      <c r="H16" s="114">
        <v>0</v>
      </c>
      <c r="I16" s="114">
        <v>0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4">
        <v>0</v>
      </c>
      <c r="P16" s="114">
        <v>0</v>
      </c>
      <c r="Q16" s="114">
        <v>1</v>
      </c>
      <c r="R16" s="13" t="s">
        <v>25</v>
      </c>
      <c r="S16" s="13" t="s">
        <v>25</v>
      </c>
      <c r="T16" s="13" t="s">
        <v>25</v>
      </c>
    </row>
    <row r="17" spans="1:20" x14ac:dyDescent="0.3">
      <c r="A17" s="14">
        <v>43885.75</v>
      </c>
      <c r="B17" s="13" t="s">
        <v>22</v>
      </c>
      <c r="C17" s="114">
        <v>19</v>
      </c>
      <c r="D17" s="13" t="s">
        <v>56</v>
      </c>
      <c r="E17" s="114">
        <v>3811569725</v>
      </c>
      <c r="F17" s="114">
        <v>133623567</v>
      </c>
      <c r="G17" s="114">
        <v>0</v>
      </c>
      <c r="H17" s="114">
        <v>0</v>
      </c>
      <c r="I17" s="114">
        <v>0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5</v>
      </c>
      <c r="R17" s="13" t="s">
        <v>25</v>
      </c>
      <c r="S17" s="13" t="s">
        <v>25</v>
      </c>
      <c r="T17" s="13" t="s">
        <v>25</v>
      </c>
    </row>
    <row r="18" spans="1:20" x14ac:dyDescent="0.3">
      <c r="A18" s="14">
        <v>43885.75</v>
      </c>
      <c r="B18" s="13" t="s">
        <v>22</v>
      </c>
      <c r="C18" s="114">
        <v>9</v>
      </c>
      <c r="D18" s="13" t="s">
        <v>57</v>
      </c>
      <c r="E18" s="114">
        <v>4376923077</v>
      </c>
      <c r="F18" s="114">
        <v>1125588885</v>
      </c>
      <c r="G18" s="114">
        <v>0</v>
      </c>
      <c r="H18" s="114">
        <v>0</v>
      </c>
      <c r="I18" s="114">
        <v>0</v>
      </c>
      <c r="J18" s="114">
        <v>0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140</v>
      </c>
      <c r="R18" s="13" t="s">
        <v>25</v>
      </c>
      <c r="S18" s="13" t="s">
        <v>25</v>
      </c>
      <c r="T18" s="13" t="s">
        <v>25</v>
      </c>
    </row>
    <row r="19" spans="1:20" x14ac:dyDescent="0.3">
      <c r="A19" s="14">
        <v>43885.75</v>
      </c>
      <c r="B19" s="13" t="s">
        <v>22</v>
      </c>
      <c r="C19" s="114">
        <v>4</v>
      </c>
      <c r="D19" s="13" t="s">
        <v>58</v>
      </c>
      <c r="E19" s="114">
        <v>4606893511</v>
      </c>
      <c r="F19" s="114">
        <v>1112123097</v>
      </c>
      <c r="G19" s="114">
        <v>0</v>
      </c>
      <c r="H19" s="114">
        <v>0</v>
      </c>
      <c r="I19" s="114">
        <v>0</v>
      </c>
      <c r="J19" s="114">
        <v>0</v>
      </c>
      <c r="K19" s="114">
        <v>0</v>
      </c>
      <c r="L19" s="114">
        <v>0</v>
      </c>
      <c r="M19" s="114">
        <v>0</v>
      </c>
      <c r="N19" s="114">
        <v>0</v>
      </c>
      <c r="O19" s="114">
        <v>0</v>
      </c>
      <c r="P19" s="114">
        <v>0</v>
      </c>
      <c r="Q19" s="114">
        <v>3</v>
      </c>
      <c r="R19" s="13" t="s">
        <v>25</v>
      </c>
      <c r="S19" s="13" t="s">
        <v>25</v>
      </c>
      <c r="T19" s="13" t="s">
        <v>25</v>
      </c>
    </row>
    <row r="20" spans="1:20" x14ac:dyDescent="0.3">
      <c r="A20" s="14">
        <v>43885.75</v>
      </c>
      <c r="B20" s="13" t="s">
        <v>22</v>
      </c>
      <c r="C20" s="114">
        <v>10</v>
      </c>
      <c r="D20" s="13" t="s">
        <v>59</v>
      </c>
      <c r="E20" s="114">
        <v>4310675841</v>
      </c>
      <c r="F20" s="114">
        <v>1238824698</v>
      </c>
      <c r="G20" s="114">
        <v>0</v>
      </c>
      <c r="H20" s="114">
        <v>0</v>
      </c>
      <c r="I20" s="114">
        <v>0</v>
      </c>
      <c r="J20" s="114">
        <v>0</v>
      </c>
      <c r="K20" s="114">
        <v>0</v>
      </c>
      <c r="L20" s="114">
        <v>0</v>
      </c>
      <c r="M20" s="114">
        <v>0</v>
      </c>
      <c r="N20" s="114">
        <v>0</v>
      </c>
      <c r="O20" s="114">
        <v>0</v>
      </c>
      <c r="P20" s="114">
        <v>0</v>
      </c>
      <c r="Q20" s="114">
        <v>0</v>
      </c>
      <c r="R20" s="13" t="s">
        <v>25</v>
      </c>
      <c r="S20" s="13" t="s">
        <v>25</v>
      </c>
      <c r="T20" s="13" t="s">
        <v>25</v>
      </c>
    </row>
    <row r="21" spans="1:20" x14ac:dyDescent="0.3">
      <c r="A21" s="14">
        <v>43885.75</v>
      </c>
      <c r="B21" s="13" t="s">
        <v>22</v>
      </c>
      <c r="C21" s="114">
        <v>2</v>
      </c>
      <c r="D21" s="13" t="s">
        <v>60</v>
      </c>
      <c r="E21" s="114">
        <v>4573750286</v>
      </c>
      <c r="F21" s="114">
        <v>7320149366</v>
      </c>
      <c r="G21" s="114">
        <v>0</v>
      </c>
      <c r="H21" s="114">
        <v>0</v>
      </c>
      <c r="I21" s="114">
        <v>0</v>
      </c>
      <c r="J21" s="114">
        <v>0</v>
      </c>
      <c r="K21" s="114">
        <v>0</v>
      </c>
      <c r="L21" s="114">
        <v>0</v>
      </c>
      <c r="M21" s="114">
        <v>0</v>
      </c>
      <c r="N21" s="114">
        <v>0</v>
      </c>
      <c r="O21" s="114">
        <v>0</v>
      </c>
      <c r="P21" s="114">
        <v>0</v>
      </c>
      <c r="Q21" s="114">
        <v>7</v>
      </c>
      <c r="R21" s="13" t="s">
        <v>25</v>
      </c>
      <c r="S21" s="13" t="s">
        <v>25</v>
      </c>
      <c r="T21" s="13" t="s">
        <v>25</v>
      </c>
    </row>
    <row r="22" spans="1:20" x14ac:dyDescent="0.3">
      <c r="A22" s="14">
        <v>43885.75</v>
      </c>
      <c r="B22" s="13" t="s">
        <v>22</v>
      </c>
      <c r="C22" s="114">
        <v>5</v>
      </c>
      <c r="D22" s="13" t="s">
        <v>61</v>
      </c>
      <c r="E22" s="114">
        <v>4543490485</v>
      </c>
      <c r="F22" s="114">
        <v>1233845213</v>
      </c>
      <c r="G22" s="114">
        <v>12</v>
      </c>
      <c r="H22" s="114">
        <v>4</v>
      </c>
      <c r="I22" s="114">
        <v>16</v>
      </c>
      <c r="J22" s="114">
        <v>16</v>
      </c>
      <c r="K22" s="114">
        <v>32</v>
      </c>
      <c r="L22" s="114">
        <v>0</v>
      </c>
      <c r="M22" s="114">
        <v>32</v>
      </c>
      <c r="N22" s="114">
        <v>0</v>
      </c>
      <c r="O22" s="114">
        <v>1</v>
      </c>
      <c r="P22" s="114">
        <v>33</v>
      </c>
      <c r="Q22" s="114">
        <v>2200</v>
      </c>
      <c r="R22" s="13" t="s">
        <v>25</v>
      </c>
      <c r="S22" s="13" t="s">
        <v>25</v>
      </c>
      <c r="T22" s="13" t="s">
        <v>25</v>
      </c>
    </row>
    <row r="23" spans="1:20" x14ac:dyDescent="0.3">
      <c r="A23" s="14">
        <v>43886.75</v>
      </c>
      <c r="B23" s="13" t="s">
        <v>22</v>
      </c>
      <c r="C23" s="114">
        <v>13</v>
      </c>
      <c r="D23" s="13" t="s">
        <v>42</v>
      </c>
      <c r="E23" s="114">
        <v>4235122196</v>
      </c>
      <c r="F23" s="114">
        <v>1339843823</v>
      </c>
      <c r="G23" s="114">
        <v>0</v>
      </c>
      <c r="H23" s="114">
        <v>0</v>
      </c>
      <c r="I23" s="114">
        <v>0</v>
      </c>
      <c r="J23" s="114">
        <v>0</v>
      </c>
      <c r="K23" s="114">
        <v>0</v>
      </c>
      <c r="L23" s="114">
        <v>0</v>
      </c>
      <c r="M23" s="114">
        <v>0</v>
      </c>
      <c r="N23" s="114">
        <v>0</v>
      </c>
      <c r="O23" s="114">
        <v>0</v>
      </c>
      <c r="P23" s="114">
        <v>0</v>
      </c>
      <c r="Q23" s="114">
        <v>5</v>
      </c>
      <c r="R23" s="13" t="s">
        <v>25</v>
      </c>
      <c r="S23" s="13" t="s">
        <v>25</v>
      </c>
      <c r="T23" s="13" t="s">
        <v>25</v>
      </c>
    </row>
    <row r="24" spans="1:20" x14ac:dyDescent="0.3">
      <c r="A24" s="14">
        <v>43886.75</v>
      </c>
      <c r="B24" s="13" t="s">
        <v>22</v>
      </c>
      <c r="C24" s="114">
        <v>17</v>
      </c>
      <c r="D24" s="13" t="s">
        <v>43</v>
      </c>
      <c r="E24" s="114">
        <v>4063947052</v>
      </c>
      <c r="F24" s="114">
        <v>1580514834</v>
      </c>
      <c r="G24" s="114">
        <v>0</v>
      </c>
      <c r="H24" s="114">
        <v>0</v>
      </c>
      <c r="I24" s="114">
        <v>0</v>
      </c>
      <c r="J24" s="114">
        <v>0</v>
      </c>
      <c r="K24" s="114">
        <v>0</v>
      </c>
      <c r="L24" s="114">
        <v>0</v>
      </c>
      <c r="M24" s="114">
        <v>0</v>
      </c>
      <c r="N24" s="114">
        <v>0</v>
      </c>
      <c r="O24" s="114">
        <v>0</v>
      </c>
      <c r="P24" s="114">
        <v>0</v>
      </c>
      <c r="Q24" s="114">
        <v>0</v>
      </c>
      <c r="R24" s="13" t="s">
        <v>25</v>
      </c>
      <c r="S24" s="13" t="s">
        <v>25</v>
      </c>
      <c r="T24" s="13" t="s">
        <v>25</v>
      </c>
    </row>
    <row r="25" spans="1:20" x14ac:dyDescent="0.3">
      <c r="A25" s="14">
        <v>43886.75</v>
      </c>
      <c r="B25" s="13" t="s">
        <v>22</v>
      </c>
      <c r="C25" s="114">
        <v>4</v>
      </c>
      <c r="D25" s="13" t="s">
        <v>44</v>
      </c>
      <c r="E25" s="114">
        <v>4649933453</v>
      </c>
      <c r="F25" s="114">
        <v>1135662422</v>
      </c>
      <c r="G25" s="114">
        <v>1</v>
      </c>
      <c r="H25" s="114">
        <v>0</v>
      </c>
      <c r="I25" s="114">
        <v>1</v>
      </c>
      <c r="J25" s="114">
        <v>0</v>
      </c>
      <c r="K25" s="114">
        <v>1</v>
      </c>
      <c r="L25" s="114">
        <v>1</v>
      </c>
      <c r="M25" s="114">
        <v>1</v>
      </c>
      <c r="N25" s="114">
        <v>0</v>
      </c>
      <c r="O25" s="114">
        <v>0</v>
      </c>
      <c r="P25" s="114">
        <v>1</v>
      </c>
      <c r="Q25" s="114">
        <v>1</v>
      </c>
      <c r="R25" s="13" t="s">
        <v>25</v>
      </c>
      <c r="S25" s="13" t="s">
        <v>25</v>
      </c>
      <c r="T25" s="13" t="s">
        <v>25</v>
      </c>
    </row>
    <row r="26" spans="1:20" x14ac:dyDescent="0.3">
      <c r="A26" s="14">
        <v>43886.75</v>
      </c>
      <c r="B26" s="13" t="s">
        <v>22</v>
      </c>
      <c r="C26" s="114">
        <v>18</v>
      </c>
      <c r="D26" s="13" t="s">
        <v>45</v>
      </c>
      <c r="E26" s="114">
        <v>3890597598</v>
      </c>
      <c r="F26" s="114">
        <v>1659440194</v>
      </c>
      <c r="G26" s="114">
        <v>0</v>
      </c>
      <c r="H26" s="114">
        <v>0</v>
      </c>
      <c r="I26" s="114">
        <v>0</v>
      </c>
      <c r="J26" s="114">
        <v>0</v>
      </c>
      <c r="K26" s="114">
        <v>0</v>
      </c>
      <c r="L26" s="114">
        <v>0</v>
      </c>
      <c r="M26" s="114">
        <v>0</v>
      </c>
      <c r="N26" s="114">
        <v>0</v>
      </c>
      <c r="O26" s="114">
        <v>0</v>
      </c>
      <c r="P26" s="114">
        <v>0</v>
      </c>
      <c r="Q26" s="114">
        <v>2</v>
      </c>
      <c r="R26" s="13" t="s">
        <v>25</v>
      </c>
      <c r="S26" s="13" t="s">
        <v>25</v>
      </c>
      <c r="T26" s="13" t="s">
        <v>25</v>
      </c>
    </row>
    <row r="27" spans="1:20" x14ac:dyDescent="0.3">
      <c r="A27" s="14">
        <v>43886.75</v>
      </c>
      <c r="B27" s="13" t="s">
        <v>22</v>
      </c>
      <c r="C27" s="114">
        <v>15</v>
      </c>
      <c r="D27" s="13" t="s">
        <v>46</v>
      </c>
      <c r="E27" s="114">
        <v>4083956555</v>
      </c>
      <c r="F27" s="114">
        <v>1425084984</v>
      </c>
      <c r="G27" s="114">
        <v>0</v>
      </c>
      <c r="H27" s="114">
        <v>0</v>
      </c>
      <c r="I27" s="114">
        <v>0</v>
      </c>
      <c r="J27" s="114">
        <v>0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  <c r="Q27" s="114">
        <v>10</v>
      </c>
      <c r="R27" s="13" t="s">
        <v>25</v>
      </c>
      <c r="S27" s="13" t="s">
        <v>25</v>
      </c>
      <c r="T27" s="13" t="s">
        <v>25</v>
      </c>
    </row>
    <row r="28" spans="1:20" x14ac:dyDescent="0.3">
      <c r="A28" s="14">
        <v>43886.75</v>
      </c>
      <c r="B28" s="13" t="s">
        <v>22</v>
      </c>
      <c r="C28" s="114">
        <v>8</v>
      </c>
      <c r="D28" s="13" t="s">
        <v>96</v>
      </c>
      <c r="E28" s="114">
        <v>4449436681</v>
      </c>
      <c r="F28" s="114">
        <v>113417208</v>
      </c>
      <c r="G28" s="114">
        <v>15</v>
      </c>
      <c r="H28" s="114">
        <v>2</v>
      </c>
      <c r="I28" s="114">
        <v>17</v>
      </c>
      <c r="J28" s="114">
        <v>9</v>
      </c>
      <c r="K28" s="114">
        <v>26</v>
      </c>
      <c r="L28" s="114">
        <v>8</v>
      </c>
      <c r="M28" s="114">
        <v>8</v>
      </c>
      <c r="N28" s="114">
        <v>0</v>
      </c>
      <c r="O28" s="114">
        <v>0</v>
      </c>
      <c r="P28" s="114">
        <v>26</v>
      </c>
      <c r="Q28" s="114">
        <v>391</v>
      </c>
      <c r="R28" s="13" t="s">
        <v>25</v>
      </c>
      <c r="S28" s="13" t="s">
        <v>25</v>
      </c>
      <c r="T28" s="13" t="s">
        <v>25</v>
      </c>
    </row>
    <row r="29" spans="1:20" x14ac:dyDescent="0.3">
      <c r="A29" s="14">
        <v>43886.75</v>
      </c>
      <c r="B29" s="13" t="s">
        <v>22</v>
      </c>
      <c r="C29" s="114">
        <v>6</v>
      </c>
      <c r="D29" s="13" t="s">
        <v>47</v>
      </c>
      <c r="E29" s="114">
        <v>456494354</v>
      </c>
      <c r="F29" s="114">
        <v>1376813649</v>
      </c>
      <c r="G29" s="114">
        <v>0</v>
      </c>
      <c r="H29" s="114">
        <v>0</v>
      </c>
      <c r="I29" s="114">
        <v>0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4">
        <v>0</v>
      </c>
      <c r="P29" s="114">
        <v>0</v>
      </c>
      <c r="Q29" s="114">
        <v>89</v>
      </c>
      <c r="R29" s="13" t="s">
        <v>25</v>
      </c>
      <c r="S29" s="13" t="s">
        <v>25</v>
      </c>
      <c r="T29" s="13" t="s">
        <v>25</v>
      </c>
    </row>
    <row r="30" spans="1:20" x14ac:dyDescent="0.3">
      <c r="A30" s="14">
        <v>43886.75</v>
      </c>
      <c r="B30" s="13" t="s">
        <v>22</v>
      </c>
      <c r="C30" s="114">
        <v>12</v>
      </c>
      <c r="D30" s="13" t="s">
        <v>48</v>
      </c>
      <c r="E30" s="114">
        <v>4189277044</v>
      </c>
      <c r="F30" s="114">
        <v>1248366722</v>
      </c>
      <c r="G30" s="114">
        <v>1</v>
      </c>
      <c r="H30" s="114">
        <v>1</v>
      </c>
      <c r="I30" s="114">
        <v>2</v>
      </c>
      <c r="J30" s="114">
        <v>0</v>
      </c>
      <c r="K30" s="114">
        <v>2</v>
      </c>
      <c r="L30" s="114">
        <v>0</v>
      </c>
      <c r="M30" s="114">
        <v>0</v>
      </c>
      <c r="N30" s="114">
        <v>1</v>
      </c>
      <c r="O30" s="114">
        <v>0</v>
      </c>
      <c r="P30" s="114">
        <v>3</v>
      </c>
      <c r="Q30" s="114">
        <v>124</v>
      </c>
      <c r="R30" s="13" t="s">
        <v>25</v>
      </c>
      <c r="S30" s="13" t="s">
        <v>25</v>
      </c>
      <c r="T30" s="13" t="s">
        <v>25</v>
      </c>
    </row>
    <row r="31" spans="1:20" x14ac:dyDescent="0.3">
      <c r="A31" s="14">
        <v>43886.75</v>
      </c>
      <c r="B31" s="13" t="s">
        <v>22</v>
      </c>
      <c r="C31" s="114">
        <v>7</v>
      </c>
      <c r="D31" s="13" t="s">
        <v>49</v>
      </c>
      <c r="E31" s="114">
        <v>4441149315</v>
      </c>
      <c r="F31" s="114">
        <v>89326992</v>
      </c>
      <c r="G31" s="114">
        <v>1</v>
      </c>
      <c r="H31" s="114">
        <v>0</v>
      </c>
      <c r="I31" s="114">
        <v>1</v>
      </c>
      <c r="J31" s="114">
        <v>0</v>
      </c>
      <c r="K31" s="114">
        <v>1</v>
      </c>
      <c r="L31" s="114">
        <v>1</v>
      </c>
      <c r="M31" s="114">
        <v>1</v>
      </c>
      <c r="N31" s="114">
        <v>0</v>
      </c>
      <c r="O31" s="114">
        <v>0</v>
      </c>
      <c r="P31" s="114">
        <v>1</v>
      </c>
      <c r="Q31" s="114">
        <v>39</v>
      </c>
      <c r="R31" s="13" t="s">
        <v>25</v>
      </c>
      <c r="S31" s="13" t="s">
        <v>25</v>
      </c>
      <c r="T31" s="13" t="s">
        <v>25</v>
      </c>
    </row>
    <row r="32" spans="1:20" x14ac:dyDescent="0.3">
      <c r="A32" s="14">
        <v>43886.75</v>
      </c>
      <c r="B32" s="13" t="s">
        <v>22</v>
      </c>
      <c r="C32" s="114">
        <v>3</v>
      </c>
      <c r="D32" s="13" t="s">
        <v>50</v>
      </c>
      <c r="E32" s="114">
        <v>4546679409</v>
      </c>
      <c r="F32" s="114">
        <v>9190347404</v>
      </c>
      <c r="G32" s="114">
        <v>79</v>
      </c>
      <c r="H32" s="114">
        <v>25</v>
      </c>
      <c r="I32" s="114">
        <v>104</v>
      </c>
      <c r="J32" s="114">
        <v>127</v>
      </c>
      <c r="K32" s="114">
        <v>231</v>
      </c>
      <c r="L32" s="114">
        <v>65</v>
      </c>
      <c r="M32" s="114">
        <v>68</v>
      </c>
      <c r="N32" s="114">
        <v>0</v>
      </c>
      <c r="O32" s="114">
        <v>9</v>
      </c>
      <c r="P32" s="114">
        <v>240</v>
      </c>
      <c r="Q32" s="114">
        <v>3700</v>
      </c>
      <c r="R32" s="13" t="s">
        <v>25</v>
      </c>
      <c r="S32" s="13" t="s">
        <v>25</v>
      </c>
      <c r="T32" s="13" t="s">
        <v>25</v>
      </c>
    </row>
    <row r="33" spans="1:20" x14ac:dyDescent="0.3">
      <c r="A33" s="14">
        <v>43886.75</v>
      </c>
      <c r="B33" s="13" t="s">
        <v>22</v>
      </c>
      <c r="C33" s="114">
        <v>11</v>
      </c>
      <c r="D33" s="13" t="s">
        <v>51</v>
      </c>
      <c r="E33" s="114">
        <v>4361675973</v>
      </c>
      <c r="F33" s="114">
        <v>135188753</v>
      </c>
      <c r="G33" s="114">
        <v>0</v>
      </c>
      <c r="H33" s="114">
        <v>0</v>
      </c>
      <c r="I33" s="114">
        <v>0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v>0</v>
      </c>
      <c r="P33" s="114">
        <v>0</v>
      </c>
      <c r="Q33" s="114">
        <v>21</v>
      </c>
      <c r="R33" s="13" t="s">
        <v>25</v>
      </c>
      <c r="S33" s="13" t="s">
        <v>25</v>
      </c>
      <c r="T33" s="13" t="s">
        <v>25</v>
      </c>
    </row>
    <row r="34" spans="1:20" x14ac:dyDescent="0.3">
      <c r="A34" s="14">
        <v>43886.75</v>
      </c>
      <c r="B34" s="13" t="s">
        <v>22</v>
      </c>
      <c r="C34" s="114">
        <v>14</v>
      </c>
      <c r="D34" s="13" t="s">
        <v>52</v>
      </c>
      <c r="E34" s="114">
        <v>4155774754</v>
      </c>
      <c r="F34" s="114">
        <v>1465916051</v>
      </c>
      <c r="G34" s="114">
        <v>0</v>
      </c>
      <c r="H34" s="114">
        <v>0</v>
      </c>
      <c r="I34" s="114">
        <v>0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4">
        <v>0</v>
      </c>
      <c r="P34" s="114">
        <v>0</v>
      </c>
      <c r="Q34" s="114">
        <v>0</v>
      </c>
      <c r="R34" s="13" t="s">
        <v>25</v>
      </c>
      <c r="S34" s="13" t="s">
        <v>25</v>
      </c>
      <c r="T34" s="13" t="s">
        <v>25</v>
      </c>
    </row>
    <row r="35" spans="1:20" x14ac:dyDescent="0.3">
      <c r="A35" s="14">
        <v>43886.75</v>
      </c>
      <c r="B35" s="13" t="s">
        <v>22</v>
      </c>
      <c r="C35" s="114">
        <v>1</v>
      </c>
      <c r="D35" s="13" t="s">
        <v>53</v>
      </c>
      <c r="E35" s="114">
        <v>450732745</v>
      </c>
      <c r="F35" s="114">
        <v>7680687483</v>
      </c>
      <c r="G35" s="114">
        <v>2</v>
      </c>
      <c r="H35" s="114">
        <v>0</v>
      </c>
      <c r="I35" s="114">
        <v>2</v>
      </c>
      <c r="J35" s="114">
        <v>1</v>
      </c>
      <c r="K35" s="114">
        <v>3</v>
      </c>
      <c r="L35" s="114">
        <v>0</v>
      </c>
      <c r="M35" s="114">
        <v>0</v>
      </c>
      <c r="N35" s="114">
        <v>0</v>
      </c>
      <c r="O35" s="114">
        <v>0</v>
      </c>
      <c r="P35" s="114">
        <v>3</v>
      </c>
      <c r="Q35" s="114">
        <v>141</v>
      </c>
      <c r="R35" s="13" t="s">
        <v>25</v>
      </c>
      <c r="S35" s="13" t="s">
        <v>25</v>
      </c>
      <c r="T35" s="13" t="s">
        <v>25</v>
      </c>
    </row>
    <row r="36" spans="1:20" x14ac:dyDescent="0.3">
      <c r="A36" s="14">
        <v>43886.75</v>
      </c>
      <c r="B36" s="13" t="s">
        <v>22</v>
      </c>
      <c r="C36" s="114">
        <v>16</v>
      </c>
      <c r="D36" s="13" t="s">
        <v>54</v>
      </c>
      <c r="E36" s="114">
        <v>4112559576</v>
      </c>
      <c r="F36" s="114">
        <v>1686736689</v>
      </c>
      <c r="G36" s="114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3" t="s">
        <v>25</v>
      </c>
      <c r="S36" s="13" t="s">
        <v>25</v>
      </c>
      <c r="T36" s="13" t="s">
        <v>25</v>
      </c>
    </row>
    <row r="37" spans="1:20" x14ac:dyDescent="0.3">
      <c r="A37" s="14">
        <v>43886.75</v>
      </c>
      <c r="B37" s="13" t="s">
        <v>22</v>
      </c>
      <c r="C37" s="114">
        <v>20</v>
      </c>
      <c r="D37" s="13" t="s">
        <v>55</v>
      </c>
      <c r="E37" s="114">
        <v>3921531192</v>
      </c>
      <c r="F37" s="114">
        <v>9110616306</v>
      </c>
      <c r="G37" s="114">
        <v>0</v>
      </c>
      <c r="H37" s="114">
        <v>0</v>
      </c>
      <c r="I37" s="114">
        <v>0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4">
        <v>0</v>
      </c>
      <c r="P37" s="114">
        <v>0</v>
      </c>
      <c r="Q37" s="114">
        <v>1</v>
      </c>
      <c r="R37" s="13" t="s">
        <v>25</v>
      </c>
      <c r="S37" s="13" t="s">
        <v>25</v>
      </c>
      <c r="T37" s="13" t="s">
        <v>25</v>
      </c>
    </row>
    <row r="38" spans="1:20" x14ac:dyDescent="0.3">
      <c r="A38" s="14">
        <v>43886.75</v>
      </c>
      <c r="B38" s="13" t="s">
        <v>22</v>
      </c>
      <c r="C38" s="114">
        <v>19</v>
      </c>
      <c r="D38" s="13" t="s">
        <v>56</v>
      </c>
      <c r="E38" s="114">
        <v>3811569725</v>
      </c>
      <c r="F38" s="114">
        <v>133623567</v>
      </c>
      <c r="G38" s="114">
        <v>1</v>
      </c>
      <c r="H38" s="114">
        <v>0</v>
      </c>
      <c r="I38" s="114">
        <v>1</v>
      </c>
      <c r="J38" s="114">
        <v>2</v>
      </c>
      <c r="K38" s="114">
        <v>3</v>
      </c>
      <c r="L38" s="114">
        <v>3</v>
      </c>
      <c r="M38" s="114">
        <v>3</v>
      </c>
      <c r="N38" s="114">
        <v>0</v>
      </c>
      <c r="O38" s="114">
        <v>0</v>
      </c>
      <c r="P38" s="114">
        <v>3</v>
      </c>
      <c r="Q38" s="114">
        <v>5</v>
      </c>
      <c r="R38" s="13" t="s">
        <v>25</v>
      </c>
      <c r="S38" s="13" t="s">
        <v>25</v>
      </c>
      <c r="T38" s="13" t="s">
        <v>25</v>
      </c>
    </row>
    <row r="39" spans="1:20" x14ac:dyDescent="0.3">
      <c r="A39" s="14">
        <v>43886.75</v>
      </c>
      <c r="B39" s="13" t="s">
        <v>22</v>
      </c>
      <c r="C39" s="114">
        <v>9</v>
      </c>
      <c r="D39" s="13" t="s">
        <v>57</v>
      </c>
      <c r="E39" s="114">
        <v>4376923077</v>
      </c>
      <c r="F39" s="114">
        <v>1125588885</v>
      </c>
      <c r="G39" s="114">
        <v>2</v>
      </c>
      <c r="H39" s="114">
        <v>0</v>
      </c>
      <c r="I39" s="114">
        <v>2</v>
      </c>
      <c r="J39" s="114">
        <v>0</v>
      </c>
      <c r="K39" s="114">
        <v>2</v>
      </c>
      <c r="L39" s="114">
        <v>2</v>
      </c>
      <c r="M39" s="114">
        <v>2</v>
      </c>
      <c r="N39" s="114">
        <v>0</v>
      </c>
      <c r="O39" s="114">
        <v>0</v>
      </c>
      <c r="P39" s="114">
        <v>2</v>
      </c>
      <c r="Q39" s="114">
        <v>296</v>
      </c>
      <c r="R39" s="13" t="s">
        <v>25</v>
      </c>
      <c r="S39" s="13" t="s">
        <v>25</v>
      </c>
      <c r="T39" s="13" t="s">
        <v>25</v>
      </c>
    </row>
    <row r="40" spans="1:20" x14ac:dyDescent="0.3">
      <c r="A40" s="14">
        <v>43886.75</v>
      </c>
      <c r="B40" s="13" t="s">
        <v>22</v>
      </c>
      <c r="C40" s="114">
        <v>4</v>
      </c>
      <c r="D40" s="13" t="s">
        <v>58</v>
      </c>
      <c r="E40" s="114">
        <v>4606893511</v>
      </c>
      <c r="F40" s="114">
        <v>1112123097</v>
      </c>
      <c r="G40" s="114">
        <v>0</v>
      </c>
      <c r="H40" s="114">
        <v>0</v>
      </c>
      <c r="I40" s="114">
        <v>0</v>
      </c>
      <c r="J40" s="114">
        <v>0</v>
      </c>
      <c r="K40" s="114">
        <v>0</v>
      </c>
      <c r="L40" s="114">
        <v>0</v>
      </c>
      <c r="M40" s="114">
        <v>0</v>
      </c>
      <c r="N40" s="114">
        <v>0</v>
      </c>
      <c r="O40" s="114">
        <v>0</v>
      </c>
      <c r="P40" s="114">
        <v>0</v>
      </c>
      <c r="Q40" s="114">
        <v>3</v>
      </c>
      <c r="R40" s="13" t="s">
        <v>25</v>
      </c>
      <c r="S40" s="13" t="s">
        <v>25</v>
      </c>
      <c r="T40" s="13" t="s">
        <v>25</v>
      </c>
    </row>
    <row r="41" spans="1:20" x14ac:dyDescent="0.3">
      <c r="A41" s="14">
        <v>43886.75</v>
      </c>
      <c r="B41" s="13" t="s">
        <v>22</v>
      </c>
      <c r="C41" s="114">
        <v>10</v>
      </c>
      <c r="D41" s="13" t="s">
        <v>59</v>
      </c>
      <c r="E41" s="114">
        <v>4310675841</v>
      </c>
      <c r="F41" s="114">
        <v>1238824698</v>
      </c>
      <c r="G41" s="114">
        <v>0</v>
      </c>
      <c r="H41" s="114">
        <v>0</v>
      </c>
      <c r="I41" s="114">
        <v>0</v>
      </c>
      <c r="J41" s="114">
        <v>0</v>
      </c>
      <c r="K41" s="114">
        <v>0</v>
      </c>
      <c r="L41" s="114">
        <v>0</v>
      </c>
      <c r="M41" s="114">
        <v>0</v>
      </c>
      <c r="N41" s="114">
        <v>0</v>
      </c>
      <c r="O41" s="114">
        <v>0</v>
      </c>
      <c r="P41" s="114">
        <v>0</v>
      </c>
      <c r="Q41" s="114">
        <v>8</v>
      </c>
      <c r="R41" s="13" t="s">
        <v>25</v>
      </c>
      <c r="S41" s="13" t="s">
        <v>25</v>
      </c>
      <c r="T41" s="13" t="s">
        <v>25</v>
      </c>
    </row>
    <row r="42" spans="1:20" x14ac:dyDescent="0.3">
      <c r="A42" s="14">
        <v>43886.75</v>
      </c>
      <c r="B42" s="13" t="s">
        <v>22</v>
      </c>
      <c r="C42" s="114">
        <v>2</v>
      </c>
      <c r="D42" s="13" t="s">
        <v>60</v>
      </c>
      <c r="E42" s="114">
        <v>4573750286</v>
      </c>
      <c r="F42" s="114">
        <v>7320149366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0</v>
      </c>
      <c r="M42" s="114">
        <v>0</v>
      </c>
      <c r="N42" s="114">
        <v>0</v>
      </c>
      <c r="O42" s="114">
        <v>0</v>
      </c>
      <c r="P42" s="114">
        <v>0</v>
      </c>
      <c r="Q42" s="114">
        <v>7</v>
      </c>
      <c r="R42" s="13" t="s">
        <v>25</v>
      </c>
      <c r="S42" s="13" t="s">
        <v>25</v>
      </c>
      <c r="T42" s="13" t="s">
        <v>25</v>
      </c>
    </row>
    <row r="43" spans="1:20" x14ac:dyDescent="0.3">
      <c r="A43" s="14">
        <v>43886.75</v>
      </c>
      <c r="B43" s="13" t="s">
        <v>22</v>
      </c>
      <c r="C43" s="114">
        <v>5</v>
      </c>
      <c r="D43" s="13" t="s">
        <v>61</v>
      </c>
      <c r="E43" s="114">
        <v>4543490485</v>
      </c>
      <c r="F43" s="114">
        <v>1233845213</v>
      </c>
      <c r="G43" s="114">
        <v>12</v>
      </c>
      <c r="H43" s="114">
        <v>7</v>
      </c>
      <c r="I43" s="114">
        <v>19</v>
      </c>
      <c r="J43" s="114">
        <v>23</v>
      </c>
      <c r="K43" s="114">
        <v>42</v>
      </c>
      <c r="L43" s="114">
        <v>10</v>
      </c>
      <c r="M43" s="114">
        <v>10</v>
      </c>
      <c r="N43" s="114">
        <v>0</v>
      </c>
      <c r="O43" s="114">
        <v>1</v>
      </c>
      <c r="P43" s="114">
        <v>43</v>
      </c>
      <c r="Q43" s="114">
        <v>3780</v>
      </c>
      <c r="R43" s="13" t="s">
        <v>25</v>
      </c>
      <c r="S43" s="13" t="s">
        <v>25</v>
      </c>
      <c r="T43" s="13" t="s">
        <v>25</v>
      </c>
    </row>
    <row r="44" spans="1:20" x14ac:dyDescent="0.3">
      <c r="A44" s="14">
        <v>43887.75</v>
      </c>
      <c r="B44" s="13" t="s">
        <v>22</v>
      </c>
      <c r="C44" s="114">
        <v>13</v>
      </c>
      <c r="D44" s="13" t="s">
        <v>42</v>
      </c>
      <c r="E44" s="114">
        <v>4235122196</v>
      </c>
      <c r="F44" s="114">
        <v>1339843823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0</v>
      </c>
      <c r="M44" s="114">
        <v>0</v>
      </c>
      <c r="N44" s="114">
        <v>0</v>
      </c>
      <c r="O44" s="114">
        <v>0</v>
      </c>
      <c r="P44" s="114">
        <v>0</v>
      </c>
      <c r="Q44" s="114">
        <v>13</v>
      </c>
      <c r="R44" s="13" t="s">
        <v>25</v>
      </c>
      <c r="S44" s="13" t="s">
        <v>25</v>
      </c>
      <c r="T44" s="13" t="s">
        <v>25</v>
      </c>
    </row>
    <row r="45" spans="1:20" x14ac:dyDescent="0.3">
      <c r="A45" s="14">
        <v>43887.75</v>
      </c>
      <c r="B45" s="13" t="s">
        <v>22</v>
      </c>
      <c r="C45" s="114">
        <v>17</v>
      </c>
      <c r="D45" s="13" t="s">
        <v>43</v>
      </c>
      <c r="E45" s="114">
        <v>4063947052</v>
      </c>
      <c r="F45" s="114">
        <v>1580514834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0</v>
      </c>
      <c r="M45" s="114">
        <v>0</v>
      </c>
      <c r="N45" s="114">
        <v>0</v>
      </c>
      <c r="O45" s="114">
        <v>0</v>
      </c>
      <c r="P45" s="114">
        <v>0</v>
      </c>
      <c r="Q45" s="114">
        <v>0</v>
      </c>
      <c r="R45" s="13" t="s">
        <v>25</v>
      </c>
      <c r="S45" s="13" t="s">
        <v>25</v>
      </c>
      <c r="T45" s="13" t="s">
        <v>25</v>
      </c>
    </row>
    <row r="46" spans="1:20" x14ac:dyDescent="0.3">
      <c r="A46" s="14">
        <v>43887.75</v>
      </c>
      <c r="B46" s="13" t="s">
        <v>22</v>
      </c>
      <c r="C46" s="114">
        <v>4</v>
      </c>
      <c r="D46" s="13" t="s">
        <v>44</v>
      </c>
      <c r="E46" s="114">
        <v>4649933453</v>
      </c>
      <c r="F46" s="114">
        <v>1135662422</v>
      </c>
      <c r="G46" s="114">
        <v>1</v>
      </c>
      <c r="H46" s="114">
        <v>0</v>
      </c>
      <c r="I46" s="114">
        <v>1</v>
      </c>
      <c r="J46" s="114">
        <v>0</v>
      </c>
      <c r="K46" s="114">
        <v>1</v>
      </c>
      <c r="L46" s="114">
        <v>0</v>
      </c>
      <c r="M46" s="114">
        <v>0</v>
      </c>
      <c r="N46" s="114">
        <v>0</v>
      </c>
      <c r="O46" s="114">
        <v>0</v>
      </c>
      <c r="P46" s="114">
        <v>1</v>
      </c>
      <c r="Q46" s="114">
        <v>1</v>
      </c>
      <c r="R46" s="13" t="s">
        <v>25</v>
      </c>
      <c r="S46" s="13" t="s">
        <v>25</v>
      </c>
      <c r="T46" s="13" t="s">
        <v>25</v>
      </c>
    </row>
    <row r="47" spans="1:20" x14ac:dyDescent="0.3">
      <c r="A47" s="14">
        <v>43887.75</v>
      </c>
      <c r="B47" s="13" t="s">
        <v>22</v>
      </c>
      <c r="C47" s="114">
        <v>18</v>
      </c>
      <c r="D47" s="13" t="s">
        <v>45</v>
      </c>
      <c r="E47" s="114">
        <v>3890597598</v>
      </c>
      <c r="F47" s="114">
        <v>1659440194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4">
        <v>0</v>
      </c>
      <c r="P47" s="114">
        <v>0</v>
      </c>
      <c r="Q47" s="114">
        <v>3</v>
      </c>
      <c r="R47" s="13" t="s">
        <v>25</v>
      </c>
      <c r="S47" s="13" t="s">
        <v>25</v>
      </c>
      <c r="T47" s="13" t="s">
        <v>25</v>
      </c>
    </row>
    <row r="48" spans="1:20" x14ac:dyDescent="0.3">
      <c r="A48" s="14">
        <v>43887.75</v>
      </c>
      <c r="B48" s="13" t="s">
        <v>22</v>
      </c>
      <c r="C48" s="114">
        <v>15</v>
      </c>
      <c r="D48" s="13" t="s">
        <v>46</v>
      </c>
      <c r="E48" s="114">
        <v>4083956555</v>
      </c>
      <c r="F48" s="114">
        <v>1425084984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4">
        <v>0</v>
      </c>
      <c r="P48" s="114">
        <v>0</v>
      </c>
      <c r="Q48" s="114">
        <v>10</v>
      </c>
      <c r="R48" s="13" t="s">
        <v>25</v>
      </c>
      <c r="S48" s="13" t="s">
        <v>25</v>
      </c>
      <c r="T48" s="13" t="s">
        <v>25</v>
      </c>
    </row>
    <row r="49" spans="1:20" x14ac:dyDescent="0.3">
      <c r="A49" s="14">
        <v>43887.75</v>
      </c>
      <c r="B49" s="13" t="s">
        <v>22</v>
      </c>
      <c r="C49" s="114">
        <v>8</v>
      </c>
      <c r="D49" s="13" t="s">
        <v>96</v>
      </c>
      <c r="E49" s="114">
        <v>4449436681</v>
      </c>
      <c r="F49" s="114">
        <v>113417208</v>
      </c>
      <c r="G49" s="114">
        <v>20</v>
      </c>
      <c r="H49" s="114">
        <v>3</v>
      </c>
      <c r="I49" s="114">
        <v>23</v>
      </c>
      <c r="J49" s="114">
        <v>23</v>
      </c>
      <c r="K49" s="114">
        <v>46</v>
      </c>
      <c r="L49" s="114">
        <v>20</v>
      </c>
      <c r="M49" s="114">
        <v>21</v>
      </c>
      <c r="N49" s="114">
        <v>0</v>
      </c>
      <c r="O49" s="114">
        <v>1</v>
      </c>
      <c r="P49" s="114">
        <v>47</v>
      </c>
      <c r="Q49" s="114">
        <v>577</v>
      </c>
      <c r="R49" s="13" t="s">
        <v>25</v>
      </c>
      <c r="S49" s="13" t="s">
        <v>25</v>
      </c>
      <c r="T49" s="13" t="s">
        <v>25</v>
      </c>
    </row>
    <row r="50" spans="1:20" x14ac:dyDescent="0.3">
      <c r="A50" s="14">
        <v>43887.75</v>
      </c>
      <c r="B50" s="13" t="s">
        <v>22</v>
      </c>
      <c r="C50" s="114">
        <v>6</v>
      </c>
      <c r="D50" s="13" t="s">
        <v>47</v>
      </c>
      <c r="E50" s="114">
        <v>456494354</v>
      </c>
      <c r="F50" s="114">
        <v>1376813649</v>
      </c>
      <c r="G50" s="114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4">
        <v>0</v>
      </c>
      <c r="P50" s="114">
        <v>0</v>
      </c>
      <c r="Q50" s="114">
        <v>114</v>
      </c>
      <c r="R50" s="13" t="s">
        <v>25</v>
      </c>
      <c r="S50" s="13" t="s">
        <v>25</v>
      </c>
      <c r="T50" s="13" t="s">
        <v>25</v>
      </c>
    </row>
    <row r="51" spans="1:20" x14ac:dyDescent="0.3">
      <c r="A51" s="14">
        <v>43887.75</v>
      </c>
      <c r="B51" s="13" t="s">
        <v>22</v>
      </c>
      <c r="C51" s="114">
        <v>12</v>
      </c>
      <c r="D51" s="13" t="s">
        <v>48</v>
      </c>
      <c r="E51" s="114">
        <v>4189277044</v>
      </c>
      <c r="F51" s="114">
        <v>1248366722</v>
      </c>
      <c r="G51" s="114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-2</v>
      </c>
      <c r="M51" s="114">
        <v>0</v>
      </c>
      <c r="N51" s="114">
        <v>3</v>
      </c>
      <c r="O51" s="114">
        <v>0</v>
      </c>
      <c r="P51" s="114">
        <v>3</v>
      </c>
      <c r="Q51" s="114">
        <v>124</v>
      </c>
      <c r="R51" s="13" t="s">
        <v>25</v>
      </c>
      <c r="S51" s="13" t="s">
        <v>25</v>
      </c>
      <c r="T51" s="13" t="s">
        <v>25</v>
      </c>
    </row>
    <row r="52" spans="1:20" x14ac:dyDescent="0.3">
      <c r="A52" s="14">
        <v>43887.75</v>
      </c>
      <c r="B52" s="13" t="s">
        <v>22</v>
      </c>
      <c r="C52" s="114">
        <v>7</v>
      </c>
      <c r="D52" s="13" t="s">
        <v>49</v>
      </c>
      <c r="E52" s="114">
        <v>4441149315</v>
      </c>
      <c r="F52" s="114">
        <v>89326992</v>
      </c>
      <c r="G52" s="114">
        <v>6</v>
      </c>
      <c r="H52" s="114">
        <v>0</v>
      </c>
      <c r="I52" s="114">
        <v>6</v>
      </c>
      <c r="J52" s="114">
        <v>5</v>
      </c>
      <c r="K52" s="114">
        <v>11</v>
      </c>
      <c r="L52" s="114">
        <v>10</v>
      </c>
      <c r="M52" s="114">
        <v>10</v>
      </c>
      <c r="N52" s="114">
        <v>0</v>
      </c>
      <c r="O52" s="114">
        <v>0</v>
      </c>
      <c r="P52" s="114">
        <v>11</v>
      </c>
      <c r="Q52" s="114">
        <v>66</v>
      </c>
      <c r="R52" s="13" t="s">
        <v>25</v>
      </c>
      <c r="S52" s="13" t="s">
        <v>25</v>
      </c>
      <c r="T52" s="13" t="s">
        <v>25</v>
      </c>
    </row>
    <row r="53" spans="1:20" x14ac:dyDescent="0.3">
      <c r="A53" s="14">
        <v>43887.75</v>
      </c>
      <c r="B53" s="13" t="s">
        <v>22</v>
      </c>
      <c r="C53" s="114">
        <v>3</v>
      </c>
      <c r="D53" s="13" t="s">
        <v>50</v>
      </c>
      <c r="E53" s="114">
        <v>4546679409</v>
      </c>
      <c r="F53" s="114">
        <v>9190347404</v>
      </c>
      <c r="G53" s="114">
        <v>79</v>
      </c>
      <c r="H53" s="114">
        <v>25</v>
      </c>
      <c r="I53" s="114">
        <v>104</v>
      </c>
      <c r="J53" s="114">
        <v>145</v>
      </c>
      <c r="K53" s="114">
        <v>249</v>
      </c>
      <c r="L53" s="114">
        <v>18</v>
      </c>
      <c r="M53" s="114">
        <v>18</v>
      </c>
      <c r="N53" s="114">
        <v>0</v>
      </c>
      <c r="O53" s="114">
        <v>9</v>
      </c>
      <c r="P53" s="114">
        <v>258</v>
      </c>
      <c r="Q53" s="114">
        <v>3208</v>
      </c>
      <c r="R53" s="13" t="s">
        <v>25</v>
      </c>
      <c r="S53" s="13" t="s">
        <v>25</v>
      </c>
      <c r="T53" s="13" t="s">
        <v>25</v>
      </c>
    </row>
    <row r="54" spans="1:20" x14ac:dyDescent="0.3">
      <c r="A54" s="14">
        <v>43887.75</v>
      </c>
      <c r="B54" s="13" t="s">
        <v>22</v>
      </c>
      <c r="C54" s="114">
        <v>11</v>
      </c>
      <c r="D54" s="13" t="s">
        <v>51</v>
      </c>
      <c r="E54" s="114">
        <v>4361675973</v>
      </c>
      <c r="F54" s="114">
        <v>135188753</v>
      </c>
      <c r="G54" s="114">
        <v>1</v>
      </c>
      <c r="H54" s="114">
        <v>0</v>
      </c>
      <c r="I54" s="114">
        <v>1</v>
      </c>
      <c r="J54" s="114">
        <v>0</v>
      </c>
      <c r="K54" s="114">
        <v>1</v>
      </c>
      <c r="L54" s="114">
        <v>1</v>
      </c>
      <c r="M54" s="114">
        <v>1</v>
      </c>
      <c r="N54" s="114">
        <v>0</v>
      </c>
      <c r="O54" s="114">
        <v>0</v>
      </c>
      <c r="P54" s="114">
        <v>1</v>
      </c>
      <c r="Q54" s="114">
        <v>28</v>
      </c>
      <c r="R54" s="13" t="s">
        <v>25</v>
      </c>
      <c r="S54" s="13" t="s">
        <v>25</v>
      </c>
      <c r="T54" s="13" t="s">
        <v>25</v>
      </c>
    </row>
    <row r="55" spans="1:20" x14ac:dyDescent="0.3">
      <c r="A55" s="14">
        <v>43887.75</v>
      </c>
      <c r="B55" s="13" t="s">
        <v>22</v>
      </c>
      <c r="C55" s="114">
        <v>14</v>
      </c>
      <c r="D55" s="13" t="s">
        <v>52</v>
      </c>
      <c r="E55" s="114">
        <v>4155774754</v>
      </c>
      <c r="F55" s="114">
        <v>1465916051</v>
      </c>
      <c r="G55" s="114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4">
        <v>0</v>
      </c>
      <c r="P55" s="114">
        <v>0</v>
      </c>
      <c r="Q55" s="114">
        <v>0</v>
      </c>
      <c r="R55" s="13" t="s">
        <v>25</v>
      </c>
      <c r="S55" s="13" t="s">
        <v>25</v>
      </c>
      <c r="T55" s="13" t="s">
        <v>25</v>
      </c>
    </row>
    <row r="56" spans="1:20" x14ac:dyDescent="0.3">
      <c r="A56" s="14">
        <v>43887.75</v>
      </c>
      <c r="B56" s="13" t="s">
        <v>22</v>
      </c>
      <c r="C56" s="114">
        <v>1</v>
      </c>
      <c r="D56" s="13" t="s">
        <v>53</v>
      </c>
      <c r="E56" s="114">
        <v>450732745</v>
      </c>
      <c r="F56" s="114">
        <v>7680687483</v>
      </c>
      <c r="G56" s="114">
        <v>2</v>
      </c>
      <c r="H56" s="114">
        <v>0</v>
      </c>
      <c r="I56" s="114">
        <v>2</v>
      </c>
      <c r="J56" s="114">
        <v>1</v>
      </c>
      <c r="K56" s="114">
        <v>3</v>
      </c>
      <c r="L56" s="114">
        <v>0</v>
      </c>
      <c r="M56" s="114">
        <v>0</v>
      </c>
      <c r="N56" s="114">
        <v>0</v>
      </c>
      <c r="O56" s="114">
        <v>0</v>
      </c>
      <c r="P56" s="114">
        <v>3</v>
      </c>
      <c r="Q56" s="114">
        <v>156</v>
      </c>
      <c r="R56" s="13" t="s">
        <v>25</v>
      </c>
      <c r="S56" s="13" t="s">
        <v>25</v>
      </c>
      <c r="T56" s="13" t="s">
        <v>25</v>
      </c>
    </row>
    <row r="57" spans="1:20" x14ac:dyDescent="0.3">
      <c r="A57" s="14">
        <v>43887.75</v>
      </c>
      <c r="B57" s="13" t="s">
        <v>22</v>
      </c>
      <c r="C57" s="114">
        <v>16</v>
      </c>
      <c r="D57" s="13" t="s">
        <v>54</v>
      </c>
      <c r="E57" s="114">
        <v>4112559576</v>
      </c>
      <c r="F57" s="114">
        <v>1686736689</v>
      </c>
      <c r="G57" s="114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4">
        <v>0</v>
      </c>
      <c r="P57" s="114">
        <v>0</v>
      </c>
      <c r="Q57" s="114">
        <v>0</v>
      </c>
      <c r="R57" s="13" t="s">
        <v>25</v>
      </c>
      <c r="S57" s="13" t="s">
        <v>25</v>
      </c>
      <c r="T57" s="13" t="s">
        <v>25</v>
      </c>
    </row>
    <row r="58" spans="1:20" x14ac:dyDescent="0.3">
      <c r="A58" s="14">
        <v>43887.75</v>
      </c>
      <c r="B58" s="13" t="s">
        <v>22</v>
      </c>
      <c r="C58" s="114">
        <v>20</v>
      </c>
      <c r="D58" s="13" t="s">
        <v>55</v>
      </c>
      <c r="E58" s="114">
        <v>3921531192</v>
      </c>
      <c r="F58" s="114">
        <v>9110616306</v>
      </c>
      <c r="G58" s="114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4">
        <v>0</v>
      </c>
      <c r="P58" s="114">
        <v>0</v>
      </c>
      <c r="Q58" s="114">
        <v>1</v>
      </c>
      <c r="R58" s="13" t="s">
        <v>25</v>
      </c>
      <c r="S58" s="13" t="s">
        <v>25</v>
      </c>
      <c r="T58" s="13" t="s">
        <v>25</v>
      </c>
    </row>
    <row r="59" spans="1:20" x14ac:dyDescent="0.3">
      <c r="A59" s="14">
        <v>43887.75</v>
      </c>
      <c r="B59" s="13" t="s">
        <v>22</v>
      </c>
      <c r="C59" s="114">
        <v>19</v>
      </c>
      <c r="D59" s="13" t="s">
        <v>56</v>
      </c>
      <c r="E59" s="114">
        <v>3811569725</v>
      </c>
      <c r="F59" s="114">
        <v>133623567</v>
      </c>
      <c r="G59" s="114">
        <v>1</v>
      </c>
      <c r="H59" s="114">
        <v>0</v>
      </c>
      <c r="I59" s="114">
        <v>1</v>
      </c>
      <c r="J59" s="114">
        <v>2</v>
      </c>
      <c r="K59" s="114">
        <v>3</v>
      </c>
      <c r="L59" s="114">
        <v>0</v>
      </c>
      <c r="M59" s="114">
        <v>0</v>
      </c>
      <c r="N59" s="114">
        <v>0</v>
      </c>
      <c r="O59" s="114">
        <v>0</v>
      </c>
      <c r="P59" s="114">
        <v>3</v>
      </c>
      <c r="Q59" s="114">
        <v>5</v>
      </c>
      <c r="R59" s="13" t="s">
        <v>25</v>
      </c>
      <c r="S59" s="13" t="s">
        <v>25</v>
      </c>
      <c r="T59" s="13" t="s">
        <v>25</v>
      </c>
    </row>
    <row r="60" spans="1:20" x14ac:dyDescent="0.3">
      <c r="A60" s="14">
        <v>43887.75</v>
      </c>
      <c r="B60" s="13" t="s">
        <v>22</v>
      </c>
      <c r="C60" s="114">
        <v>9</v>
      </c>
      <c r="D60" s="13" t="s">
        <v>57</v>
      </c>
      <c r="E60" s="114">
        <v>4376923077</v>
      </c>
      <c r="F60" s="114">
        <v>1125588885</v>
      </c>
      <c r="G60" s="114">
        <v>2</v>
      </c>
      <c r="H60" s="114">
        <v>0</v>
      </c>
      <c r="I60" s="114">
        <v>2</v>
      </c>
      <c r="J60" s="114">
        <v>0</v>
      </c>
      <c r="K60" s="114">
        <v>2</v>
      </c>
      <c r="L60" s="114">
        <v>0</v>
      </c>
      <c r="M60" s="114">
        <v>0</v>
      </c>
      <c r="N60" s="114">
        <v>0</v>
      </c>
      <c r="O60" s="114">
        <v>0</v>
      </c>
      <c r="P60" s="114">
        <v>2</v>
      </c>
      <c r="Q60" s="114">
        <v>363</v>
      </c>
      <c r="R60" s="13" t="s">
        <v>25</v>
      </c>
      <c r="S60" s="13" t="s">
        <v>25</v>
      </c>
      <c r="T60" s="13" t="s">
        <v>25</v>
      </c>
    </row>
    <row r="61" spans="1:20" x14ac:dyDescent="0.3">
      <c r="A61" s="14">
        <v>43887.75</v>
      </c>
      <c r="B61" s="13" t="s">
        <v>22</v>
      </c>
      <c r="C61" s="114">
        <v>4</v>
      </c>
      <c r="D61" s="13" t="s">
        <v>58</v>
      </c>
      <c r="E61" s="114">
        <v>4606893511</v>
      </c>
      <c r="F61" s="114">
        <v>1112123097</v>
      </c>
      <c r="G61" s="114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4">
        <v>0</v>
      </c>
      <c r="P61" s="114">
        <v>0</v>
      </c>
      <c r="Q61" s="114">
        <v>3</v>
      </c>
      <c r="R61" s="13" t="s">
        <v>25</v>
      </c>
      <c r="S61" s="13" t="s">
        <v>25</v>
      </c>
      <c r="T61" s="13" t="s">
        <v>25</v>
      </c>
    </row>
    <row r="62" spans="1:20" x14ac:dyDescent="0.3">
      <c r="A62" s="14">
        <v>43887.75</v>
      </c>
      <c r="B62" s="13" t="s">
        <v>22</v>
      </c>
      <c r="C62" s="114">
        <v>10</v>
      </c>
      <c r="D62" s="13" t="s">
        <v>59</v>
      </c>
      <c r="E62" s="114">
        <v>4310675841</v>
      </c>
      <c r="F62" s="114">
        <v>1238824698</v>
      </c>
      <c r="G62" s="114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4">
        <v>0</v>
      </c>
      <c r="P62" s="114">
        <v>0</v>
      </c>
      <c r="Q62" s="114">
        <v>8</v>
      </c>
      <c r="R62" s="13" t="s">
        <v>25</v>
      </c>
      <c r="S62" s="13" t="s">
        <v>25</v>
      </c>
      <c r="T62" s="13" t="s">
        <v>25</v>
      </c>
    </row>
    <row r="63" spans="1:20" x14ac:dyDescent="0.3">
      <c r="A63" s="14">
        <v>43887.75</v>
      </c>
      <c r="B63" s="13" t="s">
        <v>22</v>
      </c>
      <c r="C63" s="114">
        <v>2</v>
      </c>
      <c r="D63" s="13" t="s">
        <v>60</v>
      </c>
      <c r="E63" s="114">
        <v>4573750286</v>
      </c>
      <c r="F63" s="114">
        <v>7320149366</v>
      </c>
      <c r="G63" s="114">
        <v>0</v>
      </c>
      <c r="H63" s="114">
        <v>0</v>
      </c>
      <c r="I63" s="114">
        <v>0</v>
      </c>
      <c r="J63" s="114">
        <v>0</v>
      </c>
      <c r="K63" s="114">
        <v>0</v>
      </c>
      <c r="L63" s="114">
        <v>0</v>
      </c>
      <c r="M63" s="114">
        <v>0</v>
      </c>
      <c r="N63" s="114">
        <v>0</v>
      </c>
      <c r="O63" s="114">
        <v>0</v>
      </c>
      <c r="P63" s="114">
        <v>0</v>
      </c>
      <c r="Q63" s="114">
        <v>7</v>
      </c>
      <c r="R63" s="13" t="s">
        <v>25</v>
      </c>
      <c r="S63" s="13" t="s">
        <v>25</v>
      </c>
      <c r="T63" s="13" t="s">
        <v>25</v>
      </c>
    </row>
    <row r="64" spans="1:20" x14ac:dyDescent="0.3">
      <c r="A64" s="14">
        <v>43887.75</v>
      </c>
      <c r="B64" s="13" t="s">
        <v>22</v>
      </c>
      <c r="C64" s="114">
        <v>5</v>
      </c>
      <c r="D64" s="13" t="s">
        <v>61</v>
      </c>
      <c r="E64" s="114">
        <v>4543490485</v>
      </c>
      <c r="F64" s="114">
        <v>1233845213</v>
      </c>
      <c r="G64" s="114">
        <v>16</v>
      </c>
      <c r="H64" s="114">
        <v>8</v>
      </c>
      <c r="I64" s="114">
        <v>24</v>
      </c>
      <c r="J64" s="114">
        <v>45</v>
      </c>
      <c r="K64" s="114">
        <v>69</v>
      </c>
      <c r="L64" s="114">
        <v>27</v>
      </c>
      <c r="M64" s="114">
        <v>28</v>
      </c>
      <c r="N64" s="114">
        <v>0</v>
      </c>
      <c r="O64" s="114">
        <v>2</v>
      </c>
      <c r="P64" s="114">
        <v>71</v>
      </c>
      <c r="Q64" s="114">
        <v>4900</v>
      </c>
      <c r="R64" s="13" t="s">
        <v>25</v>
      </c>
      <c r="S64" s="13" t="s">
        <v>25</v>
      </c>
      <c r="T64" s="13" t="s">
        <v>25</v>
      </c>
    </row>
    <row r="65" spans="1:20" x14ac:dyDescent="0.3">
      <c r="A65" s="14">
        <v>43888.75</v>
      </c>
      <c r="B65" s="13" t="s">
        <v>22</v>
      </c>
      <c r="C65" s="114">
        <v>13</v>
      </c>
      <c r="D65" s="13" t="s">
        <v>42</v>
      </c>
      <c r="E65" s="114">
        <v>4235122196</v>
      </c>
      <c r="F65" s="114">
        <v>1339843823</v>
      </c>
      <c r="G65" s="114">
        <v>1</v>
      </c>
      <c r="H65" s="114">
        <v>0</v>
      </c>
      <c r="I65" s="114">
        <v>1</v>
      </c>
      <c r="J65" s="114">
        <v>0</v>
      </c>
      <c r="K65" s="114">
        <v>1</v>
      </c>
      <c r="L65" s="114">
        <v>1</v>
      </c>
      <c r="M65" s="114">
        <v>1</v>
      </c>
      <c r="N65" s="114">
        <v>0</v>
      </c>
      <c r="O65" s="114">
        <v>0</v>
      </c>
      <c r="P65" s="114">
        <v>1</v>
      </c>
      <c r="Q65" s="114">
        <v>33</v>
      </c>
      <c r="R65" s="13" t="s">
        <v>25</v>
      </c>
      <c r="S65" s="13" t="s">
        <v>25</v>
      </c>
      <c r="T65" s="13" t="s">
        <v>25</v>
      </c>
    </row>
    <row r="66" spans="1:20" x14ac:dyDescent="0.3">
      <c r="A66" s="14">
        <v>43888.75</v>
      </c>
      <c r="B66" s="13" t="s">
        <v>22</v>
      </c>
      <c r="C66" s="114">
        <v>17</v>
      </c>
      <c r="D66" s="13" t="s">
        <v>43</v>
      </c>
      <c r="E66" s="114">
        <v>4063947052</v>
      </c>
      <c r="F66" s="114">
        <v>1580514834</v>
      </c>
      <c r="G66" s="114">
        <v>0</v>
      </c>
      <c r="H66" s="114">
        <v>0</v>
      </c>
      <c r="I66" s="114">
        <v>0</v>
      </c>
      <c r="J66" s="114">
        <v>0</v>
      </c>
      <c r="K66" s="114">
        <v>0</v>
      </c>
      <c r="L66" s="114">
        <v>0</v>
      </c>
      <c r="M66" s="114">
        <v>0</v>
      </c>
      <c r="N66" s="114">
        <v>0</v>
      </c>
      <c r="O66" s="114">
        <v>0</v>
      </c>
      <c r="P66" s="114">
        <v>0</v>
      </c>
      <c r="Q66" s="114">
        <v>0</v>
      </c>
      <c r="R66" s="13" t="s">
        <v>25</v>
      </c>
      <c r="S66" s="13" t="s">
        <v>25</v>
      </c>
      <c r="T66" s="13" t="s">
        <v>25</v>
      </c>
    </row>
    <row r="67" spans="1:20" x14ac:dyDescent="0.3">
      <c r="A67" s="14">
        <v>43888.75</v>
      </c>
      <c r="B67" s="13" t="s">
        <v>22</v>
      </c>
      <c r="C67" s="114">
        <v>4</v>
      </c>
      <c r="D67" s="13" t="s">
        <v>44</v>
      </c>
      <c r="E67" s="114">
        <v>4649933453</v>
      </c>
      <c r="F67" s="114">
        <v>1135662422</v>
      </c>
      <c r="G67" s="114">
        <v>1</v>
      </c>
      <c r="H67" s="114">
        <v>0</v>
      </c>
      <c r="I67" s="114">
        <v>1</v>
      </c>
      <c r="J67" s="114">
        <v>0</v>
      </c>
      <c r="K67" s="114">
        <v>1</v>
      </c>
      <c r="L67" s="114">
        <v>0</v>
      </c>
      <c r="M67" s="114">
        <v>0</v>
      </c>
      <c r="N67" s="114">
        <v>0</v>
      </c>
      <c r="O67" s="114">
        <v>0</v>
      </c>
      <c r="P67" s="114">
        <v>1</v>
      </c>
      <c r="Q67" s="114">
        <v>2</v>
      </c>
      <c r="R67" s="13" t="s">
        <v>25</v>
      </c>
      <c r="S67" s="13" t="s">
        <v>25</v>
      </c>
      <c r="T67" s="13" t="s">
        <v>25</v>
      </c>
    </row>
    <row r="68" spans="1:20" x14ac:dyDescent="0.3">
      <c r="A68" s="14">
        <v>43888.75</v>
      </c>
      <c r="B68" s="13" t="s">
        <v>22</v>
      </c>
      <c r="C68" s="114">
        <v>18</v>
      </c>
      <c r="D68" s="13" t="s">
        <v>45</v>
      </c>
      <c r="E68" s="114">
        <v>3890597598</v>
      </c>
      <c r="F68" s="114">
        <v>1659440194</v>
      </c>
      <c r="G68" s="114">
        <v>0</v>
      </c>
      <c r="H68" s="114">
        <v>0</v>
      </c>
      <c r="I68" s="114">
        <v>0</v>
      </c>
      <c r="J68" s="114">
        <v>0</v>
      </c>
      <c r="K68" s="114">
        <v>0</v>
      </c>
      <c r="L68" s="114">
        <v>0</v>
      </c>
      <c r="M68" s="114">
        <v>0</v>
      </c>
      <c r="N68" s="114">
        <v>0</v>
      </c>
      <c r="O68" s="114">
        <v>0</v>
      </c>
      <c r="P68" s="114">
        <v>0</v>
      </c>
      <c r="Q68" s="114">
        <v>14</v>
      </c>
      <c r="R68" s="13" t="s">
        <v>25</v>
      </c>
      <c r="S68" s="13" t="s">
        <v>25</v>
      </c>
      <c r="T68" s="13" t="s">
        <v>25</v>
      </c>
    </row>
    <row r="69" spans="1:20" x14ac:dyDescent="0.3">
      <c r="A69" s="14">
        <v>43888.75</v>
      </c>
      <c r="B69" s="13" t="s">
        <v>22</v>
      </c>
      <c r="C69" s="114">
        <v>15</v>
      </c>
      <c r="D69" s="13" t="s">
        <v>46</v>
      </c>
      <c r="E69" s="114">
        <v>4083956555</v>
      </c>
      <c r="F69" s="114">
        <v>1425084984</v>
      </c>
      <c r="G69" s="114">
        <v>2</v>
      </c>
      <c r="H69" s="114">
        <v>0</v>
      </c>
      <c r="I69" s="114">
        <v>2</v>
      </c>
      <c r="J69" s="114">
        <v>1</v>
      </c>
      <c r="K69" s="114">
        <v>3</v>
      </c>
      <c r="L69" s="114">
        <v>3</v>
      </c>
      <c r="M69" s="114">
        <v>3</v>
      </c>
      <c r="N69" s="114">
        <v>0</v>
      </c>
      <c r="O69" s="114">
        <v>0</v>
      </c>
      <c r="P69" s="114">
        <v>3</v>
      </c>
      <c r="Q69" s="114">
        <v>10</v>
      </c>
      <c r="R69" s="13" t="s">
        <v>25</v>
      </c>
      <c r="S69" s="13" t="s">
        <v>25</v>
      </c>
      <c r="T69" s="13" t="s">
        <v>25</v>
      </c>
    </row>
    <row r="70" spans="1:20" x14ac:dyDescent="0.3">
      <c r="A70" s="14">
        <v>43888.75</v>
      </c>
      <c r="B70" s="13" t="s">
        <v>22</v>
      </c>
      <c r="C70" s="114">
        <v>8</v>
      </c>
      <c r="D70" s="13" t="s">
        <v>96</v>
      </c>
      <c r="E70" s="114">
        <v>4449436681</v>
      </c>
      <c r="F70" s="114">
        <v>113417208</v>
      </c>
      <c r="G70" s="114">
        <v>36</v>
      </c>
      <c r="H70" s="114">
        <v>6</v>
      </c>
      <c r="I70" s="114">
        <v>42</v>
      </c>
      <c r="J70" s="114">
        <v>54</v>
      </c>
      <c r="K70" s="114">
        <v>96</v>
      </c>
      <c r="L70" s="114">
        <v>50</v>
      </c>
      <c r="M70" s="114">
        <v>50</v>
      </c>
      <c r="N70" s="114">
        <v>0</v>
      </c>
      <c r="O70" s="114">
        <v>1</v>
      </c>
      <c r="P70" s="114">
        <v>97</v>
      </c>
      <c r="Q70" s="114">
        <v>1033</v>
      </c>
      <c r="R70" s="13" t="s">
        <v>25</v>
      </c>
      <c r="S70" s="13" t="s">
        <v>25</v>
      </c>
      <c r="T70" s="13" t="s">
        <v>25</v>
      </c>
    </row>
    <row r="71" spans="1:20" x14ac:dyDescent="0.3">
      <c r="A71" s="14">
        <v>43888.75</v>
      </c>
      <c r="B71" s="13" t="s">
        <v>22</v>
      </c>
      <c r="C71" s="114">
        <v>6</v>
      </c>
      <c r="D71" s="13" t="s">
        <v>47</v>
      </c>
      <c r="E71" s="114">
        <v>456494354</v>
      </c>
      <c r="F71" s="114">
        <v>1376813649</v>
      </c>
      <c r="G71" s="114">
        <v>0</v>
      </c>
      <c r="H71" s="114">
        <v>0</v>
      </c>
      <c r="I71" s="114">
        <v>0</v>
      </c>
      <c r="J71" s="114">
        <v>0</v>
      </c>
      <c r="K71" s="114">
        <v>0</v>
      </c>
      <c r="L71" s="114">
        <v>0</v>
      </c>
      <c r="M71" s="114">
        <v>0</v>
      </c>
      <c r="N71" s="114">
        <v>0</v>
      </c>
      <c r="O71" s="114">
        <v>0</v>
      </c>
      <c r="P71" s="114">
        <v>0</v>
      </c>
      <c r="Q71" s="114">
        <v>141</v>
      </c>
      <c r="R71" s="13" t="s">
        <v>25</v>
      </c>
      <c r="S71" s="13" t="s">
        <v>25</v>
      </c>
      <c r="T71" s="13" t="s">
        <v>25</v>
      </c>
    </row>
    <row r="72" spans="1:20" x14ac:dyDescent="0.3">
      <c r="A72" s="14">
        <v>43888.75</v>
      </c>
      <c r="B72" s="13" t="s">
        <v>22</v>
      </c>
      <c r="C72" s="114">
        <v>12</v>
      </c>
      <c r="D72" s="13" t="s">
        <v>48</v>
      </c>
      <c r="E72" s="114">
        <v>4189277044</v>
      </c>
      <c r="F72" s="114">
        <v>1248366722</v>
      </c>
      <c r="G72" s="114">
        <v>0</v>
      </c>
      <c r="H72" s="114">
        <v>0</v>
      </c>
      <c r="I72" s="114">
        <v>0</v>
      </c>
      <c r="J72" s="114">
        <v>0</v>
      </c>
      <c r="K72" s="114">
        <v>0</v>
      </c>
      <c r="L72" s="114">
        <v>0</v>
      </c>
      <c r="M72" s="114">
        <v>0</v>
      </c>
      <c r="N72" s="114">
        <v>3</v>
      </c>
      <c r="O72" s="114">
        <v>0</v>
      </c>
      <c r="P72" s="114">
        <v>3</v>
      </c>
      <c r="Q72" s="114">
        <v>552</v>
      </c>
      <c r="R72" s="13" t="s">
        <v>25</v>
      </c>
      <c r="S72" s="13" t="s">
        <v>25</v>
      </c>
      <c r="T72" s="13" t="s">
        <v>25</v>
      </c>
    </row>
    <row r="73" spans="1:20" x14ac:dyDescent="0.3">
      <c r="A73" s="14">
        <v>43888.75</v>
      </c>
      <c r="B73" s="13" t="s">
        <v>22</v>
      </c>
      <c r="C73" s="114">
        <v>7</v>
      </c>
      <c r="D73" s="13" t="s">
        <v>49</v>
      </c>
      <c r="E73" s="114">
        <v>4441149315</v>
      </c>
      <c r="F73" s="114">
        <v>89326992</v>
      </c>
      <c r="G73" s="114">
        <v>9</v>
      </c>
      <c r="H73" s="114">
        <v>0</v>
      </c>
      <c r="I73" s="114">
        <v>9</v>
      </c>
      <c r="J73" s="114">
        <v>10</v>
      </c>
      <c r="K73" s="114">
        <v>19</v>
      </c>
      <c r="L73" s="114">
        <v>8</v>
      </c>
      <c r="M73" s="114">
        <v>8</v>
      </c>
      <c r="N73" s="114">
        <v>0</v>
      </c>
      <c r="O73" s="114">
        <v>0</v>
      </c>
      <c r="P73" s="114">
        <v>19</v>
      </c>
      <c r="Q73" s="114">
        <v>78</v>
      </c>
      <c r="R73" s="13" t="s">
        <v>25</v>
      </c>
      <c r="S73" s="13" t="s">
        <v>25</v>
      </c>
      <c r="T73" s="13" t="s">
        <v>25</v>
      </c>
    </row>
    <row r="74" spans="1:20" x14ac:dyDescent="0.3">
      <c r="A74" s="14">
        <v>43888.75</v>
      </c>
      <c r="B74" s="13" t="s">
        <v>22</v>
      </c>
      <c r="C74" s="114">
        <v>3</v>
      </c>
      <c r="D74" s="13" t="s">
        <v>50</v>
      </c>
      <c r="E74" s="114">
        <v>4546679409</v>
      </c>
      <c r="F74" s="114">
        <v>9190347404</v>
      </c>
      <c r="G74" s="114">
        <v>172</v>
      </c>
      <c r="H74" s="114">
        <v>41</v>
      </c>
      <c r="I74" s="114">
        <v>213</v>
      </c>
      <c r="J74" s="114">
        <v>136</v>
      </c>
      <c r="K74" s="114">
        <v>349</v>
      </c>
      <c r="L74" s="114">
        <v>100</v>
      </c>
      <c r="M74" s="114">
        <v>145</v>
      </c>
      <c r="N74" s="114">
        <v>40</v>
      </c>
      <c r="O74" s="114">
        <v>14</v>
      </c>
      <c r="P74" s="114">
        <v>403</v>
      </c>
      <c r="Q74" s="114">
        <v>3320</v>
      </c>
      <c r="R74" s="13" t="s">
        <v>25</v>
      </c>
      <c r="S74" s="13" t="s">
        <v>25</v>
      </c>
      <c r="T74" s="13" t="s">
        <v>25</v>
      </c>
    </row>
    <row r="75" spans="1:20" x14ac:dyDescent="0.3">
      <c r="A75" s="14">
        <v>43888.75</v>
      </c>
      <c r="B75" s="13" t="s">
        <v>22</v>
      </c>
      <c r="C75" s="114">
        <v>11</v>
      </c>
      <c r="D75" s="13" t="s">
        <v>51</v>
      </c>
      <c r="E75" s="114">
        <v>4361675973</v>
      </c>
      <c r="F75" s="114">
        <v>135188753</v>
      </c>
      <c r="G75" s="114">
        <v>2</v>
      </c>
      <c r="H75" s="114">
        <v>1</v>
      </c>
      <c r="I75" s="114">
        <v>3</v>
      </c>
      <c r="J75" s="114">
        <v>0</v>
      </c>
      <c r="K75" s="114">
        <v>3</v>
      </c>
      <c r="L75" s="114">
        <v>2</v>
      </c>
      <c r="M75" s="114">
        <v>2</v>
      </c>
      <c r="N75" s="114">
        <v>0</v>
      </c>
      <c r="O75" s="114">
        <v>0</v>
      </c>
      <c r="P75" s="114">
        <v>3</v>
      </c>
      <c r="Q75" s="114">
        <v>46</v>
      </c>
      <c r="R75" s="13" t="s">
        <v>25</v>
      </c>
      <c r="S75" s="13" t="s">
        <v>25</v>
      </c>
      <c r="T75" s="13" t="s">
        <v>25</v>
      </c>
    </row>
    <row r="76" spans="1:20" x14ac:dyDescent="0.3">
      <c r="A76" s="14">
        <v>43888.75</v>
      </c>
      <c r="B76" s="13" t="s">
        <v>22</v>
      </c>
      <c r="C76" s="114">
        <v>14</v>
      </c>
      <c r="D76" s="13" t="s">
        <v>52</v>
      </c>
      <c r="E76" s="114">
        <v>4155774754</v>
      </c>
      <c r="F76" s="114">
        <v>1465916051</v>
      </c>
      <c r="G76" s="114">
        <v>0</v>
      </c>
      <c r="H76" s="114">
        <v>0</v>
      </c>
      <c r="I76" s="114">
        <v>0</v>
      </c>
      <c r="J76" s="114">
        <v>0</v>
      </c>
      <c r="K76" s="114">
        <v>0</v>
      </c>
      <c r="L76" s="114">
        <v>0</v>
      </c>
      <c r="M76" s="114">
        <v>0</v>
      </c>
      <c r="N76" s="114">
        <v>0</v>
      </c>
      <c r="O76" s="114">
        <v>0</v>
      </c>
      <c r="P76" s="114">
        <v>0</v>
      </c>
      <c r="Q76" s="114">
        <v>0</v>
      </c>
      <c r="R76" s="13" t="s">
        <v>25</v>
      </c>
      <c r="S76" s="13" t="s">
        <v>25</v>
      </c>
      <c r="T76" s="13" t="s">
        <v>25</v>
      </c>
    </row>
    <row r="77" spans="1:20" x14ac:dyDescent="0.3">
      <c r="A77" s="14">
        <v>43888.75</v>
      </c>
      <c r="B77" s="13" t="s">
        <v>22</v>
      </c>
      <c r="C77" s="114">
        <v>1</v>
      </c>
      <c r="D77" s="13" t="s">
        <v>53</v>
      </c>
      <c r="E77" s="114">
        <v>450732745</v>
      </c>
      <c r="F77" s="114">
        <v>7680687483</v>
      </c>
      <c r="G77" s="114">
        <v>2</v>
      </c>
      <c r="H77" s="114">
        <v>0</v>
      </c>
      <c r="I77" s="114">
        <v>2</v>
      </c>
      <c r="J77" s="114">
        <v>0</v>
      </c>
      <c r="K77" s="114">
        <v>2</v>
      </c>
      <c r="L77" s="114">
        <v>-1</v>
      </c>
      <c r="M77" s="114">
        <v>-1</v>
      </c>
      <c r="N77" s="114">
        <v>0</v>
      </c>
      <c r="O77" s="114">
        <v>0</v>
      </c>
      <c r="P77" s="114">
        <v>2</v>
      </c>
      <c r="Q77" s="114">
        <v>156</v>
      </c>
      <c r="R77" s="13" t="s">
        <v>25</v>
      </c>
      <c r="S77" s="13" t="s">
        <v>25</v>
      </c>
      <c r="T77" s="13" t="s">
        <v>25</v>
      </c>
    </row>
    <row r="78" spans="1:20" x14ac:dyDescent="0.3">
      <c r="A78" s="14">
        <v>43888.75</v>
      </c>
      <c r="B78" s="13" t="s">
        <v>22</v>
      </c>
      <c r="C78" s="114">
        <v>16</v>
      </c>
      <c r="D78" s="13" t="s">
        <v>54</v>
      </c>
      <c r="E78" s="114">
        <v>4112559576</v>
      </c>
      <c r="F78" s="114">
        <v>1686736689</v>
      </c>
      <c r="G78" s="114">
        <v>1</v>
      </c>
      <c r="H78" s="114">
        <v>0</v>
      </c>
      <c r="I78" s="114">
        <v>1</v>
      </c>
      <c r="J78" s="114">
        <v>0</v>
      </c>
      <c r="K78" s="114">
        <v>1</v>
      </c>
      <c r="L78" s="114">
        <v>1</v>
      </c>
      <c r="M78" s="114">
        <v>1</v>
      </c>
      <c r="N78" s="114">
        <v>0</v>
      </c>
      <c r="O78" s="114">
        <v>0</v>
      </c>
      <c r="P78" s="114">
        <v>1</v>
      </c>
      <c r="Q78" s="114">
        <v>0</v>
      </c>
      <c r="R78" s="13" t="s">
        <v>25</v>
      </c>
      <c r="S78" s="13" t="s">
        <v>25</v>
      </c>
      <c r="T78" s="13" t="s">
        <v>25</v>
      </c>
    </row>
    <row r="79" spans="1:20" x14ac:dyDescent="0.3">
      <c r="A79" s="14">
        <v>43888.75</v>
      </c>
      <c r="B79" s="13" t="s">
        <v>22</v>
      </c>
      <c r="C79" s="114">
        <v>20</v>
      </c>
      <c r="D79" s="13" t="s">
        <v>55</v>
      </c>
      <c r="E79" s="114">
        <v>3921531192</v>
      </c>
      <c r="F79" s="114">
        <v>9110616306</v>
      </c>
      <c r="G79" s="114">
        <v>0</v>
      </c>
      <c r="H79" s="114">
        <v>0</v>
      </c>
      <c r="I79" s="114">
        <v>0</v>
      </c>
      <c r="J79" s="114">
        <v>0</v>
      </c>
      <c r="K79" s="114">
        <v>0</v>
      </c>
      <c r="L79" s="114">
        <v>0</v>
      </c>
      <c r="M79" s="114">
        <v>0</v>
      </c>
      <c r="N79" s="114">
        <v>0</v>
      </c>
      <c r="O79" s="114">
        <v>0</v>
      </c>
      <c r="P79" s="114">
        <v>0</v>
      </c>
      <c r="Q79" s="114">
        <v>1</v>
      </c>
      <c r="R79" s="13" t="s">
        <v>25</v>
      </c>
      <c r="S79" s="13" t="s">
        <v>25</v>
      </c>
      <c r="T79" s="13" t="s">
        <v>25</v>
      </c>
    </row>
    <row r="80" spans="1:20" x14ac:dyDescent="0.3">
      <c r="A80" s="14">
        <v>43888.75</v>
      </c>
      <c r="B80" s="13" t="s">
        <v>22</v>
      </c>
      <c r="C80" s="114">
        <v>19</v>
      </c>
      <c r="D80" s="13" t="s">
        <v>56</v>
      </c>
      <c r="E80" s="114">
        <v>3811569725</v>
      </c>
      <c r="F80" s="114">
        <v>133623567</v>
      </c>
      <c r="G80" s="114">
        <v>1</v>
      </c>
      <c r="H80" s="114">
        <v>0</v>
      </c>
      <c r="I80" s="114">
        <v>1</v>
      </c>
      <c r="J80" s="114">
        <v>1</v>
      </c>
      <c r="K80" s="114">
        <v>2</v>
      </c>
      <c r="L80" s="114">
        <v>-1</v>
      </c>
      <c r="M80" s="114">
        <v>1</v>
      </c>
      <c r="N80" s="114">
        <v>2</v>
      </c>
      <c r="O80" s="114">
        <v>0</v>
      </c>
      <c r="P80" s="114">
        <v>4</v>
      </c>
      <c r="Q80" s="114">
        <v>5</v>
      </c>
      <c r="R80" s="13" t="s">
        <v>25</v>
      </c>
      <c r="S80" s="13" t="s">
        <v>25</v>
      </c>
      <c r="T80" s="13" t="s">
        <v>25</v>
      </c>
    </row>
    <row r="81" spans="1:20" x14ac:dyDescent="0.3">
      <c r="A81" s="14">
        <v>43888.75</v>
      </c>
      <c r="B81" s="13" t="s">
        <v>22</v>
      </c>
      <c r="C81" s="114">
        <v>9</v>
      </c>
      <c r="D81" s="13" t="s">
        <v>57</v>
      </c>
      <c r="E81" s="114">
        <v>4376923077</v>
      </c>
      <c r="F81" s="114">
        <v>1125588885</v>
      </c>
      <c r="G81" s="114">
        <v>2</v>
      </c>
      <c r="H81" s="114">
        <v>0</v>
      </c>
      <c r="I81" s="114">
        <v>2</v>
      </c>
      <c r="J81" s="114">
        <v>0</v>
      </c>
      <c r="K81" s="114">
        <v>2</v>
      </c>
      <c r="L81" s="114">
        <v>0</v>
      </c>
      <c r="M81" s="114">
        <v>0</v>
      </c>
      <c r="N81" s="114">
        <v>0</v>
      </c>
      <c r="O81" s="114">
        <v>0</v>
      </c>
      <c r="P81" s="114">
        <v>2</v>
      </c>
      <c r="Q81" s="114">
        <v>410</v>
      </c>
      <c r="R81" s="13" t="s">
        <v>25</v>
      </c>
      <c r="S81" s="13" t="s">
        <v>25</v>
      </c>
      <c r="T81" s="13" t="s">
        <v>25</v>
      </c>
    </row>
    <row r="82" spans="1:20" x14ac:dyDescent="0.3">
      <c r="A82" s="14">
        <v>43888.75</v>
      </c>
      <c r="B82" s="13" t="s">
        <v>22</v>
      </c>
      <c r="C82" s="114">
        <v>4</v>
      </c>
      <c r="D82" s="13" t="s">
        <v>58</v>
      </c>
      <c r="E82" s="114">
        <v>4606893511</v>
      </c>
      <c r="F82" s="114">
        <v>1112123097</v>
      </c>
      <c r="G82" s="114">
        <v>0</v>
      </c>
      <c r="H82" s="114">
        <v>0</v>
      </c>
      <c r="I82" s="114">
        <v>0</v>
      </c>
      <c r="J82" s="114">
        <v>0</v>
      </c>
      <c r="K82" s="114">
        <v>0</v>
      </c>
      <c r="L82" s="114">
        <v>0</v>
      </c>
      <c r="M82" s="114">
        <v>0</v>
      </c>
      <c r="N82" s="114">
        <v>0</v>
      </c>
      <c r="O82" s="114">
        <v>0</v>
      </c>
      <c r="P82" s="114">
        <v>0</v>
      </c>
      <c r="Q82" s="114">
        <v>32</v>
      </c>
      <c r="R82" s="13" t="s">
        <v>25</v>
      </c>
      <c r="S82" s="13" t="s">
        <v>25</v>
      </c>
      <c r="T82" s="13" t="s">
        <v>25</v>
      </c>
    </row>
    <row r="83" spans="1:20" x14ac:dyDescent="0.3">
      <c r="A83" s="14">
        <v>43888.75</v>
      </c>
      <c r="B83" s="13" t="s">
        <v>22</v>
      </c>
      <c r="C83" s="114">
        <v>10</v>
      </c>
      <c r="D83" s="13" t="s">
        <v>59</v>
      </c>
      <c r="E83" s="114">
        <v>4310675841</v>
      </c>
      <c r="F83" s="114">
        <v>1238824698</v>
      </c>
      <c r="G83" s="114">
        <v>0</v>
      </c>
      <c r="H83" s="114">
        <v>0</v>
      </c>
      <c r="I83" s="114">
        <v>0</v>
      </c>
      <c r="J83" s="114">
        <v>0</v>
      </c>
      <c r="K83" s="114">
        <v>0</v>
      </c>
      <c r="L83" s="114">
        <v>0</v>
      </c>
      <c r="M83" s="114">
        <v>0</v>
      </c>
      <c r="N83" s="114">
        <v>0</v>
      </c>
      <c r="O83" s="114">
        <v>0</v>
      </c>
      <c r="P83" s="114">
        <v>0</v>
      </c>
      <c r="Q83" s="114">
        <v>8</v>
      </c>
      <c r="R83" s="13" t="s">
        <v>25</v>
      </c>
      <c r="S83" s="13" t="s">
        <v>25</v>
      </c>
      <c r="T83" s="13" t="s">
        <v>25</v>
      </c>
    </row>
    <row r="84" spans="1:20" x14ac:dyDescent="0.3">
      <c r="A84" s="14">
        <v>43888.75</v>
      </c>
      <c r="B84" s="13" t="s">
        <v>22</v>
      </c>
      <c r="C84" s="114">
        <v>2</v>
      </c>
      <c r="D84" s="13" t="s">
        <v>60</v>
      </c>
      <c r="E84" s="114">
        <v>4573750286</v>
      </c>
      <c r="F84" s="114">
        <v>7320149366</v>
      </c>
      <c r="G84" s="114">
        <v>0</v>
      </c>
      <c r="H84" s="114">
        <v>0</v>
      </c>
      <c r="I84" s="114">
        <v>0</v>
      </c>
      <c r="J84" s="114">
        <v>0</v>
      </c>
      <c r="K84" s="114">
        <v>0</v>
      </c>
      <c r="L84" s="114">
        <v>0</v>
      </c>
      <c r="M84" s="114">
        <v>0</v>
      </c>
      <c r="N84" s="114">
        <v>0</v>
      </c>
      <c r="O84" s="114">
        <v>0</v>
      </c>
      <c r="P84" s="114">
        <v>0</v>
      </c>
      <c r="Q84" s="114">
        <v>9</v>
      </c>
      <c r="R84" s="13" t="s">
        <v>25</v>
      </c>
      <c r="S84" s="13" t="s">
        <v>25</v>
      </c>
      <c r="T84" s="13" t="s">
        <v>25</v>
      </c>
    </row>
    <row r="85" spans="1:20" x14ac:dyDescent="0.3">
      <c r="A85" s="14">
        <v>43888.75</v>
      </c>
      <c r="B85" s="13" t="s">
        <v>22</v>
      </c>
      <c r="C85" s="114">
        <v>5</v>
      </c>
      <c r="D85" s="13" t="s">
        <v>61</v>
      </c>
      <c r="E85" s="114">
        <v>4543490485</v>
      </c>
      <c r="F85" s="114">
        <v>1233845213</v>
      </c>
      <c r="G85" s="114">
        <v>19</v>
      </c>
      <c r="H85" s="114">
        <v>8</v>
      </c>
      <c r="I85" s="114">
        <v>27</v>
      </c>
      <c r="J85" s="114">
        <v>82</v>
      </c>
      <c r="K85" s="114">
        <v>109</v>
      </c>
      <c r="L85" s="114">
        <v>40</v>
      </c>
      <c r="M85" s="114">
        <v>40</v>
      </c>
      <c r="N85" s="114">
        <v>0</v>
      </c>
      <c r="O85" s="114">
        <v>2</v>
      </c>
      <c r="P85" s="114">
        <v>111</v>
      </c>
      <c r="Q85" s="114">
        <v>6164</v>
      </c>
      <c r="R85" s="13" t="s">
        <v>25</v>
      </c>
      <c r="S85" s="13" t="s">
        <v>25</v>
      </c>
      <c r="T85" s="13" t="s">
        <v>25</v>
      </c>
    </row>
    <row r="86" spans="1:20" x14ac:dyDescent="0.3">
      <c r="A86" s="14">
        <v>43889.75</v>
      </c>
      <c r="B86" s="13" t="s">
        <v>22</v>
      </c>
      <c r="C86" s="114">
        <v>13</v>
      </c>
      <c r="D86" s="13" t="s">
        <v>42</v>
      </c>
      <c r="E86" s="114">
        <v>4235122196</v>
      </c>
      <c r="F86" s="114">
        <v>1339843823</v>
      </c>
      <c r="G86" s="114">
        <v>1</v>
      </c>
      <c r="H86" s="114">
        <v>0</v>
      </c>
      <c r="I86" s="114">
        <v>1</v>
      </c>
      <c r="J86" s="114">
        <v>0</v>
      </c>
      <c r="K86" s="114">
        <v>1</v>
      </c>
      <c r="L86" s="114">
        <v>0</v>
      </c>
      <c r="M86" s="114">
        <v>0</v>
      </c>
      <c r="N86" s="114">
        <v>0</v>
      </c>
      <c r="O86" s="114">
        <v>0</v>
      </c>
      <c r="P86" s="114">
        <v>1</v>
      </c>
      <c r="Q86" s="114">
        <v>33</v>
      </c>
      <c r="R86" s="13" t="s">
        <v>25</v>
      </c>
      <c r="S86" s="13" t="s">
        <v>25</v>
      </c>
      <c r="T86" s="13" t="s">
        <v>25</v>
      </c>
    </row>
    <row r="87" spans="1:20" x14ac:dyDescent="0.3">
      <c r="A87" s="14">
        <v>43889.75</v>
      </c>
      <c r="B87" s="13" t="s">
        <v>22</v>
      </c>
      <c r="C87" s="114">
        <v>17</v>
      </c>
      <c r="D87" s="13" t="s">
        <v>43</v>
      </c>
      <c r="E87" s="114">
        <v>4063947052</v>
      </c>
      <c r="F87" s="114">
        <v>1580514834</v>
      </c>
      <c r="G87" s="114">
        <v>0</v>
      </c>
      <c r="H87" s="114">
        <v>0</v>
      </c>
      <c r="I87" s="114">
        <v>0</v>
      </c>
      <c r="J87" s="114">
        <v>0</v>
      </c>
      <c r="K87" s="114">
        <v>0</v>
      </c>
      <c r="L87" s="114">
        <v>0</v>
      </c>
      <c r="M87" s="114">
        <v>0</v>
      </c>
      <c r="N87" s="114">
        <v>0</v>
      </c>
      <c r="O87" s="114">
        <v>0</v>
      </c>
      <c r="P87" s="114">
        <v>0</v>
      </c>
      <c r="Q87" s="114">
        <v>0</v>
      </c>
      <c r="R87" s="13" t="s">
        <v>25</v>
      </c>
      <c r="S87" s="13" t="s">
        <v>25</v>
      </c>
      <c r="T87" s="13" t="s">
        <v>25</v>
      </c>
    </row>
    <row r="88" spans="1:20" x14ac:dyDescent="0.3">
      <c r="A88" s="14">
        <v>43889.75</v>
      </c>
      <c r="B88" s="13" t="s">
        <v>22</v>
      </c>
      <c r="C88" s="114">
        <v>4</v>
      </c>
      <c r="D88" s="13" t="s">
        <v>44</v>
      </c>
      <c r="E88" s="114">
        <v>4649933453</v>
      </c>
      <c r="F88" s="114">
        <v>1135662422</v>
      </c>
      <c r="G88" s="114">
        <v>1</v>
      </c>
      <c r="H88" s="114">
        <v>0</v>
      </c>
      <c r="I88" s="114">
        <v>1</v>
      </c>
      <c r="J88" s="114">
        <v>0</v>
      </c>
      <c r="K88" s="114">
        <v>1</v>
      </c>
      <c r="L88" s="114">
        <v>0</v>
      </c>
      <c r="M88" s="114">
        <v>0</v>
      </c>
      <c r="N88" s="114">
        <v>0</v>
      </c>
      <c r="O88" s="114">
        <v>0</v>
      </c>
      <c r="P88" s="114">
        <v>1</v>
      </c>
      <c r="Q88" s="114">
        <v>2</v>
      </c>
      <c r="R88" s="13" t="s">
        <v>25</v>
      </c>
      <c r="S88" s="13" t="s">
        <v>25</v>
      </c>
      <c r="T88" s="13" t="s">
        <v>25</v>
      </c>
    </row>
    <row r="89" spans="1:20" x14ac:dyDescent="0.3">
      <c r="A89" s="14">
        <v>43889.75</v>
      </c>
      <c r="B89" s="13" t="s">
        <v>22</v>
      </c>
      <c r="C89" s="114">
        <v>18</v>
      </c>
      <c r="D89" s="13" t="s">
        <v>45</v>
      </c>
      <c r="E89" s="114">
        <v>3890597598</v>
      </c>
      <c r="F89" s="114">
        <v>1659440194</v>
      </c>
      <c r="G89" s="114">
        <v>0</v>
      </c>
      <c r="H89" s="114">
        <v>0</v>
      </c>
      <c r="I89" s="114">
        <v>0</v>
      </c>
      <c r="J89" s="114">
        <v>1</v>
      </c>
      <c r="K89" s="114">
        <v>1</v>
      </c>
      <c r="L89" s="114">
        <v>1</v>
      </c>
      <c r="M89" s="114">
        <v>1</v>
      </c>
      <c r="N89" s="114">
        <v>0</v>
      </c>
      <c r="O89" s="114">
        <v>0</v>
      </c>
      <c r="P89" s="114">
        <v>1</v>
      </c>
      <c r="Q89" s="114">
        <v>21</v>
      </c>
      <c r="R89" s="13" t="s">
        <v>25</v>
      </c>
      <c r="S89" s="13" t="s">
        <v>25</v>
      </c>
      <c r="T89" s="13" t="s">
        <v>25</v>
      </c>
    </row>
    <row r="90" spans="1:20" x14ac:dyDescent="0.3">
      <c r="A90" s="14">
        <v>43889.75</v>
      </c>
      <c r="B90" s="13" t="s">
        <v>22</v>
      </c>
      <c r="C90" s="114">
        <v>15</v>
      </c>
      <c r="D90" s="13" t="s">
        <v>46</v>
      </c>
      <c r="E90" s="114">
        <v>4083956555</v>
      </c>
      <c r="F90" s="114">
        <v>1425084984</v>
      </c>
      <c r="G90" s="114">
        <v>2</v>
      </c>
      <c r="H90" s="114">
        <v>0</v>
      </c>
      <c r="I90" s="114">
        <v>2</v>
      </c>
      <c r="J90" s="114">
        <v>2</v>
      </c>
      <c r="K90" s="114">
        <v>4</v>
      </c>
      <c r="L90" s="114">
        <v>1</v>
      </c>
      <c r="M90" s="114">
        <v>1</v>
      </c>
      <c r="N90" s="114">
        <v>0</v>
      </c>
      <c r="O90" s="114">
        <v>0</v>
      </c>
      <c r="P90" s="114">
        <v>4</v>
      </c>
      <c r="Q90" s="114">
        <v>213</v>
      </c>
      <c r="R90" s="13" t="s">
        <v>25</v>
      </c>
      <c r="S90" s="13" t="s">
        <v>25</v>
      </c>
      <c r="T90" s="13" t="s">
        <v>25</v>
      </c>
    </row>
    <row r="91" spans="1:20" x14ac:dyDescent="0.3">
      <c r="A91" s="14">
        <v>43889.75</v>
      </c>
      <c r="B91" s="13" t="s">
        <v>22</v>
      </c>
      <c r="C91" s="114">
        <v>8</v>
      </c>
      <c r="D91" s="13" t="s">
        <v>96</v>
      </c>
      <c r="E91" s="114">
        <v>4449436681</v>
      </c>
      <c r="F91" s="114">
        <v>113417208</v>
      </c>
      <c r="G91" s="114">
        <v>56</v>
      </c>
      <c r="H91" s="114">
        <v>6</v>
      </c>
      <c r="I91" s="114">
        <v>62</v>
      </c>
      <c r="J91" s="114">
        <v>81</v>
      </c>
      <c r="K91" s="114">
        <v>143</v>
      </c>
      <c r="L91" s="114">
        <v>47</v>
      </c>
      <c r="M91" s="114">
        <v>48</v>
      </c>
      <c r="N91" s="114">
        <v>0</v>
      </c>
      <c r="O91" s="114">
        <v>2</v>
      </c>
      <c r="P91" s="114">
        <v>145</v>
      </c>
      <c r="Q91" s="114">
        <v>1277</v>
      </c>
      <c r="R91" s="13" t="s">
        <v>25</v>
      </c>
      <c r="S91" s="13" t="s">
        <v>25</v>
      </c>
      <c r="T91" s="13" t="s">
        <v>25</v>
      </c>
    </row>
    <row r="92" spans="1:20" x14ac:dyDescent="0.3">
      <c r="A92" s="14">
        <v>43889.75</v>
      </c>
      <c r="B92" s="13" t="s">
        <v>22</v>
      </c>
      <c r="C92" s="114">
        <v>6</v>
      </c>
      <c r="D92" s="13" t="s">
        <v>47</v>
      </c>
      <c r="E92" s="114">
        <v>456494354</v>
      </c>
      <c r="F92" s="114">
        <v>1376813649</v>
      </c>
      <c r="G92" s="114">
        <v>0</v>
      </c>
      <c r="H92" s="114">
        <v>0</v>
      </c>
      <c r="I92" s="114">
        <v>0</v>
      </c>
      <c r="J92" s="114">
        <v>0</v>
      </c>
      <c r="K92" s="114">
        <v>0</v>
      </c>
      <c r="L92" s="114">
        <v>0</v>
      </c>
      <c r="M92" s="114">
        <v>0</v>
      </c>
      <c r="N92" s="114">
        <v>0</v>
      </c>
      <c r="O92" s="114">
        <v>0</v>
      </c>
      <c r="P92" s="114">
        <v>0</v>
      </c>
      <c r="Q92" s="114">
        <v>169</v>
      </c>
      <c r="R92" s="13" t="s">
        <v>25</v>
      </c>
      <c r="S92" s="13" t="s">
        <v>25</v>
      </c>
      <c r="T92" s="13" t="s">
        <v>25</v>
      </c>
    </row>
    <row r="93" spans="1:20" x14ac:dyDescent="0.3">
      <c r="A93" s="14">
        <v>43889.75</v>
      </c>
      <c r="B93" s="13" t="s">
        <v>22</v>
      </c>
      <c r="C93" s="114">
        <v>12</v>
      </c>
      <c r="D93" s="13" t="s">
        <v>48</v>
      </c>
      <c r="E93" s="114">
        <v>4189277044</v>
      </c>
      <c r="F93" s="114">
        <v>1248366722</v>
      </c>
      <c r="G93" s="114">
        <v>0</v>
      </c>
      <c r="H93" s="114">
        <v>0</v>
      </c>
      <c r="I93" s="114">
        <v>0</v>
      </c>
      <c r="J93" s="114">
        <v>0</v>
      </c>
      <c r="K93" s="114">
        <v>0</v>
      </c>
      <c r="L93" s="114">
        <v>0</v>
      </c>
      <c r="M93" s="114">
        <v>0</v>
      </c>
      <c r="N93" s="114">
        <v>3</v>
      </c>
      <c r="O93" s="114">
        <v>0</v>
      </c>
      <c r="P93" s="114">
        <v>3</v>
      </c>
      <c r="Q93" s="114">
        <v>611</v>
      </c>
      <c r="R93" s="13" t="s">
        <v>25</v>
      </c>
      <c r="S93" s="13" t="s">
        <v>25</v>
      </c>
      <c r="T93" s="13" t="s">
        <v>25</v>
      </c>
    </row>
    <row r="94" spans="1:20" x14ac:dyDescent="0.3">
      <c r="A94" s="14">
        <v>43889.75</v>
      </c>
      <c r="B94" s="13" t="s">
        <v>22</v>
      </c>
      <c r="C94" s="114">
        <v>7</v>
      </c>
      <c r="D94" s="13" t="s">
        <v>49</v>
      </c>
      <c r="E94" s="114">
        <v>4441149315</v>
      </c>
      <c r="F94" s="114">
        <v>89326992</v>
      </c>
      <c r="G94" s="114">
        <v>9</v>
      </c>
      <c r="H94" s="114">
        <v>0</v>
      </c>
      <c r="I94" s="114">
        <v>9</v>
      </c>
      <c r="J94" s="114">
        <v>10</v>
      </c>
      <c r="K94" s="114">
        <v>19</v>
      </c>
      <c r="L94" s="114">
        <v>0</v>
      </c>
      <c r="M94" s="114">
        <v>0</v>
      </c>
      <c r="N94" s="114">
        <v>0</v>
      </c>
      <c r="O94" s="114">
        <v>0</v>
      </c>
      <c r="P94" s="114">
        <v>19</v>
      </c>
      <c r="Q94" s="114">
        <v>112</v>
      </c>
      <c r="R94" s="13" t="s">
        <v>25</v>
      </c>
      <c r="S94" s="13" t="s">
        <v>25</v>
      </c>
      <c r="T94" s="13" t="s">
        <v>25</v>
      </c>
    </row>
    <row r="95" spans="1:20" x14ac:dyDescent="0.3">
      <c r="A95" s="14">
        <v>43889.75</v>
      </c>
      <c r="B95" s="13" t="s">
        <v>22</v>
      </c>
      <c r="C95" s="114">
        <v>3</v>
      </c>
      <c r="D95" s="13" t="s">
        <v>50</v>
      </c>
      <c r="E95" s="114">
        <v>4546679409</v>
      </c>
      <c r="F95" s="114">
        <v>9190347404</v>
      </c>
      <c r="G95" s="114">
        <v>235</v>
      </c>
      <c r="H95" s="114">
        <v>47</v>
      </c>
      <c r="I95" s="114">
        <v>282</v>
      </c>
      <c r="J95" s="114">
        <v>192</v>
      </c>
      <c r="K95" s="114">
        <v>474</v>
      </c>
      <c r="L95" s="114">
        <v>125</v>
      </c>
      <c r="M95" s="114">
        <v>128</v>
      </c>
      <c r="N95" s="114">
        <v>40</v>
      </c>
      <c r="O95" s="114">
        <v>17</v>
      </c>
      <c r="P95" s="114">
        <v>531</v>
      </c>
      <c r="Q95" s="114">
        <v>4835</v>
      </c>
      <c r="R95" s="13" t="s">
        <v>25</v>
      </c>
      <c r="S95" s="13" t="s">
        <v>25</v>
      </c>
      <c r="T95" s="13" t="s">
        <v>25</v>
      </c>
    </row>
    <row r="96" spans="1:20" x14ac:dyDescent="0.3">
      <c r="A96" s="14">
        <v>43889.75</v>
      </c>
      <c r="B96" s="13" t="s">
        <v>22</v>
      </c>
      <c r="C96" s="114">
        <v>11</v>
      </c>
      <c r="D96" s="13" t="s">
        <v>51</v>
      </c>
      <c r="E96" s="114">
        <v>4361675973</v>
      </c>
      <c r="F96" s="114">
        <v>135188753</v>
      </c>
      <c r="G96" s="114">
        <v>3</v>
      </c>
      <c r="H96" s="114">
        <v>2</v>
      </c>
      <c r="I96" s="114">
        <v>5</v>
      </c>
      <c r="J96" s="114">
        <v>1</v>
      </c>
      <c r="K96" s="114">
        <v>6</v>
      </c>
      <c r="L96" s="114">
        <v>3</v>
      </c>
      <c r="M96" s="114">
        <v>3</v>
      </c>
      <c r="N96" s="114">
        <v>0</v>
      </c>
      <c r="O96" s="114">
        <v>0</v>
      </c>
      <c r="P96" s="114">
        <v>6</v>
      </c>
      <c r="Q96" s="114">
        <v>47</v>
      </c>
      <c r="R96" s="13" t="s">
        <v>25</v>
      </c>
      <c r="S96" s="13" t="s">
        <v>25</v>
      </c>
      <c r="T96" s="13" t="s">
        <v>25</v>
      </c>
    </row>
    <row r="97" spans="1:20" x14ac:dyDescent="0.3">
      <c r="A97" s="14">
        <v>43889.75</v>
      </c>
      <c r="B97" s="13" t="s">
        <v>22</v>
      </c>
      <c r="C97" s="114">
        <v>14</v>
      </c>
      <c r="D97" s="13" t="s">
        <v>52</v>
      </c>
      <c r="E97" s="114">
        <v>4155774754</v>
      </c>
      <c r="F97" s="114">
        <v>1465916051</v>
      </c>
      <c r="G97" s="114">
        <v>0</v>
      </c>
      <c r="H97" s="114">
        <v>0</v>
      </c>
      <c r="I97" s="114">
        <v>0</v>
      </c>
      <c r="J97" s="114">
        <v>0</v>
      </c>
      <c r="K97" s="114">
        <v>0</v>
      </c>
      <c r="L97" s="114">
        <v>0</v>
      </c>
      <c r="M97" s="114">
        <v>0</v>
      </c>
      <c r="N97" s="114">
        <v>0</v>
      </c>
      <c r="O97" s="114">
        <v>0</v>
      </c>
      <c r="P97" s="114">
        <v>0</v>
      </c>
      <c r="Q97" s="114">
        <v>0</v>
      </c>
      <c r="R97" s="13" t="s">
        <v>25</v>
      </c>
      <c r="S97" s="13" t="s">
        <v>25</v>
      </c>
      <c r="T97" s="13" t="s">
        <v>25</v>
      </c>
    </row>
    <row r="98" spans="1:20" x14ac:dyDescent="0.3">
      <c r="A98" s="14">
        <v>43889.75</v>
      </c>
      <c r="B98" s="13" t="s">
        <v>22</v>
      </c>
      <c r="C98" s="114">
        <v>1</v>
      </c>
      <c r="D98" s="13" t="s">
        <v>53</v>
      </c>
      <c r="E98" s="114">
        <v>450732745</v>
      </c>
      <c r="F98" s="114">
        <v>7680687483</v>
      </c>
      <c r="G98" s="114">
        <v>7</v>
      </c>
      <c r="H98" s="114">
        <v>0</v>
      </c>
      <c r="I98" s="114">
        <v>7</v>
      </c>
      <c r="J98" s="114">
        <v>4</v>
      </c>
      <c r="K98" s="114">
        <v>11</v>
      </c>
      <c r="L98" s="114">
        <v>9</v>
      </c>
      <c r="M98" s="114">
        <v>9</v>
      </c>
      <c r="N98" s="114">
        <v>0</v>
      </c>
      <c r="O98" s="114">
        <v>0</v>
      </c>
      <c r="P98" s="114">
        <v>11</v>
      </c>
      <c r="Q98" s="114">
        <v>227</v>
      </c>
      <c r="R98" s="13" t="s">
        <v>25</v>
      </c>
      <c r="S98" s="13" t="s">
        <v>25</v>
      </c>
      <c r="T98" s="13" t="s">
        <v>25</v>
      </c>
    </row>
    <row r="99" spans="1:20" x14ac:dyDescent="0.3">
      <c r="A99" s="14">
        <v>43889.75</v>
      </c>
      <c r="B99" s="13" t="s">
        <v>22</v>
      </c>
      <c r="C99" s="114">
        <v>16</v>
      </c>
      <c r="D99" s="13" t="s">
        <v>54</v>
      </c>
      <c r="E99" s="114">
        <v>4112559576</v>
      </c>
      <c r="F99" s="114">
        <v>1686736689</v>
      </c>
      <c r="G99" s="114">
        <v>1</v>
      </c>
      <c r="H99" s="114">
        <v>0</v>
      </c>
      <c r="I99" s="114">
        <v>1</v>
      </c>
      <c r="J99" s="114">
        <v>2</v>
      </c>
      <c r="K99" s="114">
        <v>3</v>
      </c>
      <c r="L99" s="114">
        <v>2</v>
      </c>
      <c r="M99" s="114">
        <v>2</v>
      </c>
      <c r="N99" s="114">
        <v>0</v>
      </c>
      <c r="O99" s="114">
        <v>0</v>
      </c>
      <c r="P99" s="114">
        <v>3</v>
      </c>
      <c r="Q99" s="114">
        <v>242</v>
      </c>
      <c r="R99" s="13" t="s">
        <v>25</v>
      </c>
      <c r="S99" s="13" t="s">
        <v>25</v>
      </c>
      <c r="T99" s="13" t="s">
        <v>25</v>
      </c>
    </row>
    <row r="100" spans="1:20" x14ac:dyDescent="0.3">
      <c r="A100" s="14">
        <v>43889.75</v>
      </c>
      <c r="B100" s="13" t="s">
        <v>22</v>
      </c>
      <c r="C100" s="114">
        <v>20</v>
      </c>
      <c r="D100" s="13" t="s">
        <v>55</v>
      </c>
      <c r="E100" s="114">
        <v>3921531192</v>
      </c>
      <c r="F100" s="114">
        <v>9110616306</v>
      </c>
      <c r="G100" s="114">
        <v>0</v>
      </c>
      <c r="H100" s="114">
        <v>0</v>
      </c>
      <c r="I100" s="114">
        <v>0</v>
      </c>
      <c r="J100" s="114">
        <v>0</v>
      </c>
      <c r="K100" s="114">
        <v>0</v>
      </c>
      <c r="L100" s="114">
        <v>0</v>
      </c>
      <c r="M100" s="114">
        <v>0</v>
      </c>
      <c r="N100" s="114">
        <v>0</v>
      </c>
      <c r="O100" s="114">
        <v>0</v>
      </c>
      <c r="P100" s="114">
        <v>0</v>
      </c>
      <c r="Q100" s="114">
        <v>1</v>
      </c>
      <c r="R100" s="13" t="s">
        <v>25</v>
      </c>
      <c r="S100" s="13" t="s">
        <v>25</v>
      </c>
      <c r="T100" s="13" t="s">
        <v>25</v>
      </c>
    </row>
    <row r="101" spans="1:20" x14ac:dyDescent="0.3">
      <c r="A101" s="14">
        <v>43889.75</v>
      </c>
      <c r="B101" s="13" t="s">
        <v>22</v>
      </c>
      <c r="C101" s="114">
        <v>19</v>
      </c>
      <c r="D101" s="13" t="s">
        <v>56</v>
      </c>
      <c r="E101" s="114">
        <v>3811569725</v>
      </c>
      <c r="F101" s="114">
        <v>133623567</v>
      </c>
      <c r="G101" s="114">
        <v>1</v>
      </c>
      <c r="H101" s="114">
        <v>0</v>
      </c>
      <c r="I101" s="114">
        <v>1</v>
      </c>
      <c r="J101" s="114">
        <v>1</v>
      </c>
      <c r="K101" s="114">
        <v>2</v>
      </c>
      <c r="L101" s="114">
        <v>0</v>
      </c>
      <c r="M101" s="114">
        <v>0</v>
      </c>
      <c r="N101" s="114">
        <v>2</v>
      </c>
      <c r="O101" s="114">
        <v>0</v>
      </c>
      <c r="P101" s="114">
        <v>4</v>
      </c>
      <c r="Q101" s="114">
        <v>5</v>
      </c>
      <c r="R101" s="13" t="s">
        <v>25</v>
      </c>
      <c r="S101" s="13" t="s">
        <v>25</v>
      </c>
      <c r="T101" s="13" t="s">
        <v>25</v>
      </c>
    </row>
    <row r="102" spans="1:20" x14ac:dyDescent="0.3">
      <c r="A102" s="14">
        <v>43889.75</v>
      </c>
      <c r="B102" s="13" t="s">
        <v>22</v>
      </c>
      <c r="C102" s="114">
        <v>9</v>
      </c>
      <c r="D102" s="13" t="s">
        <v>57</v>
      </c>
      <c r="E102" s="114">
        <v>4376923077</v>
      </c>
      <c r="F102" s="114">
        <v>1125588885</v>
      </c>
      <c r="G102" s="114">
        <v>5</v>
      </c>
      <c r="H102" s="114">
        <v>0</v>
      </c>
      <c r="I102" s="114">
        <v>5</v>
      </c>
      <c r="J102" s="114">
        <v>2</v>
      </c>
      <c r="K102" s="114">
        <v>7</v>
      </c>
      <c r="L102" s="114">
        <v>5</v>
      </c>
      <c r="M102" s="114">
        <v>6</v>
      </c>
      <c r="N102" s="114">
        <v>1</v>
      </c>
      <c r="O102" s="114">
        <v>0</v>
      </c>
      <c r="P102" s="114">
        <v>8</v>
      </c>
      <c r="Q102" s="114">
        <v>437</v>
      </c>
      <c r="R102" s="13" t="s">
        <v>25</v>
      </c>
      <c r="S102" s="13" t="s">
        <v>25</v>
      </c>
      <c r="T102" s="13" t="s">
        <v>25</v>
      </c>
    </row>
    <row r="103" spans="1:20" x14ac:dyDescent="0.3">
      <c r="A103" s="14">
        <v>43889.75</v>
      </c>
      <c r="B103" s="13" t="s">
        <v>22</v>
      </c>
      <c r="C103" s="114">
        <v>4</v>
      </c>
      <c r="D103" s="13" t="s">
        <v>58</v>
      </c>
      <c r="E103" s="114">
        <v>4606893511</v>
      </c>
      <c r="F103" s="114">
        <v>1112123097</v>
      </c>
      <c r="G103" s="114">
        <v>0</v>
      </c>
      <c r="H103" s="114">
        <v>0</v>
      </c>
      <c r="I103" s="114">
        <v>0</v>
      </c>
      <c r="J103" s="114">
        <v>0</v>
      </c>
      <c r="K103" s="114">
        <v>0</v>
      </c>
      <c r="L103" s="114">
        <v>0</v>
      </c>
      <c r="M103" s="114">
        <v>0</v>
      </c>
      <c r="N103" s="114">
        <v>0</v>
      </c>
      <c r="O103" s="114">
        <v>0</v>
      </c>
      <c r="P103" s="114">
        <v>0</v>
      </c>
      <c r="Q103" s="114">
        <v>32</v>
      </c>
      <c r="R103" s="13" t="s">
        <v>25</v>
      </c>
      <c r="S103" s="13" t="s">
        <v>25</v>
      </c>
      <c r="T103" s="13" t="s">
        <v>25</v>
      </c>
    </row>
    <row r="104" spans="1:20" x14ac:dyDescent="0.3">
      <c r="A104" s="14">
        <v>43889.75</v>
      </c>
      <c r="B104" s="13" t="s">
        <v>22</v>
      </c>
      <c r="C104" s="114">
        <v>10</v>
      </c>
      <c r="D104" s="13" t="s">
        <v>59</v>
      </c>
      <c r="E104" s="114">
        <v>4310675841</v>
      </c>
      <c r="F104" s="114">
        <v>1238824698</v>
      </c>
      <c r="G104" s="114">
        <v>0</v>
      </c>
      <c r="H104" s="114">
        <v>0</v>
      </c>
      <c r="I104" s="114">
        <v>0</v>
      </c>
      <c r="J104" s="114">
        <v>0</v>
      </c>
      <c r="K104" s="114">
        <v>0</v>
      </c>
      <c r="L104" s="114">
        <v>0</v>
      </c>
      <c r="M104" s="114">
        <v>0</v>
      </c>
      <c r="N104" s="114">
        <v>0</v>
      </c>
      <c r="O104" s="114">
        <v>0</v>
      </c>
      <c r="P104" s="114">
        <v>0</v>
      </c>
      <c r="Q104" s="114">
        <v>8</v>
      </c>
      <c r="R104" s="13" t="s">
        <v>25</v>
      </c>
      <c r="S104" s="13" t="s">
        <v>25</v>
      </c>
      <c r="T104" s="13" t="s">
        <v>25</v>
      </c>
    </row>
    <row r="105" spans="1:20" x14ac:dyDescent="0.3">
      <c r="A105" s="14">
        <v>43889.75</v>
      </c>
      <c r="B105" s="13" t="s">
        <v>22</v>
      </c>
      <c r="C105" s="114">
        <v>2</v>
      </c>
      <c r="D105" s="13" t="s">
        <v>60</v>
      </c>
      <c r="E105" s="114">
        <v>4573750286</v>
      </c>
      <c r="F105" s="114">
        <v>7320149366</v>
      </c>
      <c r="G105" s="114">
        <v>0</v>
      </c>
      <c r="H105" s="114">
        <v>0</v>
      </c>
      <c r="I105" s="114">
        <v>0</v>
      </c>
      <c r="J105" s="114">
        <v>0</v>
      </c>
      <c r="K105" s="114">
        <v>0</v>
      </c>
      <c r="L105" s="114">
        <v>0</v>
      </c>
      <c r="M105" s="114">
        <v>0</v>
      </c>
      <c r="N105" s="114">
        <v>0</v>
      </c>
      <c r="O105" s="114">
        <v>0</v>
      </c>
      <c r="P105" s="114">
        <v>0</v>
      </c>
      <c r="Q105" s="114">
        <v>9</v>
      </c>
      <c r="R105" s="13" t="s">
        <v>25</v>
      </c>
      <c r="S105" s="13" t="s">
        <v>25</v>
      </c>
      <c r="T105" s="13" t="s">
        <v>25</v>
      </c>
    </row>
    <row r="106" spans="1:20" x14ac:dyDescent="0.3">
      <c r="A106" s="14">
        <v>43889.75</v>
      </c>
      <c r="B106" s="13" t="s">
        <v>22</v>
      </c>
      <c r="C106" s="114">
        <v>5</v>
      </c>
      <c r="D106" s="13" t="s">
        <v>61</v>
      </c>
      <c r="E106" s="114">
        <v>4543490485</v>
      </c>
      <c r="F106" s="114">
        <v>1233845213</v>
      </c>
      <c r="G106" s="114">
        <v>24</v>
      </c>
      <c r="H106" s="114">
        <v>9</v>
      </c>
      <c r="I106" s="114">
        <v>33</v>
      </c>
      <c r="J106" s="114">
        <v>116</v>
      </c>
      <c r="K106" s="114">
        <v>149</v>
      </c>
      <c r="L106" s="114">
        <v>40</v>
      </c>
      <c r="M106" s="114">
        <v>40</v>
      </c>
      <c r="N106" s="114">
        <v>0</v>
      </c>
      <c r="O106" s="114">
        <v>2</v>
      </c>
      <c r="P106" s="114">
        <v>151</v>
      </c>
      <c r="Q106" s="114">
        <v>7414</v>
      </c>
      <c r="R106" s="13" t="s">
        <v>25</v>
      </c>
      <c r="S106" s="13" t="s">
        <v>25</v>
      </c>
      <c r="T106" s="13" t="s">
        <v>25</v>
      </c>
    </row>
    <row r="107" spans="1:20" x14ac:dyDescent="0.3">
      <c r="A107" s="14">
        <v>43890.708333333336</v>
      </c>
      <c r="B107" s="13" t="s">
        <v>22</v>
      </c>
      <c r="C107" s="114">
        <v>13</v>
      </c>
      <c r="D107" s="13" t="s">
        <v>42</v>
      </c>
      <c r="E107" s="114">
        <v>4235122196</v>
      </c>
      <c r="F107" s="114">
        <v>1339843823</v>
      </c>
      <c r="G107" s="114">
        <v>2</v>
      </c>
      <c r="H107" s="114">
        <v>0</v>
      </c>
      <c r="I107" s="114">
        <v>2</v>
      </c>
      <c r="J107" s="114">
        <v>0</v>
      </c>
      <c r="K107" s="114">
        <v>2</v>
      </c>
      <c r="L107" s="114">
        <v>1</v>
      </c>
      <c r="M107" s="114">
        <v>1</v>
      </c>
      <c r="N107" s="114">
        <v>0</v>
      </c>
      <c r="O107" s="114">
        <v>0</v>
      </c>
      <c r="P107" s="114">
        <v>2</v>
      </c>
      <c r="Q107" s="114">
        <v>43</v>
      </c>
      <c r="R107" s="13" t="s">
        <v>25</v>
      </c>
      <c r="S107" s="13" t="s">
        <v>25</v>
      </c>
      <c r="T107" s="13" t="s">
        <v>25</v>
      </c>
    </row>
    <row r="108" spans="1:20" x14ac:dyDescent="0.3">
      <c r="A108" s="14">
        <v>43890.708333333336</v>
      </c>
      <c r="B108" s="13" t="s">
        <v>22</v>
      </c>
      <c r="C108" s="114">
        <v>17</v>
      </c>
      <c r="D108" s="13" t="s">
        <v>43</v>
      </c>
      <c r="E108" s="114">
        <v>4063947052</v>
      </c>
      <c r="F108" s="114">
        <v>1580514834</v>
      </c>
      <c r="G108" s="114">
        <v>0</v>
      </c>
      <c r="H108" s="114">
        <v>0</v>
      </c>
      <c r="I108" s="114">
        <v>0</v>
      </c>
      <c r="J108" s="114">
        <v>0</v>
      </c>
      <c r="K108" s="114">
        <v>0</v>
      </c>
      <c r="L108" s="114">
        <v>0</v>
      </c>
      <c r="M108" s="114">
        <v>0</v>
      </c>
      <c r="N108" s="114">
        <v>0</v>
      </c>
      <c r="O108" s="114">
        <v>0</v>
      </c>
      <c r="P108" s="114">
        <v>0</v>
      </c>
      <c r="Q108" s="114">
        <v>32</v>
      </c>
      <c r="R108" s="13" t="s">
        <v>25</v>
      </c>
      <c r="S108" s="13" t="s">
        <v>25</v>
      </c>
      <c r="T108" s="13" t="s">
        <v>25</v>
      </c>
    </row>
    <row r="109" spans="1:20" x14ac:dyDescent="0.3">
      <c r="A109" s="14">
        <v>43890.708333333336</v>
      </c>
      <c r="B109" s="13" t="s">
        <v>22</v>
      </c>
      <c r="C109" s="114">
        <v>4</v>
      </c>
      <c r="D109" s="13" t="s">
        <v>44</v>
      </c>
      <c r="E109" s="114">
        <v>4649933453</v>
      </c>
      <c r="F109" s="114">
        <v>1135662422</v>
      </c>
      <c r="G109" s="114">
        <v>1</v>
      </c>
      <c r="H109" s="114">
        <v>0</v>
      </c>
      <c r="I109" s="114">
        <v>1</v>
      </c>
      <c r="J109" s="114">
        <v>0</v>
      </c>
      <c r="K109" s="114">
        <v>1</v>
      </c>
      <c r="L109" s="114">
        <v>0</v>
      </c>
      <c r="M109" s="114">
        <v>0</v>
      </c>
      <c r="N109" s="114">
        <v>0</v>
      </c>
      <c r="O109" s="114">
        <v>0</v>
      </c>
      <c r="P109" s="114">
        <v>1</v>
      </c>
      <c r="Q109" s="114">
        <v>16</v>
      </c>
      <c r="R109" s="13" t="s">
        <v>25</v>
      </c>
      <c r="S109" s="13" t="s">
        <v>25</v>
      </c>
      <c r="T109" s="13" t="s">
        <v>25</v>
      </c>
    </row>
    <row r="110" spans="1:20" x14ac:dyDescent="0.3">
      <c r="A110" s="14">
        <v>43890.708333333336</v>
      </c>
      <c r="B110" s="13" t="s">
        <v>22</v>
      </c>
      <c r="C110" s="114">
        <v>18</v>
      </c>
      <c r="D110" s="13" t="s">
        <v>45</v>
      </c>
      <c r="E110" s="114">
        <v>3890597598</v>
      </c>
      <c r="F110" s="114">
        <v>1659440194</v>
      </c>
      <c r="G110" s="114">
        <v>0</v>
      </c>
      <c r="H110" s="114">
        <v>0</v>
      </c>
      <c r="I110" s="114">
        <v>0</v>
      </c>
      <c r="J110" s="114">
        <v>1</v>
      </c>
      <c r="K110" s="114">
        <v>1</v>
      </c>
      <c r="L110" s="114">
        <v>0</v>
      </c>
      <c r="M110" s="114">
        <v>0</v>
      </c>
      <c r="N110" s="114">
        <v>0</v>
      </c>
      <c r="O110" s="114">
        <v>0</v>
      </c>
      <c r="P110" s="114">
        <v>1</v>
      </c>
      <c r="Q110" s="114">
        <v>27</v>
      </c>
      <c r="R110" s="13" t="s">
        <v>25</v>
      </c>
      <c r="S110" s="13" t="s">
        <v>25</v>
      </c>
      <c r="T110" s="13" t="s">
        <v>25</v>
      </c>
    </row>
    <row r="111" spans="1:20" x14ac:dyDescent="0.3">
      <c r="A111" s="14">
        <v>43890.708333333336</v>
      </c>
      <c r="B111" s="13" t="s">
        <v>22</v>
      </c>
      <c r="C111" s="114">
        <v>15</v>
      </c>
      <c r="D111" s="13" t="s">
        <v>46</v>
      </c>
      <c r="E111" s="114">
        <v>4083956555</v>
      </c>
      <c r="F111" s="114">
        <v>1425084984</v>
      </c>
      <c r="G111" s="114">
        <v>3</v>
      </c>
      <c r="H111" s="114">
        <v>0</v>
      </c>
      <c r="I111" s="114">
        <v>3</v>
      </c>
      <c r="J111" s="114">
        <v>10</v>
      </c>
      <c r="K111" s="114">
        <v>13</v>
      </c>
      <c r="L111" s="114">
        <v>9</v>
      </c>
      <c r="M111" s="114">
        <v>9</v>
      </c>
      <c r="N111" s="114">
        <v>0</v>
      </c>
      <c r="O111" s="114">
        <v>0</v>
      </c>
      <c r="P111" s="114">
        <v>13</v>
      </c>
      <c r="Q111" s="114">
        <v>373</v>
      </c>
      <c r="R111" s="13" t="s">
        <v>25</v>
      </c>
      <c r="S111" s="13" t="s">
        <v>25</v>
      </c>
      <c r="T111" s="13" t="s">
        <v>25</v>
      </c>
    </row>
    <row r="112" spans="1:20" x14ac:dyDescent="0.3">
      <c r="A112" s="14">
        <v>43890.708333333336</v>
      </c>
      <c r="B112" s="13" t="s">
        <v>22</v>
      </c>
      <c r="C112" s="114">
        <v>8</v>
      </c>
      <c r="D112" s="13" t="s">
        <v>96</v>
      </c>
      <c r="E112" s="114">
        <v>4449436681</v>
      </c>
      <c r="F112" s="114">
        <v>113417208</v>
      </c>
      <c r="G112" s="114">
        <v>86</v>
      </c>
      <c r="H112" s="114">
        <v>11</v>
      </c>
      <c r="I112" s="114">
        <v>97</v>
      </c>
      <c r="J112" s="114">
        <v>116</v>
      </c>
      <c r="K112" s="114">
        <v>213</v>
      </c>
      <c r="L112" s="114">
        <v>70</v>
      </c>
      <c r="M112" s="114">
        <v>72</v>
      </c>
      <c r="N112" s="114">
        <v>0</v>
      </c>
      <c r="O112" s="114">
        <v>4</v>
      </c>
      <c r="P112" s="114">
        <v>217</v>
      </c>
      <c r="Q112" s="114">
        <v>1550</v>
      </c>
      <c r="R112" s="13" t="s">
        <v>25</v>
      </c>
      <c r="S112" s="13" t="s">
        <v>25</v>
      </c>
      <c r="T112" s="13" t="s">
        <v>25</v>
      </c>
    </row>
    <row r="113" spans="1:20" x14ac:dyDescent="0.3">
      <c r="A113" s="14">
        <v>43890.708333333336</v>
      </c>
      <c r="B113" s="13" t="s">
        <v>22</v>
      </c>
      <c r="C113" s="114">
        <v>6</v>
      </c>
      <c r="D113" s="13" t="s">
        <v>47</v>
      </c>
      <c r="E113" s="114">
        <v>456494354</v>
      </c>
      <c r="F113" s="114">
        <v>1376813649</v>
      </c>
      <c r="G113" s="114">
        <v>0</v>
      </c>
      <c r="H113" s="114">
        <v>0</v>
      </c>
      <c r="I113" s="114">
        <v>0</v>
      </c>
      <c r="J113" s="114">
        <v>0</v>
      </c>
      <c r="K113" s="114">
        <v>0</v>
      </c>
      <c r="L113" s="114">
        <v>0</v>
      </c>
      <c r="M113" s="114">
        <v>0</v>
      </c>
      <c r="N113" s="114">
        <v>0</v>
      </c>
      <c r="O113" s="114">
        <v>0</v>
      </c>
      <c r="P113" s="114">
        <v>0</v>
      </c>
      <c r="Q113" s="114">
        <v>189</v>
      </c>
      <c r="R113" s="13" t="s">
        <v>25</v>
      </c>
      <c r="S113" s="13" t="s">
        <v>25</v>
      </c>
      <c r="T113" s="13" t="s">
        <v>25</v>
      </c>
    </row>
    <row r="114" spans="1:20" x14ac:dyDescent="0.3">
      <c r="A114" s="14">
        <v>43890.708333333336</v>
      </c>
      <c r="B114" s="13" t="s">
        <v>22</v>
      </c>
      <c r="C114" s="114">
        <v>12</v>
      </c>
      <c r="D114" s="13" t="s">
        <v>48</v>
      </c>
      <c r="E114" s="114">
        <v>4189277044</v>
      </c>
      <c r="F114" s="114">
        <v>1248366722</v>
      </c>
      <c r="G114" s="114">
        <v>3</v>
      </c>
      <c r="H114" s="114">
        <v>0</v>
      </c>
      <c r="I114" s="114">
        <v>3</v>
      </c>
      <c r="J114" s="114">
        <v>0</v>
      </c>
      <c r="K114" s="114">
        <v>3</v>
      </c>
      <c r="L114" s="114">
        <v>3</v>
      </c>
      <c r="M114" s="114">
        <v>3</v>
      </c>
      <c r="N114" s="114">
        <v>3</v>
      </c>
      <c r="O114" s="114">
        <v>0</v>
      </c>
      <c r="P114" s="114">
        <v>6</v>
      </c>
      <c r="Q114" s="114">
        <v>679</v>
      </c>
      <c r="R114" s="13" t="s">
        <v>25</v>
      </c>
      <c r="S114" s="13" t="s">
        <v>25</v>
      </c>
      <c r="T114" s="13" t="s">
        <v>25</v>
      </c>
    </row>
    <row r="115" spans="1:20" x14ac:dyDescent="0.3">
      <c r="A115" s="14">
        <v>43890.708333333336</v>
      </c>
      <c r="B115" s="13" t="s">
        <v>22</v>
      </c>
      <c r="C115" s="114">
        <v>7</v>
      </c>
      <c r="D115" s="13" t="s">
        <v>49</v>
      </c>
      <c r="E115" s="114">
        <v>4441149315</v>
      </c>
      <c r="F115" s="114">
        <v>89326992</v>
      </c>
      <c r="G115" s="114">
        <v>4</v>
      </c>
      <c r="H115" s="114">
        <v>1</v>
      </c>
      <c r="I115" s="114">
        <v>5</v>
      </c>
      <c r="J115" s="114">
        <v>33</v>
      </c>
      <c r="K115" s="114">
        <v>38</v>
      </c>
      <c r="L115" s="114">
        <v>19</v>
      </c>
      <c r="M115" s="114">
        <v>23</v>
      </c>
      <c r="N115" s="114">
        <v>4</v>
      </c>
      <c r="O115" s="114">
        <v>0</v>
      </c>
      <c r="P115" s="114">
        <v>42</v>
      </c>
      <c r="Q115" s="114">
        <v>121</v>
      </c>
      <c r="R115" s="13" t="s">
        <v>25</v>
      </c>
      <c r="S115" s="13" t="s">
        <v>25</v>
      </c>
      <c r="T115" s="13" t="s">
        <v>25</v>
      </c>
    </row>
    <row r="116" spans="1:20" x14ac:dyDescent="0.3">
      <c r="A116" s="14">
        <v>43890.708333333336</v>
      </c>
      <c r="B116" s="13" t="s">
        <v>22</v>
      </c>
      <c r="C116" s="114">
        <v>3</v>
      </c>
      <c r="D116" s="13" t="s">
        <v>50</v>
      </c>
      <c r="E116" s="114">
        <v>4546679409</v>
      </c>
      <c r="F116" s="114">
        <v>9190347404</v>
      </c>
      <c r="G116" s="114">
        <v>256</v>
      </c>
      <c r="H116" s="114">
        <v>80</v>
      </c>
      <c r="I116" s="114">
        <v>336</v>
      </c>
      <c r="J116" s="114">
        <v>216</v>
      </c>
      <c r="K116" s="114">
        <v>552</v>
      </c>
      <c r="L116" s="114">
        <v>78</v>
      </c>
      <c r="M116" s="114">
        <v>84</v>
      </c>
      <c r="N116" s="114">
        <v>40</v>
      </c>
      <c r="O116" s="114">
        <v>23</v>
      </c>
      <c r="P116" s="114">
        <v>615</v>
      </c>
      <c r="Q116" s="114">
        <v>5723</v>
      </c>
      <c r="R116" s="13" t="s">
        <v>25</v>
      </c>
      <c r="S116" s="13" t="s">
        <v>25</v>
      </c>
      <c r="T116" s="13" t="s">
        <v>25</v>
      </c>
    </row>
    <row r="117" spans="1:20" x14ac:dyDescent="0.3">
      <c r="A117" s="14">
        <v>43890.708333333336</v>
      </c>
      <c r="B117" s="13" t="s">
        <v>22</v>
      </c>
      <c r="C117" s="114">
        <v>11</v>
      </c>
      <c r="D117" s="13" t="s">
        <v>51</v>
      </c>
      <c r="E117" s="114">
        <v>4361675973</v>
      </c>
      <c r="F117" s="114">
        <v>135188753</v>
      </c>
      <c r="G117" s="114">
        <v>6</v>
      </c>
      <c r="H117" s="114">
        <v>2</v>
      </c>
      <c r="I117" s="114">
        <v>8</v>
      </c>
      <c r="J117" s="114">
        <v>3</v>
      </c>
      <c r="K117" s="114">
        <v>11</v>
      </c>
      <c r="L117" s="114">
        <v>5</v>
      </c>
      <c r="M117" s="114">
        <v>5</v>
      </c>
      <c r="N117" s="114">
        <v>0</v>
      </c>
      <c r="O117" s="114">
        <v>0</v>
      </c>
      <c r="P117" s="114">
        <v>11</v>
      </c>
      <c r="Q117" s="114">
        <v>68</v>
      </c>
      <c r="R117" s="13" t="s">
        <v>25</v>
      </c>
      <c r="S117" s="13" t="s">
        <v>25</v>
      </c>
      <c r="T117" s="13" t="s">
        <v>25</v>
      </c>
    </row>
    <row r="118" spans="1:20" x14ac:dyDescent="0.3">
      <c r="A118" s="14">
        <v>43890.708333333336</v>
      </c>
      <c r="B118" s="13" t="s">
        <v>22</v>
      </c>
      <c r="C118" s="114">
        <v>14</v>
      </c>
      <c r="D118" s="13" t="s">
        <v>52</v>
      </c>
      <c r="E118" s="114">
        <v>4155774754</v>
      </c>
      <c r="F118" s="114">
        <v>1465916051</v>
      </c>
      <c r="G118" s="114">
        <v>0</v>
      </c>
      <c r="H118" s="114">
        <v>0</v>
      </c>
      <c r="I118" s="114">
        <v>0</v>
      </c>
      <c r="J118" s="114">
        <v>0</v>
      </c>
      <c r="K118" s="114">
        <v>0</v>
      </c>
      <c r="L118" s="114">
        <v>0</v>
      </c>
      <c r="M118" s="114">
        <v>0</v>
      </c>
      <c r="N118" s="114">
        <v>0</v>
      </c>
      <c r="O118" s="114">
        <v>0</v>
      </c>
      <c r="P118" s="114">
        <v>0</v>
      </c>
      <c r="Q118" s="114">
        <v>0</v>
      </c>
      <c r="R118" s="13" t="s">
        <v>25</v>
      </c>
      <c r="S118" s="13" t="s">
        <v>25</v>
      </c>
      <c r="T118" s="13" t="s">
        <v>25</v>
      </c>
    </row>
    <row r="119" spans="1:20" x14ac:dyDescent="0.3">
      <c r="A119" s="14">
        <v>43890.708333333336</v>
      </c>
      <c r="B119" s="13" t="s">
        <v>22</v>
      </c>
      <c r="C119" s="114">
        <v>1</v>
      </c>
      <c r="D119" s="13" t="s">
        <v>53</v>
      </c>
      <c r="E119" s="114">
        <v>450732745</v>
      </c>
      <c r="F119" s="114">
        <v>7680687483</v>
      </c>
      <c r="G119" s="114">
        <v>7</v>
      </c>
      <c r="H119" s="114">
        <v>0</v>
      </c>
      <c r="I119" s="114">
        <v>7</v>
      </c>
      <c r="J119" s="114">
        <v>4</v>
      </c>
      <c r="K119" s="114">
        <v>11</v>
      </c>
      <c r="L119" s="114">
        <v>0</v>
      </c>
      <c r="M119" s="114">
        <v>0</v>
      </c>
      <c r="N119" s="114">
        <v>0</v>
      </c>
      <c r="O119" s="114">
        <v>0</v>
      </c>
      <c r="P119" s="114">
        <v>11</v>
      </c>
      <c r="Q119" s="114">
        <v>308</v>
      </c>
      <c r="R119" s="13" t="s">
        <v>25</v>
      </c>
      <c r="S119" s="13" t="s">
        <v>25</v>
      </c>
      <c r="T119" s="13" t="s">
        <v>25</v>
      </c>
    </row>
    <row r="120" spans="1:20" x14ac:dyDescent="0.3">
      <c r="A120" s="14">
        <v>43890.708333333336</v>
      </c>
      <c r="B120" s="13" t="s">
        <v>22</v>
      </c>
      <c r="C120" s="114">
        <v>16</v>
      </c>
      <c r="D120" s="13" t="s">
        <v>54</v>
      </c>
      <c r="E120" s="114">
        <v>4112559576</v>
      </c>
      <c r="F120" s="114">
        <v>1686736689</v>
      </c>
      <c r="G120" s="114">
        <v>1</v>
      </c>
      <c r="H120" s="114">
        <v>0</v>
      </c>
      <c r="I120" s="114">
        <v>1</v>
      </c>
      <c r="J120" s="114">
        <v>2</v>
      </c>
      <c r="K120" s="114">
        <v>3</v>
      </c>
      <c r="L120" s="114">
        <v>0</v>
      </c>
      <c r="M120" s="114">
        <v>0</v>
      </c>
      <c r="N120" s="114">
        <v>0</v>
      </c>
      <c r="O120" s="114">
        <v>0</v>
      </c>
      <c r="P120" s="114">
        <v>3</v>
      </c>
      <c r="Q120" s="114">
        <v>252</v>
      </c>
      <c r="R120" s="13" t="s">
        <v>25</v>
      </c>
      <c r="S120" s="13" t="s">
        <v>25</v>
      </c>
      <c r="T120" s="13" t="s">
        <v>25</v>
      </c>
    </row>
    <row r="121" spans="1:20" x14ac:dyDescent="0.3">
      <c r="A121" s="14">
        <v>43890.708333333336</v>
      </c>
      <c r="B121" s="13" t="s">
        <v>22</v>
      </c>
      <c r="C121" s="114">
        <v>20</v>
      </c>
      <c r="D121" s="13" t="s">
        <v>55</v>
      </c>
      <c r="E121" s="114">
        <v>3921531192</v>
      </c>
      <c r="F121" s="114">
        <v>9110616306</v>
      </c>
      <c r="G121" s="114">
        <v>0</v>
      </c>
      <c r="H121" s="114">
        <v>0</v>
      </c>
      <c r="I121" s="114">
        <v>0</v>
      </c>
      <c r="J121" s="114">
        <v>0</v>
      </c>
      <c r="K121" s="114">
        <v>0</v>
      </c>
      <c r="L121" s="114">
        <v>0</v>
      </c>
      <c r="M121" s="114">
        <v>0</v>
      </c>
      <c r="N121" s="114">
        <v>0</v>
      </c>
      <c r="O121" s="114">
        <v>0</v>
      </c>
      <c r="P121" s="114">
        <v>0</v>
      </c>
      <c r="Q121" s="114">
        <v>1</v>
      </c>
      <c r="R121" s="13" t="s">
        <v>25</v>
      </c>
      <c r="S121" s="13" t="s">
        <v>25</v>
      </c>
      <c r="T121" s="13" t="s">
        <v>25</v>
      </c>
    </row>
    <row r="122" spans="1:20" x14ac:dyDescent="0.3">
      <c r="A122" s="14">
        <v>43890.708333333336</v>
      </c>
      <c r="B122" s="13" t="s">
        <v>22</v>
      </c>
      <c r="C122" s="114">
        <v>19</v>
      </c>
      <c r="D122" s="13" t="s">
        <v>56</v>
      </c>
      <c r="E122" s="114">
        <v>3811569725</v>
      </c>
      <c r="F122" s="114">
        <v>133623567</v>
      </c>
      <c r="G122" s="114">
        <v>1</v>
      </c>
      <c r="H122" s="114">
        <v>0</v>
      </c>
      <c r="I122" s="114">
        <v>1</v>
      </c>
      <c r="J122" s="114">
        <v>1</v>
      </c>
      <c r="K122" s="114">
        <v>2</v>
      </c>
      <c r="L122" s="114">
        <v>0</v>
      </c>
      <c r="M122" s="114">
        <v>0</v>
      </c>
      <c r="N122" s="114">
        <v>2</v>
      </c>
      <c r="O122" s="114">
        <v>0</v>
      </c>
      <c r="P122" s="114">
        <v>4</v>
      </c>
      <c r="Q122" s="114">
        <v>6</v>
      </c>
      <c r="R122" s="13" t="s">
        <v>25</v>
      </c>
      <c r="S122" s="13" t="s">
        <v>25</v>
      </c>
      <c r="T122" s="13" t="s">
        <v>25</v>
      </c>
    </row>
    <row r="123" spans="1:20" x14ac:dyDescent="0.3">
      <c r="A123" s="14">
        <v>43890.708333333336</v>
      </c>
      <c r="B123" s="13" t="s">
        <v>22</v>
      </c>
      <c r="C123" s="114">
        <v>9</v>
      </c>
      <c r="D123" s="13" t="s">
        <v>57</v>
      </c>
      <c r="E123" s="114">
        <v>4376923077</v>
      </c>
      <c r="F123" s="114">
        <v>1125588885</v>
      </c>
      <c r="G123" s="114">
        <v>7</v>
      </c>
      <c r="H123" s="114">
        <v>0</v>
      </c>
      <c r="I123" s="114">
        <v>7</v>
      </c>
      <c r="J123" s="114">
        <v>3</v>
      </c>
      <c r="K123" s="114">
        <v>10</v>
      </c>
      <c r="L123" s="114">
        <v>3</v>
      </c>
      <c r="M123" s="114">
        <v>3</v>
      </c>
      <c r="N123" s="114">
        <v>1</v>
      </c>
      <c r="O123" s="114">
        <v>0</v>
      </c>
      <c r="P123" s="114">
        <v>11</v>
      </c>
      <c r="Q123" s="114">
        <v>531</v>
      </c>
      <c r="R123" s="13" t="s">
        <v>25</v>
      </c>
      <c r="S123" s="13" t="s">
        <v>25</v>
      </c>
      <c r="T123" s="13" t="s">
        <v>25</v>
      </c>
    </row>
    <row r="124" spans="1:20" x14ac:dyDescent="0.3">
      <c r="A124" s="14">
        <v>43890.708333333336</v>
      </c>
      <c r="B124" s="13" t="s">
        <v>22</v>
      </c>
      <c r="C124" s="114">
        <v>4</v>
      </c>
      <c r="D124" s="13" t="s">
        <v>58</v>
      </c>
      <c r="E124" s="114">
        <v>4606893511</v>
      </c>
      <c r="F124" s="114">
        <v>1112123097</v>
      </c>
      <c r="G124" s="114">
        <v>0</v>
      </c>
      <c r="H124" s="114">
        <v>0</v>
      </c>
      <c r="I124" s="114">
        <v>0</v>
      </c>
      <c r="J124" s="114">
        <v>0</v>
      </c>
      <c r="K124" s="114">
        <v>0</v>
      </c>
      <c r="L124" s="114">
        <v>0</v>
      </c>
      <c r="M124" s="114">
        <v>0</v>
      </c>
      <c r="N124" s="114">
        <v>0</v>
      </c>
      <c r="O124" s="114">
        <v>0</v>
      </c>
      <c r="P124" s="114">
        <v>0</v>
      </c>
      <c r="Q124" s="114">
        <v>43</v>
      </c>
      <c r="R124" s="13" t="s">
        <v>25</v>
      </c>
      <c r="S124" s="13" t="s">
        <v>25</v>
      </c>
      <c r="T124" s="13" t="s">
        <v>25</v>
      </c>
    </row>
    <row r="125" spans="1:20" x14ac:dyDescent="0.3">
      <c r="A125" s="14">
        <v>43890.708333333336</v>
      </c>
      <c r="B125" s="13" t="s">
        <v>22</v>
      </c>
      <c r="C125" s="114">
        <v>10</v>
      </c>
      <c r="D125" s="13" t="s">
        <v>59</v>
      </c>
      <c r="E125" s="114">
        <v>4310675841</v>
      </c>
      <c r="F125" s="114">
        <v>1238824698</v>
      </c>
      <c r="G125" s="114">
        <v>0</v>
      </c>
      <c r="H125" s="114">
        <v>0</v>
      </c>
      <c r="I125" s="114">
        <v>0</v>
      </c>
      <c r="J125" s="114">
        <v>0</v>
      </c>
      <c r="K125" s="114">
        <v>0</v>
      </c>
      <c r="L125" s="114">
        <v>0</v>
      </c>
      <c r="M125" s="114">
        <v>0</v>
      </c>
      <c r="N125" s="114">
        <v>0</v>
      </c>
      <c r="O125" s="114">
        <v>0</v>
      </c>
      <c r="P125" s="114">
        <v>0</v>
      </c>
      <c r="Q125" s="114">
        <v>31</v>
      </c>
      <c r="R125" s="13" t="s">
        <v>25</v>
      </c>
      <c r="S125" s="13" t="s">
        <v>25</v>
      </c>
      <c r="T125" s="13" t="s">
        <v>25</v>
      </c>
    </row>
    <row r="126" spans="1:20" x14ac:dyDescent="0.3">
      <c r="A126" s="14">
        <v>43890.708333333336</v>
      </c>
      <c r="B126" s="13" t="s">
        <v>22</v>
      </c>
      <c r="C126" s="114">
        <v>2</v>
      </c>
      <c r="D126" s="13" t="s">
        <v>60</v>
      </c>
      <c r="E126" s="114">
        <v>4573750286</v>
      </c>
      <c r="F126" s="114">
        <v>7320149366</v>
      </c>
      <c r="G126" s="114">
        <v>0</v>
      </c>
      <c r="H126" s="114">
        <v>0</v>
      </c>
      <c r="I126" s="114">
        <v>0</v>
      </c>
      <c r="J126" s="114">
        <v>0</v>
      </c>
      <c r="K126" s="114">
        <v>0</v>
      </c>
      <c r="L126" s="114">
        <v>0</v>
      </c>
      <c r="M126" s="114">
        <v>0</v>
      </c>
      <c r="N126" s="114">
        <v>0</v>
      </c>
      <c r="O126" s="114">
        <v>0</v>
      </c>
      <c r="P126" s="114">
        <v>0</v>
      </c>
      <c r="Q126" s="114">
        <v>9</v>
      </c>
      <c r="R126" s="13" t="s">
        <v>25</v>
      </c>
      <c r="S126" s="13" t="s">
        <v>25</v>
      </c>
      <c r="T126" s="13" t="s">
        <v>25</v>
      </c>
    </row>
    <row r="127" spans="1:20" x14ac:dyDescent="0.3">
      <c r="A127" s="14">
        <v>43890.708333333336</v>
      </c>
      <c r="B127" s="13" t="s">
        <v>22</v>
      </c>
      <c r="C127" s="114">
        <v>5</v>
      </c>
      <c r="D127" s="13" t="s">
        <v>61</v>
      </c>
      <c r="E127" s="114">
        <v>4543490485</v>
      </c>
      <c r="F127" s="114">
        <v>1233845213</v>
      </c>
      <c r="G127" s="114">
        <v>24</v>
      </c>
      <c r="H127" s="114">
        <v>11</v>
      </c>
      <c r="I127" s="114">
        <v>35</v>
      </c>
      <c r="J127" s="114">
        <v>154</v>
      </c>
      <c r="K127" s="114">
        <v>189</v>
      </c>
      <c r="L127" s="114">
        <v>40</v>
      </c>
      <c r="M127" s="114">
        <v>40</v>
      </c>
      <c r="N127" s="114">
        <v>0</v>
      </c>
      <c r="O127" s="114">
        <v>2</v>
      </c>
      <c r="P127" s="114">
        <v>191</v>
      </c>
      <c r="Q127" s="114">
        <v>8659</v>
      </c>
      <c r="R127" s="13" t="s">
        <v>25</v>
      </c>
      <c r="S127" s="13" t="s">
        <v>25</v>
      </c>
      <c r="T127" s="13" t="s">
        <v>25</v>
      </c>
    </row>
    <row r="128" spans="1:20" x14ac:dyDescent="0.3">
      <c r="A128" s="14">
        <v>43891.708333333336</v>
      </c>
      <c r="B128" s="13" t="s">
        <v>22</v>
      </c>
      <c r="C128" s="114">
        <v>13</v>
      </c>
      <c r="D128" s="13" t="s">
        <v>42</v>
      </c>
      <c r="E128" s="114">
        <v>4235122196</v>
      </c>
      <c r="F128" s="114">
        <v>1339843823</v>
      </c>
      <c r="G128" s="114">
        <v>3</v>
      </c>
      <c r="H128" s="114">
        <v>0</v>
      </c>
      <c r="I128" s="114">
        <v>3</v>
      </c>
      <c r="J128" s="114">
        <v>2</v>
      </c>
      <c r="K128" s="114">
        <v>5</v>
      </c>
      <c r="L128" s="114">
        <v>3</v>
      </c>
      <c r="M128" s="114">
        <v>3</v>
      </c>
      <c r="N128" s="114">
        <v>0</v>
      </c>
      <c r="O128" s="114">
        <v>0</v>
      </c>
      <c r="P128" s="114">
        <v>5</v>
      </c>
      <c r="Q128" s="114">
        <v>52</v>
      </c>
      <c r="R128" s="13" t="s">
        <v>25</v>
      </c>
      <c r="S128" s="13" t="s">
        <v>25</v>
      </c>
      <c r="T128" s="13" t="s">
        <v>25</v>
      </c>
    </row>
    <row r="129" spans="1:20" x14ac:dyDescent="0.3">
      <c r="A129" s="14">
        <v>43891.708333333336</v>
      </c>
      <c r="B129" s="13" t="s">
        <v>22</v>
      </c>
      <c r="C129" s="114">
        <v>17</v>
      </c>
      <c r="D129" s="13" t="s">
        <v>43</v>
      </c>
      <c r="E129" s="114">
        <v>4063947052</v>
      </c>
      <c r="F129" s="114">
        <v>1580514834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0</v>
      </c>
      <c r="M129" s="114">
        <v>0</v>
      </c>
      <c r="N129" s="114">
        <v>0</v>
      </c>
      <c r="O129" s="114">
        <v>0</v>
      </c>
      <c r="P129" s="114">
        <v>0</v>
      </c>
      <c r="Q129" s="114">
        <v>39</v>
      </c>
      <c r="R129" s="13" t="s">
        <v>25</v>
      </c>
      <c r="S129" s="13" t="s">
        <v>25</v>
      </c>
      <c r="T129" s="13" t="s">
        <v>25</v>
      </c>
    </row>
    <row r="130" spans="1:20" x14ac:dyDescent="0.3">
      <c r="A130" s="14">
        <v>43891.708333333336</v>
      </c>
      <c r="B130" s="13" t="s">
        <v>22</v>
      </c>
      <c r="C130" s="114">
        <v>4</v>
      </c>
      <c r="D130" s="13" t="s">
        <v>44</v>
      </c>
      <c r="E130" s="114">
        <v>4649933453</v>
      </c>
      <c r="F130" s="114">
        <v>1135662422</v>
      </c>
      <c r="G130" s="114">
        <v>1</v>
      </c>
      <c r="H130" s="114">
        <v>0</v>
      </c>
      <c r="I130" s="114">
        <v>1</v>
      </c>
      <c r="J130" s="114">
        <v>0</v>
      </c>
      <c r="K130" s="114">
        <v>1</v>
      </c>
      <c r="L130" s="114">
        <v>0</v>
      </c>
      <c r="M130" s="114">
        <v>0</v>
      </c>
      <c r="N130" s="114">
        <v>0</v>
      </c>
      <c r="O130" s="114">
        <v>0</v>
      </c>
      <c r="P130" s="114">
        <v>1</v>
      </c>
      <c r="Q130" s="114">
        <v>20</v>
      </c>
      <c r="R130" s="13" t="s">
        <v>25</v>
      </c>
      <c r="S130" s="13" t="s">
        <v>25</v>
      </c>
      <c r="T130" s="13" t="s">
        <v>25</v>
      </c>
    </row>
    <row r="131" spans="1:20" x14ac:dyDescent="0.3">
      <c r="A131" s="14">
        <v>43891.708333333336</v>
      </c>
      <c r="B131" s="13" t="s">
        <v>22</v>
      </c>
      <c r="C131" s="114">
        <v>18</v>
      </c>
      <c r="D131" s="13" t="s">
        <v>45</v>
      </c>
      <c r="E131" s="114">
        <v>3890597598</v>
      </c>
      <c r="F131" s="114">
        <v>1659440194</v>
      </c>
      <c r="G131" s="114">
        <v>0</v>
      </c>
      <c r="H131" s="114">
        <v>0</v>
      </c>
      <c r="I131" s="114">
        <v>0</v>
      </c>
      <c r="J131" s="114">
        <v>1</v>
      </c>
      <c r="K131" s="114">
        <v>1</v>
      </c>
      <c r="L131" s="114">
        <v>0</v>
      </c>
      <c r="M131" s="114">
        <v>0</v>
      </c>
      <c r="N131" s="114">
        <v>0</v>
      </c>
      <c r="O131" s="114">
        <v>0</v>
      </c>
      <c r="P131" s="114">
        <v>1</v>
      </c>
      <c r="Q131" s="114">
        <v>35</v>
      </c>
      <c r="R131" s="13" t="s">
        <v>25</v>
      </c>
      <c r="S131" s="13" t="s">
        <v>25</v>
      </c>
      <c r="T131" s="13" t="s">
        <v>25</v>
      </c>
    </row>
    <row r="132" spans="1:20" x14ac:dyDescent="0.3">
      <c r="A132" s="14">
        <v>43891.708333333336</v>
      </c>
      <c r="B132" s="13" t="s">
        <v>22</v>
      </c>
      <c r="C132" s="114">
        <v>15</v>
      </c>
      <c r="D132" s="13" t="s">
        <v>46</v>
      </c>
      <c r="E132" s="114">
        <v>4083956555</v>
      </c>
      <c r="F132" s="114">
        <v>1425084984</v>
      </c>
      <c r="G132" s="114">
        <v>4</v>
      </c>
      <c r="H132" s="114">
        <v>0</v>
      </c>
      <c r="I132" s="114">
        <v>4</v>
      </c>
      <c r="J132" s="114">
        <v>13</v>
      </c>
      <c r="K132" s="114">
        <v>17</v>
      </c>
      <c r="L132" s="114">
        <v>4</v>
      </c>
      <c r="M132" s="114">
        <v>4</v>
      </c>
      <c r="N132" s="114">
        <v>0</v>
      </c>
      <c r="O132" s="114">
        <v>0</v>
      </c>
      <c r="P132" s="114">
        <v>17</v>
      </c>
      <c r="Q132" s="114">
        <v>373</v>
      </c>
      <c r="R132" s="13" t="s">
        <v>25</v>
      </c>
      <c r="S132" s="13" t="s">
        <v>25</v>
      </c>
      <c r="T132" s="13" t="s">
        <v>25</v>
      </c>
    </row>
    <row r="133" spans="1:20" x14ac:dyDescent="0.3">
      <c r="A133" s="14">
        <v>43891.708333333336</v>
      </c>
      <c r="B133" s="13" t="s">
        <v>22</v>
      </c>
      <c r="C133" s="114">
        <v>8</v>
      </c>
      <c r="D133" s="13" t="s">
        <v>96</v>
      </c>
      <c r="E133" s="114">
        <v>4449436681</v>
      </c>
      <c r="F133" s="114">
        <v>113417208</v>
      </c>
      <c r="G133" s="114">
        <v>127</v>
      </c>
      <c r="H133" s="114">
        <v>13</v>
      </c>
      <c r="I133" s="114">
        <v>140</v>
      </c>
      <c r="J133" s="114">
        <v>137</v>
      </c>
      <c r="K133" s="114">
        <v>277</v>
      </c>
      <c r="L133" s="114">
        <v>64</v>
      </c>
      <c r="M133" s="114">
        <v>68</v>
      </c>
      <c r="N133" s="114">
        <v>0</v>
      </c>
      <c r="O133" s="114">
        <v>8</v>
      </c>
      <c r="P133" s="114">
        <v>285</v>
      </c>
      <c r="Q133" s="114">
        <v>1795</v>
      </c>
      <c r="R133" s="13" t="s">
        <v>25</v>
      </c>
      <c r="S133" s="13" t="s">
        <v>25</v>
      </c>
      <c r="T133" s="13" t="s">
        <v>25</v>
      </c>
    </row>
    <row r="134" spans="1:20" x14ac:dyDescent="0.3">
      <c r="A134" s="14">
        <v>43891.708333333336</v>
      </c>
      <c r="B134" s="13" t="s">
        <v>22</v>
      </c>
      <c r="C134" s="114">
        <v>6</v>
      </c>
      <c r="D134" s="13" t="s">
        <v>47</v>
      </c>
      <c r="E134" s="114">
        <v>456494354</v>
      </c>
      <c r="F134" s="114">
        <v>1376813649</v>
      </c>
      <c r="G134" s="114">
        <v>0</v>
      </c>
      <c r="H134" s="114">
        <v>0</v>
      </c>
      <c r="I134" s="114">
        <v>0</v>
      </c>
      <c r="J134" s="114">
        <v>6</v>
      </c>
      <c r="K134" s="114">
        <v>6</v>
      </c>
      <c r="L134" s="114">
        <v>6</v>
      </c>
      <c r="M134" s="114">
        <v>6</v>
      </c>
      <c r="N134" s="114">
        <v>0</v>
      </c>
      <c r="O134" s="114">
        <v>0</v>
      </c>
      <c r="P134" s="114">
        <v>6</v>
      </c>
      <c r="Q134" s="114">
        <v>243</v>
      </c>
      <c r="R134" s="13" t="s">
        <v>25</v>
      </c>
      <c r="S134" s="13" t="s">
        <v>25</v>
      </c>
      <c r="T134" s="13" t="s">
        <v>25</v>
      </c>
    </row>
    <row r="135" spans="1:20" x14ac:dyDescent="0.3">
      <c r="A135" s="14">
        <v>43891.708333333336</v>
      </c>
      <c r="B135" s="13" t="s">
        <v>22</v>
      </c>
      <c r="C135" s="114">
        <v>12</v>
      </c>
      <c r="D135" s="13" t="s">
        <v>48</v>
      </c>
      <c r="E135" s="114">
        <v>4189277044</v>
      </c>
      <c r="F135" s="114">
        <v>1248366722</v>
      </c>
      <c r="G135" s="114">
        <v>3</v>
      </c>
      <c r="H135" s="114">
        <v>0</v>
      </c>
      <c r="I135" s="114">
        <v>3</v>
      </c>
      <c r="J135" s="114">
        <v>0</v>
      </c>
      <c r="K135" s="114">
        <v>3</v>
      </c>
      <c r="L135" s="114">
        <v>0</v>
      </c>
      <c r="M135" s="114">
        <v>0</v>
      </c>
      <c r="N135" s="114">
        <v>3</v>
      </c>
      <c r="O135" s="114">
        <v>0</v>
      </c>
      <c r="P135" s="114">
        <v>6</v>
      </c>
      <c r="Q135" s="114">
        <v>724</v>
      </c>
      <c r="R135" s="13" t="s">
        <v>25</v>
      </c>
      <c r="S135" s="13" t="s">
        <v>25</v>
      </c>
      <c r="T135" s="13" t="s">
        <v>25</v>
      </c>
    </row>
    <row r="136" spans="1:20" x14ac:dyDescent="0.3">
      <c r="A136" s="14">
        <v>43891.708333333336</v>
      </c>
      <c r="B136" s="13" t="s">
        <v>22</v>
      </c>
      <c r="C136" s="114">
        <v>7</v>
      </c>
      <c r="D136" s="13" t="s">
        <v>49</v>
      </c>
      <c r="E136" s="114">
        <v>4441149315</v>
      </c>
      <c r="F136" s="114">
        <v>89326992</v>
      </c>
      <c r="G136" s="114">
        <v>12</v>
      </c>
      <c r="H136" s="114">
        <v>1</v>
      </c>
      <c r="I136" s="114">
        <v>13</v>
      </c>
      <c r="J136" s="114">
        <v>8</v>
      </c>
      <c r="K136" s="114">
        <v>21</v>
      </c>
      <c r="L136" s="114">
        <v>-17</v>
      </c>
      <c r="M136" s="114">
        <v>-17</v>
      </c>
      <c r="N136" s="114">
        <v>4</v>
      </c>
      <c r="O136" s="114">
        <v>0</v>
      </c>
      <c r="P136" s="114">
        <v>25</v>
      </c>
      <c r="Q136" s="114">
        <v>121</v>
      </c>
      <c r="R136" s="13" t="s">
        <v>25</v>
      </c>
      <c r="S136" s="13" t="s">
        <v>25</v>
      </c>
      <c r="T136" s="13" t="s">
        <v>25</v>
      </c>
    </row>
    <row r="137" spans="1:20" x14ac:dyDescent="0.3">
      <c r="A137" s="14">
        <v>43891.708333333336</v>
      </c>
      <c r="B137" s="13" t="s">
        <v>22</v>
      </c>
      <c r="C137" s="114">
        <v>3</v>
      </c>
      <c r="D137" s="13" t="s">
        <v>50</v>
      </c>
      <c r="E137" s="114">
        <v>4546679409</v>
      </c>
      <c r="F137" s="114">
        <v>9190347404</v>
      </c>
      <c r="G137" s="114">
        <v>406</v>
      </c>
      <c r="H137" s="114">
        <v>106</v>
      </c>
      <c r="I137" s="114">
        <v>512</v>
      </c>
      <c r="J137" s="114">
        <v>375</v>
      </c>
      <c r="K137" s="114">
        <v>887</v>
      </c>
      <c r="L137" s="114">
        <v>335</v>
      </c>
      <c r="M137" s="114">
        <v>369</v>
      </c>
      <c r="N137" s="114">
        <v>73</v>
      </c>
      <c r="O137" s="114">
        <v>24</v>
      </c>
      <c r="P137" s="114">
        <v>984</v>
      </c>
      <c r="Q137" s="114">
        <v>6879</v>
      </c>
      <c r="R137" s="13" t="s">
        <v>25</v>
      </c>
      <c r="S137" s="13" t="s">
        <v>25</v>
      </c>
      <c r="T137" s="13" t="s">
        <v>25</v>
      </c>
    </row>
    <row r="138" spans="1:20" x14ac:dyDescent="0.3">
      <c r="A138" s="14">
        <v>43891.708333333336</v>
      </c>
      <c r="B138" s="13" t="s">
        <v>22</v>
      </c>
      <c r="C138" s="114">
        <v>11</v>
      </c>
      <c r="D138" s="13" t="s">
        <v>51</v>
      </c>
      <c r="E138" s="114">
        <v>4361675973</v>
      </c>
      <c r="F138" s="114">
        <v>135188753</v>
      </c>
      <c r="G138" s="114">
        <v>12</v>
      </c>
      <c r="H138" s="114">
        <v>5</v>
      </c>
      <c r="I138" s="114">
        <v>17</v>
      </c>
      <c r="J138" s="114">
        <v>8</v>
      </c>
      <c r="K138" s="114">
        <v>25</v>
      </c>
      <c r="L138" s="114">
        <v>14</v>
      </c>
      <c r="M138" s="114">
        <v>14</v>
      </c>
      <c r="N138" s="114">
        <v>0</v>
      </c>
      <c r="O138" s="114">
        <v>0</v>
      </c>
      <c r="P138" s="114">
        <v>25</v>
      </c>
      <c r="Q138" s="114">
        <v>101</v>
      </c>
      <c r="R138" s="13" t="s">
        <v>25</v>
      </c>
      <c r="S138" s="13" t="s">
        <v>25</v>
      </c>
      <c r="T138" s="13" t="s">
        <v>25</v>
      </c>
    </row>
    <row r="139" spans="1:20" x14ac:dyDescent="0.3">
      <c r="A139" s="14">
        <v>43891.708333333336</v>
      </c>
      <c r="B139" s="13" t="s">
        <v>22</v>
      </c>
      <c r="C139" s="114">
        <v>14</v>
      </c>
      <c r="D139" s="13" t="s">
        <v>52</v>
      </c>
      <c r="E139" s="114">
        <v>4155774754</v>
      </c>
      <c r="F139" s="114">
        <v>1465916051</v>
      </c>
      <c r="G139" s="114">
        <v>0</v>
      </c>
      <c r="H139" s="114">
        <v>0</v>
      </c>
      <c r="I139" s="114">
        <v>0</v>
      </c>
      <c r="J139" s="114">
        <v>0</v>
      </c>
      <c r="K139" s="114">
        <v>0</v>
      </c>
      <c r="L139" s="114">
        <v>0</v>
      </c>
      <c r="M139" s="114">
        <v>0</v>
      </c>
      <c r="N139" s="114">
        <v>0</v>
      </c>
      <c r="O139" s="114">
        <v>0</v>
      </c>
      <c r="P139" s="114">
        <v>0</v>
      </c>
      <c r="Q139" s="114">
        <v>6</v>
      </c>
      <c r="R139" s="13" t="s">
        <v>25</v>
      </c>
      <c r="S139" s="13" t="s">
        <v>25</v>
      </c>
      <c r="T139" s="13" t="s">
        <v>25</v>
      </c>
    </row>
    <row r="140" spans="1:20" x14ac:dyDescent="0.3">
      <c r="A140" s="14">
        <v>43891.708333333336</v>
      </c>
      <c r="B140" s="13" t="s">
        <v>22</v>
      </c>
      <c r="C140" s="114">
        <v>1</v>
      </c>
      <c r="D140" s="13" t="s">
        <v>53</v>
      </c>
      <c r="E140" s="114">
        <v>450732745</v>
      </c>
      <c r="F140" s="114">
        <v>7680687483</v>
      </c>
      <c r="G140" s="114">
        <v>11</v>
      </c>
      <c r="H140" s="114">
        <v>2</v>
      </c>
      <c r="I140" s="114">
        <v>13</v>
      </c>
      <c r="J140" s="114">
        <v>36</v>
      </c>
      <c r="K140" s="114">
        <v>49</v>
      </c>
      <c r="L140" s="114">
        <v>38</v>
      </c>
      <c r="M140" s="114">
        <v>38</v>
      </c>
      <c r="N140" s="114">
        <v>0</v>
      </c>
      <c r="O140" s="114">
        <v>0</v>
      </c>
      <c r="P140" s="114">
        <v>49</v>
      </c>
      <c r="Q140" s="114">
        <v>362</v>
      </c>
      <c r="R140" s="13" t="s">
        <v>25</v>
      </c>
      <c r="S140" s="13" t="s">
        <v>25</v>
      </c>
      <c r="T140" s="13" t="s">
        <v>25</v>
      </c>
    </row>
    <row r="141" spans="1:20" x14ac:dyDescent="0.3">
      <c r="A141" s="14">
        <v>43891.708333333336</v>
      </c>
      <c r="B141" s="13" t="s">
        <v>22</v>
      </c>
      <c r="C141" s="114">
        <v>16</v>
      </c>
      <c r="D141" s="13" t="s">
        <v>54</v>
      </c>
      <c r="E141" s="114">
        <v>4112559576</v>
      </c>
      <c r="F141" s="114">
        <v>1686736689</v>
      </c>
      <c r="G141" s="114">
        <v>1</v>
      </c>
      <c r="H141" s="114">
        <v>0</v>
      </c>
      <c r="I141" s="114">
        <v>1</v>
      </c>
      <c r="J141" s="114">
        <v>2</v>
      </c>
      <c r="K141" s="114">
        <v>3</v>
      </c>
      <c r="L141" s="114">
        <v>0</v>
      </c>
      <c r="M141" s="114">
        <v>0</v>
      </c>
      <c r="N141" s="114">
        <v>0</v>
      </c>
      <c r="O141" s="114">
        <v>0</v>
      </c>
      <c r="P141" s="114">
        <v>3</v>
      </c>
      <c r="Q141" s="114">
        <v>262</v>
      </c>
      <c r="R141" s="13" t="s">
        <v>25</v>
      </c>
      <c r="S141" s="13" t="s">
        <v>25</v>
      </c>
      <c r="T141" s="13" t="s">
        <v>25</v>
      </c>
    </row>
    <row r="142" spans="1:20" x14ac:dyDescent="0.3">
      <c r="A142" s="14">
        <v>43891.708333333336</v>
      </c>
      <c r="B142" s="13" t="s">
        <v>22</v>
      </c>
      <c r="C142" s="114">
        <v>20</v>
      </c>
      <c r="D142" s="13" t="s">
        <v>55</v>
      </c>
      <c r="E142" s="114">
        <v>3921531192</v>
      </c>
      <c r="F142" s="114">
        <v>9110616306</v>
      </c>
      <c r="G142" s="114">
        <v>0</v>
      </c>
      <c r="H142" s="114">
        <v>0</v>
      </c>
      <c r="I142" s="114">
        <v>0</v>
      </c>
      <c r="J142" s="114">
        <v>0</v>
      </c>
      <c r="K142" s="114">
        <v>0</v>
      </c>
      <c r="L142" s="114">
        <v>0</v>
      </c>
      <c r="M142" s="114">
        <v>0</v>
      </c>
      <c r="N142" s="114">
        <v>0</v>
      </c>
      <c r="O142" s="114">
        <v>0</v>
      </c>
      <c r="P142" s="114">
        <v>0</v>
      </c>
      <c r="Q142" s="114">
        <v>29</v>
      </c>
      <c r="R142" s="13" t="s">
        <v>25</v>
      </c>
      <c r="S142" s="13" t="s">
        <v>25</v>
      </c>
      <c r="T142" s="13" t="s">
        <v>25</v>
      </c>
    </row>
    <row r="143" spans="1:20" x14ac:dyDescent="0.3">
      <c r="A143" s="14">
        <v>43891.708333333336</v>
      </c>
      <c r="B143" s="13" t="s">
        <v>22</v>
      </c>
      <c r="C143" s="114">
        <v>19</v>
      </c>
      <c r="D143" s="13" t="s">
        <v>56</v>
      </c>
      <c r="E143" s="114">
        <v>3811569725</v>
      </c>
      <c r="F143" s="114">
        <v>133623567</v>
      </c>
      <c r="G143" s="114">
        <v>1</v>
      </c>
      <c r="H143" s="114">
        <v>0</v>
      </c>
      <c r="I143" s="114">
        <v>1</v>
      </c>
      <c r="J143" s="114">
        <v>6</v>
      </c>
      <c r="K143" s="114">
        <v>7</v>
      </c>
      <c r="L143" s="114">
        <v>5</v>
      </c>
      <c r="M143" s="114">
        <v>5</v>
      </c>
      <c r="N143" s="114">
        <v>2</v>
      </c>
      <c r="O143" s="114">
        <v>0</v>
      </c>
      <c r="P143" s="114">
        <v>9</v>
      </c>
      <c r="Q143" s="114">
        <v>291</v>
      </c>
      <c r="R143" s="13" t="s">
        <v>25</v>
      </c>
      <c r="S143" s="13" t="s">
        <v>25</v>
      </c>
      <c r="T143" s="13" t="s">
        <v>25</v>
      </c>
    </row>
    <row r="144" spans="1:20" x14ac:dyDescent="0.3">
      <c r="A144" s="14">
        <v>43891.708333333336</v>
      </c>
      <c r="B144" s="13" t="s">
        <v>22</v>
      </c>
      <c r="C144" s="114">
        <v>9</v>
      </c>
      <c r="D144" s="13" t="s">
        <v>57</v>
      </c>
      <c r="E144" s="114">
        <v>4376923077</v>
      </c>
      <c r="F144" s="114">
        <v>1125588885</v>
      </c>
      <c r="G144" s="114">
        <v>7</v>
      </c>
      <c r="H144" s="114">
        <v>0</v>
      </c>
      <c r="I144" s="114">
        <v>7</v>
      </c>
      <c r="J144" s="114">
        <v>5</v>
      </c>
      <c r="K144" s="114">
        <v>12</v>
      </c>
      <c r="L144" s="114">
        <v>2</v>
      </c>
      <c r="M144" s="114">
        <v>2</v>
      </c>
      <c r="N144" s="114">
        <v>1</v>
      </c>
      <c r="O144" s="114">
        <v>0</v>
      </c>
      <c r="P144" s="114">
        <v>13</v>
      </c>
      <c r="Q144" s="114">
        <v>572</v>
      </c>
      <c r="R144" s="13" t="s">
        <v>25</v>
      </c>
      <c r="S144" s="13" t="s">
        <v>25</v>
      </c>
      <c r="T144" s="13" t="s">
        <v>25</v>
      </c>
    </row>
    <row r="145" spans="1:20" x14ac:dyDescent="0.3">
      <c r="A145" s="14">
        <v>43891.708333333336</v>
      </c>
      <c r="B145" s="13" t="s">
        <v>22</v>
      </c>
      <c r="C145" s="114">
        <v>4</v>
      </c>
      <c r="D145" s="13" t="s">
        <v>58</v>
      </c>
      <c r="E145" s="114">
        <v>4606893511</v>
      </c>
      <c r="F145" s="114">
        <v>1112123097</v>
      </c>
      <c r="G145" s="114">
        <v>0</v>
      </c>
      <c r="H145" s="114">
        <v>0</v>
      </c>
      <c r="I145" s="114">
        <v>0</v>
      </c>
      <c r="J145" s="114">
        <v>0</v>
      </c>
      <c r="K145" s="114">
        <v>0</v>
      </c>
      <c r="L145" s="114">
        <v>0</v>
      </c>
      <c r="M145" s="114">
        <v>0</v>
      </c>
      <c r="N145" s="114">
        <v>0</v>
      </c>
      <c r="O145" s="114">
        <v>0</v>
      </c>
      <c r="P145" s="114">
        <v>0</v>
      </c>
      <c r="Q145" s="114">
        <v>122</v>
      </c>
      <c r="R145" s="13" t="s">
        <v>25</v>
      </c>
      <c r="S145" s="13" t="s">
        <v>25</v>
      </c>
      <c r="T145" s="13" t="s">
        <v>25</v>
      </c>
    </row>
    <row r="146" spans="1:20" x14ac:dyDescent="0.3">
      <c r="A146" s="14">
        <v>43891.708333333336</v>
      </c>
      <c r="B146" s="13" t="s">
        <v>22</v>
      </c>
      <c r="C146" s="114">
        <v>10</v>
      </c>
      <c r="D146" s="13" t="s">
        <v>59</v>
      </c>
      <c r="E146" s="114">
        <v>4310675841</v>
      </c>
      <c r="F146" s="114">
        <v>1238824698</v>
      </c>
      <c r="G146" s="114">
        <v>0</v>
      </c>
      <c r="H146" s="114">
        <v>0</v>
      </c>
      <c r="I146" s="114">
        <v>0</v>
      </c>
      <c r="J146" s="114">
        <v>2</v>
      </c>
      <c r="K146" s="114">
        <v>2</v>
      </c>
      <c r="L146" s="114">
        <v>2</v>
      </c>
      <c r="M146" s="114">
        <v>2</v>
      </c>
      <c r="N146" s="114">
        <v>0</v>
      </c>
      <c r="O146" s="114">
        <v>0</v>
      </c>
      <c r="P146" s="114">
        <v>2</v>
      </c>
      <c r="Q146" s="114">
        <v>35</v>
      </c>
      <c r="R146" s="13" t="s">
        <v>25</v>
      </c>
      <c r="S146" s="13" t="s">
        <v>25</v>
      </c>
      <c r="T146" s="13" t="s">
        <v>25</v>
      </c>
    </row>
    <row r="147" spans="1:20" x14ac:dyDescent="0.3">
      <c r="A147" s="14">
        <v>43891.708333333336</v>
      </c>
      <c r="B147" s="13" t="s">
        <v>22</v>
      </c>
      <c r="C147" s="114">
        <v>2</v>
      </c>
      <c r="D147" s="13" t="s">
        <v>60</v>
      </c>
      <c r="E147" s="114">
        <v>4573750286</v>
      </c>
      <c r="F147" s="114">
        <v>7320149366</v>
      </c>
      <c r="G147" s="114">
        <v>0</v>
      </c>
      <c r="H147" s="114">
        <v>0</v>
      </c>
      <c r="I147" s="114">
        <v>0</v>
      </c>
      <c r="J147" s="114">
        <v>0</v>
      </c>
      <c r="K147" s="114">
        <v>0</v>
      </c>
      <c r="L147" s="114">
        <v>0</v>
      </c>
      <c r="M147" s="114">
        <v>0</v>
      </c>
      <c r="N147" s="114">
        <v>0</v>
      </c>
      <c r="O147" s="114">
        <v>0</v>
      </c>
      <c r="P147" s="114">
        <v>0</v>
      </c>
      <c r="Q147" s="114">
        <v>10</v>
      </c>
      <c r="R147" s="13" t="s">
        <v>25</v>
      </c>
      <c r="S147" s="13" t="s">
        <v>25</v>
      </c>
      <c r="T147" s="13" t="s">
        <v>25</v>
      </c>
    </row>
    <row r="148" spans="1:20" x14ac:dyDescent="0.3">
      <c r="A148" s="14">
        <v>43891.708333333336</v>
      </c>
      <c r="B148" s="13" t="s">
        <v>22</v>
      </c>
      <c r="C148" s="114">
        <v>5</v>
      </c>
      <c r="D148" s="13" t="s">
        <v>61</v>
      </c>
      <c r="E148" s="114">
        <v>4543490485</v>
      </c>
      <c r="F148" s="114">
        <v>1233845213</v>
      </c>
      <c r="G148" s="114">
        <v>51</v>
      </c>
      <c r="H148" s="114">
        <v>13</v>
      </c>
      <c r="I148" s="114">
        <v>64</v>
      </c>
      <c r="J148" s="114">
        <v>197</v>
      </c>
      <c r="K148" s="114">
        <v>261</v>
      </c>
      <c r="L148" s="114">
        <v>72</v>
      </c>
      <c r="M148" s="114">
        <v>72</v>
      </c>
      <c r="N148" s="114">
        <v>0</v>
      </c>
      <c r="O148" s="114">
        <v>2</v>
      </c>
      <c r="P148" s="114">
        <v>263</v>
      </c>
      <c r="Q148" s="114">
        <v>9056</v>
      </c>
      <c r="R148" s="13" t="s">
        <v>25</v>
      </c>
      <c r="S148" s="13" t="s">
        <v>25</v>
      </c>
      <c r="T148" s="13" t="s">
        <v>25</v>
      </c>
    </row>
    <row r="149" spans="1:20" x14ac:dyDescent="0.3">
      <c r="A149" s="14">
        <v>43892.75</v>
      </c>
      <c r="B149" s="13" t="s">
        <v>22</v>
      </c>
      <c r="C149" s="114">
        <v>13</v>
      </c>
      <c r="D149" s="13" t="s">
        <v>42</v>
      </c>
      <c r="E149" s="114">
        <v>4235122196</v>
      </c>
      <c r="F149" s="114">
        <v>1339843823</v>
      </c>
      <c r="G149" s="114">
        <v>3</v>
      </c>
      <c r="H149" s="114">
        <v>0</v>
      </c>
      <c r="I149" s="114">
        <v>3</v>
      </c>
      <c r="J149" s="114">
        <v>2</v>
      </c>
      <c r="K149" s="114">
        <v>5</v>
      </c>
      <c r="L149" s="114">
        <v>0</v>
      </c>
      <c r="M149" s="114">
        <v>0</v>
      </c>
      <c r="N149" s="114">
        <v>0</v>
      </c>
      <c r="O149" s="114">
        <v>0</v>
      </c>
      <c r="P149" s="114">
        <v>5</v>
      </c>
      <c r="Q149" s="114">
        <v>52</v>
      </c>
      <c r="R149" s="13" t="s">
        <v>25</v>
      </c>
      <c r="S149" s="13" t="s">
        <v>25</v>
      </c>
      <c r="T149" s="13" t="s">
        <v>25</v>
      </c>
    </row>
    <row r="150" spans="1:20" x14ac:dyDescent="0.3">
      <c r="A150" s="14">
        <v>43892.75</v>
      </c>
      <c r="B150" s="13" t="s">
        <v>22</v>
      </c>
      <c r="C150" s="114">
        <v>17</v>
      </c>
      <c r="D150" s="13" t="s">
        <v>43</v>
      </c>
      <c r="E150" s="114">
        <v>4063947052</v>
      </c>
      <c r="F150" s="114">
        <v>1580514834</v>
      </c>
      <c r="G150" s="114">
        <v>0</v>
      </c>
      <c r="H150" s="114">
        <v>0</v>
      </c>
      <c r="I150" s="114">
        <v>0</v>
      </c>
      <c r="J150" s="114">
        <v>0</v>
      </c>
      <c r="K150" s="114">
        <v>0</v>
      </c>
      <c r="L150" s="114">
        <v>0</v>
      </c>
      <c r="M150" s="114">
        <v>0</v>
      </c>
      <c r="N150" s="114">
        <v>0</v>
      </c>
      <c r="O150" s="114">
        <v>0</v>
      </c>
      <c r="P150" s="114">
        <v>0</v>
      </c>
      <c r="Q150" s="114">
        <v>39</v>
      </c>
      <c r="R150" s="13" t="s">
        <v>25</v>
      </c>
      <c r="S150" s="13" t="s">
        <v>25</v>
      </c>
      <c r="T150" s="13" t="s">
        <v>25</v>
      </c>
    </row>
    <row r="151" spans="1:20" x14ac:dyDescent="0.3">
      <c r="A151" s="14">
        <v>43892.75</v>
      </c>
      <c r="B151" s="13" t="s">
        <v>22</v>
      </c>
      <c r="C151" s="114">
        <v>4</v>
      </c>
      <c r="D151" s="13" t="s">
        <v>44</v>
      </c>
      <c r="E151" s="114">
        <v>4649933453</v>
      </c>
      <c r="F151" s="114">
        <v>1135662422</v>
      </c>
      <c r="G151" s="114">
        <v>1</v>
      </c>
      <c r="H151" s="114">
        <v>0</v>
      </c>
      <c r="I151" s="114">
        <v>1</v>
      </c>
      <c r="J151" s="114">
        <v>0</v>
      </c>
      <c r="K151" s="114">
        <v>1</v>
      </c>
      <c r="L151" s="114">
        <v>0</v>
      </c>
      <c r="M151" s="114">
        <v>0</v>
      </c>
      <c r="N151" s="114">
        <v>0</v>
      </c>
      <c r="O151" s="114">
        <v>0</v>
      </c>
      <c r="P151" s="114">
        <v>1</v>
      </c>
      <c r="Q151" s="114">
        <v>20</v>
      </c>
      <c r="R151" s="13" t="s">
        <v>25</v>
      </c>
      <c r="S151" s="13" t="s">
        <v>25</v>
      </c>
      <c r="T151" s="13" t="s">
        <v>25</v>
      </c>
    </row>
    <row r="152" spans="1:20" x14ac:dyDescent="0.3">
      <c r="A152" s="14">
        <v>43892.75</v>
      </c>
      <c r="B152" s="13" t="s">
        <v>22</v>
      </c>
      <c r="C152" s="114">
        <v>18</v>
      </c>
      <c r="D152" s="13" t="s">
        <v>45</v>
      </c>
      <c r="E152" s="114">
        <v>3890597598</v>
      </c>
      <c r="F152" s="114">
        <v>1659440194</v>
      </c>
      <c r="G152" s="114">
        <v>0</v>
      </c>
      <c r="H152" s="114">
        <v>0</v>
      </c>
      <c r="I152" s="114">
        <v>0</v>
      </c>
      <c r="J152" s="114">
        <v>1</v>
      </c>
      <c r="K152" s="114">
        <v>1</v>
      </c>
      <c r="L152" s="114">
        <v>0</v>
      </c>
      <c r="M152" s="114">
        <v>0</v>
      </c>
      <c r="N152" s="114">
        <v>0</v>
      </c>
      <c r="O152" s="114">
        <v>0</v>
      </c>
      <c r="P152" s="114">
        <v>1</v>
      </c>
      <c r="Q152" s="114">
        <v>39</v>
      </c>
      <c r="R152" s="13" t="s">
        <v>25</v>
      </c>
      <c r="S152" s="13" t="s">
        <v>25</v>
      </c>
      <c r="T152" s="13" t="s">
        <v>25</v>
      </c>
    </row>
    <row r="153" spans="1:20" x14ac:dyDescent="0.3">
      <c r="A153" s="14">
        <v>43892.75</v>
      </c>
      <c r="B153" s="13" t="s">
        <v>22</v>
      </c>
      <c r="C153" s="114">
        <v>15</v>
      </c>
      <c r="D153" s="13" t="s">
        <v>46</v>
      </c>
      <c r="E153" s="114">
        <v>4083956555</v>
      </c>
      <c r="F153" s="114">
        <v>1425084984</v>
      </c>
      <c r="G153" s="114">
        <v>4</v>
      </c>
      <c r="H153" s="114">
        <v>0</v>
      </c>
      <c r="I153" s="114">
        <v>4</v>
      </c>
      <c r="J153" s="114">
        <v>13</v>
      </c>
      <c r="K153" s="114">
        <v>17</v>
      </c>
      <c r="L153" s="114">
        <v>0</v>
      </c>
      <c r="M153" s="114">
        <v>0</v>
      </c>
      <c r="N153" s="114">
        <v>0</v>
      </c>
      <c r="O153" s="114">
        <v>0</v>
      </c>
      <c r="P153" s="114">
        <v>17</v>
      </c>
      <c r="Q153" s="114">
        <v>373</v>
      </c>
      <c r="R153" s="13" t="s">
        <v>25</v>
      </c>
      <c r="S153" s="13" t="s">
        <v>25</v>
      </c>
      <c r="T153" s="13" t="s">
        <v>25</v>
      </c>
    </row>
    <row r="154" spans="1:20" x14ac:dyDescent="0.3">
      <c r="A154" s="14">
        <v>43892.75</v>
      </c>
      <c r="B154" s="13" t="s">
        <v>22</v>
      </c>
      <c r="C154" s="114">
        <v>8</v>
      </c>
      <c r="D154" s="13" t="s">
        <v>96</v>
      </c>
      <c r="E154" s="114">
        <v>4449436681</v>
      </c>
      <c r="F154" s="114">
        <v>113417208</v>
      </c>
      <c r="G154" s="114">
        <v>148</v>
      </c>
      <c r="H154" s="114">
        <v>16</v>
      </c>
      <c r="I154" s="114">
        <v>164</v>
      </c>
      <c r="J154" s="114">
        <v>160</v>
      </c>
      <c r="K154" s="114">
        <v>324</v>
      </c>
      <c r="L154" s="114">
        <v>47</v>
      </c>
      <c r="M154" s="114">
        <v>50</v>
      </c>
      <c r="N154" s="114">
        <v>0</v>
      </c>
      <c r="O154" s="114">
        <v>11</v>
      </c>
      <c r="P154" s="114">
        <v>335</v>
      </c>
      <c r="Q154" s="114">
        <v>1973</v>
      </c>
      <c r="R154" s="13" t="s">
        <v>25</v>
      </c>
      <c r="S154" s="13" t="s">
        <v>25</v>
      </c>
      <c r="T154" s="13" t="s">
        <v>25</v>
      </c>
    </row>
    <row r="155" spans="1:20" x14ac:dyDescent="0.3">
      <c r="A155" s="14">
        <v>43892.75</v>
      </c>
      <c r="B155" s="13" t="s">
        <v>22</v>
      </c>
      <c r="C155" s="114">
        <v>6</v>
      </c>
      <c r="D155" s="13" t="s">
        <v>47</v>
      </c>
      <c r="E155" s="114">
        <v>456494354</v>
      </c>
      <c r="F155" s="114">
        <v>1376813649</v>
      </c>
      <c r="G155" s="114">
        <v>0</v>
      </c>
      <c r="H155" s="114">
        <v>0</v>
      </c>
      <c r="I155" s="114">
        <v>0</v>
      </c>
      <c r="J155" s="114">
        <v>9</v>
      </c>
      <c r="K155" s="114">
        <v>9</v>
      </c>
      <c r="L155" s="114">
        <v>3</v>
      </c>
      <c r="M155" s="114">
        <v>3</v>
      </c>
      <c r="N155" s="114">
        <v>0</v>
      </c>
      <c r="O155" s="114">
        <v>0</v>
      </c>
      <c r="P155" s="114">
        <v>9</v>
      </c>
      <c r="Q155" s="114">
        <v>269</v>
      </c>
      <c r="R155" s="13" t="s">
        <v>25</v>
      </c>
      <c r="S155" s="13" t="s">
        <v>25</v>
      </c>
      <c r="T155" s="13" t="s">
        <v>25</v>
      </c>
    </row>
    <row r="156" spans="1:20" x14ac:dyDescent="0.3">
      <c r="A156" s="14">
        <v>43892.75</v>
      </c>
      <c r="B156" s="13" t="s">
        <v>22</v>
      </c>
      <c r="C156" s="114">
        <v>12</v>
      </c>
      <c r="D156" s="13" t="s">
        <v>48</v>
      </c>
      <c r="E156" s="114">
        <v>4189277044</v>
      </c>
      <c r="F156" s="114">
        <v>1248366722</v>
      </c>
      <c r="G156" s="114">
        <v>3</v>
      </c>
      <c r="H156" s="114">
        <v>0</v>
      </c>
      <c r="I156" s="114">
        <v>3</v>
      </c>
      <c r="J156" s="114">
        <v>1</v>
      </c>
      <c r="K156" s="114">
        <v>4</v>
      </c>
      <c r="L156" s="114">
        <v>1</v>
      </c>
      <c r="M156" s="114">
        <v>1</v>
      </c>
      <c r="N156" s="114">
        <v>3</v>
      </c>
      <c r="O156" s="114">
        <v>0</v>
      </c>
      <c r="P156" s="114">
        <v>7</v>
      </c>
      <c r="Q156" s="114">
        <v>773</v>
      </c>
      <c r="R156" s="13" t="s">
        <v>25</v>
      </c>
      <c r="S156" s="13" t="s">
        <v>25</v>
      </c>
      <c r="T156" s="13" t="s">
        <v>25</v>
      </c>
    </row>
    <row r="157" spans="1:20" x14ac:dyDescent="0.3">
      <c r="A157" s="14">
        <v>43892.75</v>
      </c>
      <c r="B157" s="13" t="s">
        <v>22</v>
      </c>
      <c r="C157" s="114">
        <v>7</v>
      </c>
      <c r="D157" s="13" t="s">
        <v>49</v>
      </c>
      <c r="E157" s="114">
        <v>4441149315</v>
      </c>
      <c r="F157" s="114">
        <v>89326992</v>
      </c>
      <c r="G157" s="114">
        <v>12</v>
      </c>
      <c r="H157" s="114">
        <v>1</v>
      </c>
      <c r="I157" s="114">
        <v>13</v>
      </c>
      <c r="J157" s="114">
        <v>5</v>
      </c>
      <c r="K157" s="114">
        <v>18</v>
      </c>
      <c r="L157" s="114">
        <v>-3</v>
      </c>
      <c r="M157" s="114">
        <v>-3</v>
      </c>
      <c r="N157" s="114">
        <v>4</v>
      </c>
      <c r="O157" s="114">
        <v>0</v>
      </c>
      <c r="P157" s="114">
        <v>22</v>
      </c>
      <c r="Q157" s="114">
        <v>121</v>
      </c>
      <c r="R157" s="13" t="s">
        <v>25</v>
      </c>
      <c r="S157" s="13" t="s">
        <v>25</v>
      </c>
      <c r="T157" s="13" t="s">
        <v>25</v>
      </c>
    </row>
    <row r="158" spans="1:20" x14ac:dyDescent="0.3">
      <c r="A158" s="14">
        <v>43892.75</v>
      </c>
      <c r="B158" s="13" t="s">
        <v>22</v>
      </c>
      <c r="C158" s="114">
        <v>3</v>
      </c>
      <c r="D158" s="13" t="s">
        <v>50</v>
      </c>
      <c r="E158" s="114">
        <v>4546679409</v>
      </c>
      <c r="F158" s="114">
        <v>9190347404</v>
      </c>
      <c r="G158" s="114">
        <v>478</v>
      </c>
      <c r="H158" s="114">
        <v>127</v>
      </c>
      <c r="I158" s="114">
        <v>605</v>
      </c>
      <c r="J158" s="114">
        <v>472</v>
      </c>
      <c r="K158" s="114">
        <v>1077</v>
      </c>
      <c r="L158" s="114">
        <v>190</v>
      </c>
      <c r="M158" s="114">
        <v>270</v>
      </c>
      <c r="N158" s="114">
        <v>139</v>
      </c>
      <c r="O158" s="114">
        <v>38</v>
      </c>
      <c r="P158" s="114">
        <v>1254</v>
      </c>
      <c r="Q158" s="114">
        <v>7925</v>
      </c>
      <c r="R158" s="13" t="s">
        <v>25</v>
      </c>
      <c r="S158" s="13" t="s">
        <v>25</v>
      </c>
      <c r="T158" s="13" t="s">
        <v>25</v>
      </c>
    </row>
    <row r="159" spans="1:20" x14ac:dyDescent="0.3">
      <c r="A159" s="14">
        <v>43892.75</v>
      </c>
      <c r="B159" s="13" t="s">
        <v>22</v>
      </c>
      <c r="C159" s="114">
        <v>11</v>
      </c>
      <c r="D159" s="13" t="s">
        <v>51</v>
      </c>
      <c r="E159" s="114">
        <v>4361675973</v>
      </c>
      <c r="F159" s="114">
        <v>135188753</v>
      </c>
      <c r="G159" s="114">
        <v>17</v>
      </c>
      <c r="H159" s="114">
        <v>6</v>
      </c>
      <c r="I159" s="114">
        <v>23</v>
      </c>
      <c r="J159" s="114">
        <v>11</v>
      </c>
      <c r="K159" s="114">
        <v>34</v>
      </c>
      <c r="L159" s="114">
        <v>9</v>
      </c>
      <c r="M159" s="114">
        <v>10</v>
      </c>
      <c r="N159" s="114">
        <v>0</v>
      </c>
      <c r="O159" s="114">
        <v>1</v>
      </c>
      <c r="P159" s="114">
        <v>35</v>
      </c>
      <c r="Q159" s="114">
        <v>137</v>
      </c>
      <c r="R159" s="13" t="s">
        <v>25</v>
      </c>
      <c r="S159" s="13" t="s">
        <v>25</v>
      </c>
      <c r="T159" s="13" t="s">
        <v>25</v>
      </c>
    </row>
    <row r="160" spans="1:20" x14ac:dyDescent="0.3">
      <c r="A160" s="14">
        <v>43892.75</v>
      </c>
      <c r="B160" s="13" t="s">
        <v>22</v>
      </c>
      <c r="C160" s="114">
        <v>14</v>
      </c>
      <c r="D160" s="13" t="s">
        <v>52</v>
      </c>
      <c r="E160" s="114">
        <v>4155774754</v>
      </c>
      <c r="F160" s="114">
        <v>1465916051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0</v>
      </c>
      <c r="M160" s="114">
        <v>0</v>
      </c>
      <c r="N160" s="114">
        <v>0</v>
      </c>
      <c r="O160" s="114">
        <v>0</v>
      </c>
      <c r="P160" s="114">
        <v>0</v>
      </c>
      <c r="Q160" s="114">
        <v>13</v>
      </c>
      <c r="R160" s="13" t="s">
        <v>25</v>
      </c>
      <c r="S160" s="13" t="s">
        <v>25</v>
      </c>
      <c r="T160" s="13" t="s">
        <v>25</v>
      </c>
    </row>
    <row r="161" spans="1:20" x14ac:dyDescent="0.3">
      <c r="A161" s="14">
        <v>43892.75</v>
      </c>
      <c r="B161" s="13" t="s">
        <v>22</v>
      </c>
      <c r="C161" s="114">
        <v>1</v>
      </c>
      <c r="D161" s="13" t="s">
        <v>53</v>
      </c>
      <c r="E161" s="114">
        <v>450732745</v>
      </c>
      <c r="F161" s="114">
        <v>7680687483</v>
      </c>
      <c r="G161" s="114">
        <v>12</v>
      </c>
      <c r="H161" s="114">
        <v>2</v>
      </c>
      <c r="I161" s="114">
        <v>14</v>
      </c>
      <c r="J161" s="114">
        <v>37</v>
      </c>
      <c r="K161" s="114">
        <v>51</v>
      </c>
      <c r="L161" s="114">
        <v>2</v>
      </c>
      <c r="M161" s="114">
        <v>2</v>
      </c>
      <c r="N161" s="114">
        <v>0</v>
      </c>
      <c r="O161" s="114">
        <v>0</v>
      </c>
      <c r="P161" s="114">
        <v>51</v>
      </c>
      <c r="Q161" s="114">
        <v>434</v>
      </c>
      <c r="R161" s="13" t="s">
        <v>25</v>
      </c>
      <c r="S161" s="13" t="s">
        <v>25</v>
      </c>
      <c r="T161" s="13" t="s">
        <v>25</v>
      </c>
    </row>
    <row r="162" spans="1:20" x14ac:dyDescent="0.3">
      <c r="A162" s="14">
        <v>43892.75</v>
      </c>
      <c r="B162" s="13" t="s">
        <v>22</v>
      </c>
      <c r="C162" s="114">
        <v>16</v>
      </c>
      <c r="D162" s="13" t="s">
        <v>54</v>
      </c>
      <c r="E162" s="114">
        <v>4112559576</v>
      </c>
      <c r="F162" s="114">
        <v>1686736689</v>
      </c>
      <c r="G162" s="114">
        <v>2</v>
      </c>
      <c r="H162" s="114">
        <v>0</v>
      </c>
      <c r="I162" s="114">
        <v>2</v>
      </c>
      <c r="J162" s="114">
        <v>2</v>
      </c>
      <c r="K162" s="114">
        <v>4</v>
      </c>
      <c r="L162" s="114">
        <v>1</v>
      </c>
      <c r="M162" s="114">
        <v>1</v>
      </c>
      <c r="N162" s="114">
        <v>0</v>
      </c>
      <c r="O162" s="114">
        <v>0</v>
      </c>
      <c r="P162" s="114">
        <v>4</v>
      </c>
      <c r="Q162" s="114">
        <v>278</v>
      </c>
      <c r="R162" s="13" t="s">
        <v>25</v>
      </c>
      <c r="S162" s="13" t="s">
        <v>25</v>
      </c>
      <c r="T162" s="13" t="s">
        <v>25</v>
      </c>
    </row>
    <row r="163" spans="1:20" x14ac:dyDescent="0.3">
      <c r="A163" s="14">
        <v>43892.75</v>
      </c>
      <c r="B163" s="13" t="s">
        <v>22</v>
      </c>
      <c r="C163" s="114">
        <v>20</v>
      </c>
      <c r="D163" s="13" t="s">
        <v>55</v>
      </c>
      <c r="E163" s="114">
        <v>3921531192</v>
      </c>
      <c r="F163" s="114">
        <v>9110616306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0</v>
      </c>
      <c r="M163" s="114">
        <v>0</v>
      </c>
      <c r="N163" s="114">
        <v>0</v>
      </c>
      <c r="O163" s="114">
        <v>0</v>
      </c>
      <c r="P163" s="114">
        <v>0</v>
      </c>
      <c r="Q163" s="114">
        <v>29</v>
      </c>
      <c r="R163" s="13" t="s">
        <v>25</v>
      </c>
      <c r="S163" s="13" t="s">
        <v>25</v>
      </c>
      <c r="T163" s="13" t="s">
        <v>25</v>
      </c>
    </row>
    <row r="164" spans="1:20" x14ac:dyDescent="0.3">
      <c r="A164" s="14">
        <v>43892.75</v>
      </c>
      <c r="B164" s="13" t="s">
        <v>22</v>
      </c>
      <c r="C164" s="114">
        <v>19</v>
      </c>
      <c r="D164" s="13" t="s">
        <v>56</v>
      </c>
      <c r="E164" s="114">
        <v>3811569725</v>
      </c>
      <c r="F164" s="114">
        <v>133623567</v>
      </c>
      <c r="G164" s="114">
        <v>2</v>
      </c>
      <c r="H164" s="114">
        <v>0</v>
      </c>
      <c r="I164" s="114">
        <v>2</v>
      </c>
      <c r="J164" s="114">
        <v>3</v>
      </c>
      <c r="K164" s="114">
        <v>5</v>
      </c>
      <c r="L164" s="114">
        <v>-2</v>
      </c>
      <c r="M164" s="114">
        <v>-2</v>
      </c>
      <c r="N164" s="114">
        <v>2</v>
      </c>
      <c r="O164" s="114">
        <v>0</v>
      </c>
      <c r="P164" s="114">
        <v>7</v>
      </c>
      <c r="Q164" s="114">
        <v>307</v>
      </c>
      <c r="R164" s="13" t="s">
        <v>25</v>
      </c>
      <c r="S164" s="13" t="s">
        <v>25</v>
      </c>
      <c r="T164" s="13" t="s">
        <v>25</v>
      </c>
    </row>
    <row r="165" spans="1:20" x14ac:dyDescent="0.3">
      <c r="A165" s="14">
        <v>43892.75</v>
      </c>
      <c r="B165" s="13" t="s">
        <v>22</v>
      </c>
      <c r="C165" s="114">
        <v>9</v>
      </c>
      <c r="D165" s="13" t="s">
        <v>57</v>
      </c>
      <c r="E165" s="114">
        <v>4376923077</v>
      </c>
      <c r="F165" s="114">
        <v>1125588885</v>
      </c>
      <c r="G165" s="114">
        <v>7</v>
      </c>
      <c r="H165" s="114">
        <v>0</v>
      </c>
      <c r="I165" s="114">
        <v>7</v>
      </c>
      <c r="J165" s="114">
        <v>5</v>
      </c>
      <c r="K165" s="114">
        <v>12</v>
      </c>
      <c r="L165" s="114">
        <v>0</v>
      </c>
      <c r="M165" s="114">
        <v>0</v>
      </c>
      <c r="N165" s="114">
        <v>1</v>
      </c>
      <c r="O165" s="114">
        <v>0</v>
      </c>
      <c r="P165" s="114">
        <v>13</v>
      </c>
      <c r="Q165" s="114">
        <v>613</v>
      </c>
      <c r="R165" s="13" t="s">
        <v>25</v>
      </c>
      <c r="S165" s="13" t="s">
        <v>25</v>
      </c>
      <c r="T165" s="13" t="s">
        <v>25</v>
      </c>
    </row>
    <row r="166" spans="1:20" x14ac:dyDescent="0.3">
      <c r="A166" s="14">
        <v>43892.75</v>
      </c>
      <c r="B166" s="13" t="s">
        <v>22</v>
      </c>
      <c r="C166" s="114">
        <v>4</v>
      </c>
      <c r="D166" s="13" t="s">
        <v>58</v>
      </c>
      <c r="E166" s="114">
        <v>4606893511</v>
      </c>
      <c r="F166" s="114">
        <v>1112123097</v>
      </c>
      <c r="G166" s="114">
        <v>0</v>
      </c>
      <c r="H166" s="114">
        <v>0</v>
      </c>
      <c r="I166" s="114">
        <v>0</v>
      </c>
      <c r="J166" s="114">
        <v>0</v>
      </c>
      <c r="K166" s="114">
        <v>0</v>
      </c>
      <c r="L166" s="114">
        <v>0</v>
      </c>
      <c r="M166" s="114">
        <v>0</v>
      </c>
      <c r="N166" s="114">
        <v>0</v>
      </c>
      <c r="O166" s="114">
        <v>0</v>
      </c>
      <c r="P166" s="114">
        <v>0</v>
      </c>
      <c r="Q166" s="114">
        <v>122</v>
      </c>
      <c r="R166" s="13" t="s">
        <v>25</v>
      </c>
      <c r="S166" s="13" t="s">
        <v>25</v>
      </c>
      <c r="T166" s="13" t="s">
        <v>25</v>
      </c>
    </row>
    <row r="167" spans="1:20" x14ac:dyDescent="0.3">
      <c r="A167" s="14">
        <v>43892.75</v>
      </c>
      <c r="B167" s="13" t="s">
        <v>22</v>
      </c>
      <c r="C167" s="114">
        <v>10</v>
      </c>
      <c r="D167" s="13" t="s">
        <v>59</v>
      </c>
      <c r="E167" s="114">
        <v>4310675841</v>
      </c>
      <c r="F167" s="114">
        <v>1238824698</v>
      </c>
      <c r="G167" s="114">
        <v>0</v>
      </c>
      <c r="H167" s="114">
        <v>0</v>
      </c>
      <c r="I167" s="114">
        <v>0</v>
      </c>
      <c r="J167" s="114">
        <v>2</v>
      </c>
      <c r="K167" s="114">
        <v>2</v>
      </c>
      <c r="L167" s="114">
        <v>0</v>
      </c>
      <c r="M167" s="114">
        <v>0</v>
      </c>
      <c r="N167" s="114">
        <v>0</v>
      </c>
      <c r="O167" s="114">
        <v>0</v>
      </c>
      <c r="P167" s="114">
        <v>2</v>
      </c>
      <c r="Q167" s="114">
        <v>35</v>
      </c>
      <c r="R167" s="13" t="s">
        <v>25</v>
      </c>
      <c r="S167" s="13" t="s">
        <v>25</v>
      </c>
      <c r="T167" s="13" t="s">
        <v>25</v>
      </c>
    </row>
    <row r="168" spans="1:20" x14ac:dyDescent="0.3">
      <c r="A168" s="14">
        <v>43892.75</v>
      </c>
      <c r="B168" s="13" t="s">
        <v>22</v>
      </c>
      <c r="C168" s="114">
        <v>2</v>
      </c>
      <c r="D168" s="13" t="s">
        <v>60</v>
      </c>
      <c r="E168" s="114">
        <v>4573750286</v>
      </c>
      <c r="F168" s="114">
        <v>7320149366</v>
      </c>
      <c r="G168" s="114">
        <v>0</v>
      </c>
      <c r="H168" s="114">
        <v>0</v>
      </c>
      <c r="I168" s="114">
        <v>0</v>
      </c>
      <c r="J168" s="114">
        <v>0</v>
      </c>
      <c r="K168" s="114">
        <v>0</v>
      </c>
      <c r="L168" s="114">
        <v>0</v>
      </c>
      <c r="M168" s="114">
        <v>0</v>
      </c>
      <c r="N168" s="114">
        <v>0</v>
      </c>
      <c r="O168" s="114">
        <v>0</v>
      </c>
      <c r="P168" s="114">
        <v>0</v>
      </c>
      <c r="Q168" s="114">
        <v>11</v>
      </c>
      <c r="R168" s="13" t="s">
        <v>25</v>
      </c>
      <c r="S168" s="13" t="s">
        <v>25</v>
      </c>
      <c r="T168" s="13" t="s">
        <v>25</v>
      </c>
    </row>
    <row r="169" spans="1:20" x14ac:dyDescent="0.3">
      <c r="A169" s="14">
        <v>43892.75</v>
      </c>
      <c r="B169" s="13" t="s">
        <v>22</v>
      </c>
      <c r="C169" s="114">
        <v>5</v>
      </c>
      <c r="D169" s="13" t="s">
        <v>61</v>
      </c>
      <c r="E169" s="114">
        <v>4543490485</v>
      </c>
      <c r="F169" s="114">
        <v>1233845213</v>
      </c>
      <c r="G169" s="114">
        <v>53</v>
      </c>
      <c r="H169" s="114">
        <v>14</v>
      </c>
      <c r="I169" s="114">
        <v>67</v>
      </c>
      <c r="J169" s="114">
        <v>204</v>
      </c>
      <c r="K169" s="114">
        <v>271</v>
      </c>
      <c r="L169" s="114">
        <v>10</v>
      </c>
      <c r="M169" s="114">
        <v>10</v>
      </c>
      <c r="N169" s="114">
        <v>0</v>
      </c>
      <c r="O169" s="114">
        <v>2</v>
      </c>
      <c r="P169" s="114">
        <v>273</v>
      </c>
      <c r="Q169" s="114">
        <v>9782</v>
      </c>
      <c r="R169" s="13" t="s">
        <v>25</v>
      </c>
      <c r="S169" s="13" t="s">
        <v>25</v>
      </c>
      <c r="T169" s="13" t="s">
        <v>25</v>
      </c>
    </row>
    <row r="170" spans="1:20" x14ac:dyDescent="0.3">
      <c r="A170" s="14">
        <v>43893.75</v>
      </c>
      <c r="B170" s="13" t="s">
        <v>22</v>
      </c>
      <c r="C170" s="114">
        <v>13</v>
      </c>
      <c r="D170" s="13" t="s">
        <v>42</v>
      </c>
      <c r="E170" s="114">
        <v>4235122196</v>
      </c>
      <c r="F170" s="114">
        <v>1339843823</v>
      </c>
      <c r="G170" s="114">
        <v>5</v>
      </c>
      <c r="H170" s="114">
        <v>0</v>
      </c>
      <c r="I170" s="114">
        <v>5</v>
      </c>
      <c r="J170" s="114">
        <v>1</v>
      </c>
      <c r="K170" s="114">
        <v>6</v>
      </c>
      <c r="L170" s="114">
        <v>1</v>
      </c>
      <c r="M170" s="114">
        <v>1</v>
      </c>
      <c r="N170" s="114">
        <v>0</v>
      </c>
      <c r="O170" s="114">
        <v>0</v>
      </c>
      <c r="P170" s="114">
        <v>6</v>
      </c>
      <c r="Q170" s="114">
        <v>52</v>
      </c>
      <c r="R170" s="13" t="s">
        <v>25</v>
      </c>
      <c r="S170" s="13" t="s">
        <v>25</v>
      </c>
      <c r="T170" s="13" t="s">
        <v>25</v>
      </c>
    </row>
    <row r="171" spans="1:20" x14ac:dyDescent="0.3">
      <c r="A171" s="14">
        <v>43893.75</v>
      </c>
      <c r="B171" s="13" t="s">
        <v>22</v>
      </c>
      <c r="C171" s="114">
        <v>17</v>
      </c>
      <c r="D171" s="13" t="s">
        <v>43</v>
      </c>
      <c r="E171" s="114">
        <v>4063947052</v>
      </c>
      <c r="F171" s="114">
        <v>1580514834</v>
      </c>
      <c r="G171" s="114">
        <v>0</v>
      </c>
      <c r="H171" s="114">
        <v>0</v>
      </c>
      <c r="I171" s="114">
        <v>0</v>
      </c>
      <c r="J171" s="114">
        <v>1</v>
      </c>
      <c r="K171" s="114">
        <v>1</v>
      </c>
      <c r="L171" s="114">
        <v>1</v>
      </c>
      <c r="M171" s="114">
        <v>1</v>
      </c>
      <c r="N171" s="114">
        <v>0</v>
      </c>
      <c r="O171" s="114">
        <v>0</v>
      </c>
      <c r="P171" s="114">
        <v>1</v>
      </c>
      <c r="Q171" s="114">
        <v>42</v>
      </c>
      <c r="R171" s="13" t="s">
        <v>25</v>
      </c>
      <c r="S171" s="13" t="s">
        <v>25</v>
      </c>
      <c r="T171" s="13" t="s">
        <v>25</v>
      </c>
    </row>
    <row r="172" spans="1:20" x14ac:dyDescent="0.3">
      <c r="A172" s="14">
        <v>43893.75</v>
      </c>
      <c r="B172" s="13" t="s">
        <v>22</v>
      </c>
      <c r="C172" s="114">
        <v>4</v>
      </c>
      <c r="D172" s="13" t="s">
        <v>44</v>
      </c>
      <c r="E172" s="114">
        <v>4649933453</v>
      </c>
      <c r="F172" s="114">
        <v>1135662422</v>
      </c>
      <c r="G172" s="114">
        <v>1</v>
      </c>
      <c r="H172" s="114">
        <v>0</v>
      </c>
      <c r="I172" s="114">
        <v>1</v>
      </c>
      <c r="J172" s="114">
        <v>0</v>
      </c>
      <c r="K172" s="114">
        <v>1</v>
      </c>
      <c r="L172" s="114">
        <v>0</v>
      </c>
      <c r="M172" s="114">
        <v>0</v>
      </c>
      <c r="N172" s="114">
        <v>0</v>
      </c>
      <c r="O172" s="114">
        <v>0</v>
      </c>
      <c r="P172" s="114">
        <v>1</v>
      </c>
      <c r="Q172" s="114">
        <v>20</v>
      </c>
      <c r="R172" s="13" t="s">
        <v>25</v>
      </c>
      <c r="S172" s="13" t="s">
        <v>25</v>
      </c>
      <c r="T172" s="13" t="s">
        <v>25</v>
      </c>
    </row>
    <row r="173" spans="1:20" x14ac:dyDescent="0.3">
      <c r="A173" s="14">
        <v>43893.75</v>
      </c>
      <c r="B173" s="13" t="s">
        <v>22</v>
      </c>
      <c r="C173" s="114">
        <v>18</v>
      </c>
      <c r="D173" s="13" t="s">
        <v>45</v>
      </c>
      <c r="E173" s="114">
        <v>3890597598</v>
      </c>
      <c r="F173" s="114">
        <v>1659440194</v>
      </c>
      <c r="G173" s="114">
        <v>0</v>
      </c>
      <c r="H173" s="114">
        <v>0</v>
      </c>
      <c r="I173" s="114">
        <v>0</v>
      </c>
      <c r="J173" s="114">
        <v>1</v>
      </c>
      <c r="K173" s="114">
        <v>1</v>
      </c>
      <c r="L173" s="114">
        <v>0</v>
      </c>
      <c r="M173" s="114">
        <v>0</v>
      </c>
      <c r="N173" s="114">
        <v>0</v>
      </c>
      <c r="O173" s="114">
        <v>0</v>
      </c>
      <c r="P173" s="114">
        <v>1</v>
      </c>
      <c r="Q173" s="114">
        <v>39</v>
      </c>
      <c r="R173" s="13" t="s">
        <v>25</v>
      </c>
      <c r="S173" s="13" t="s">
        <v>25</v>
      </c>
      <c r="T173" s="13" t="s">
        <v>25</v>
      </c>
    </row>
    <row r="174" spans="1:20" x14ac:dyDescent="0.3">
      <c r="A174" s="14">
        <v>43893.75</v>
      </c>
      <c r="B174" s="13" t="s">
        <v>22</v>
      </c>
      <c r="C174" s="114">
        <v>15</v>
      </c>
      <c r="D174" s="13" t="s">
        <v>46</v>
      </c>
      <c r="E174" s="114">
        <v>4083956555</v>
      </c>
      <c r="F174" s="114">
        <v>1425084984</v>
      </c>
      <c r="G174" s="114">
        <v>11</v>
      </c>
      <c r="H174" s="114">
        <v>0</v>
      </c>
      <c r="I174" s="114">
        <v>11</v>
      </c>
      <c r="J174" s="114">
        <v>19</v>
      </c>
      <c r="K174" s="114">
        <v>30</v>
      </c>
      <c r="L174" s="114">
        <v>13</v>
      </c>
      <c r="M174" s="114">
        <v>13</v>
      </c>
      <c r="N174" s="114">
        <v>0</v>
      </c>
      <c r="O174" s="114">
        <v>0</v>
      </c>
      <c r="P174" s="114">
        <v>30</v>
      </c>
      <c r="Q174" s="114">
        <v>405</v>
      </c>
      <c r="R174" s="13" t="s">
        <v>25</v>
      </c>
      <c r="S174" s="13" t="s">
        <v>25</v>
      </c>
      <c r="T174" s="13" t="s">
        <v>25</v>
      </c>
    </row>
    <row r="175" spans="1:20" x14ac:dyDescent="0.3">
      <c r="A175" s="14">
        <v>43893.75</v>
      </c>
      <c r="B175" s="13" t="s">
        <v>22</v>
      </c>
      <c r="C175" s="114">
        <v>8</v>
      </c>
      <c r="D175" s="13" t="s">
        <v>96</v>
      </c>
      <c r="E175" s="114">
        <v>4449436681</v>
      </c>
      <c r="F175" s="114">
        <v>113417208</v>
      </c>
      <c r="G175" s="114">
        <v>187</v>
      </c>
      <c r="H175" s="114">
        <v>24</v>
      </c>
      <c r="I175" s="114">
        <v>211</v>
      </c>
      <c r="J175" s="114">
        <v>187</v>
      </c>
      <c r="K175" s="114">
        <v>398</v>
      </c>
      <c r="L175" s="114">
        <v>74</v>
      </c>
      <c r="M175" s="114">
        <v>85</v>
      </c>
      <c r="N175" s="114">
        <v>4</v>
      </c>
      <c r="O175" s="114">
        <v>18</v>
      </c>
      <c r="P175" s="114">
        <v>420</v>
      </c>
      <c r="Q175" s="114">
        <v>2012</v>
      </c>
      <c r="R175" s="13" t="s">
        <v>25</v>
      </c>
      <c r="S175" s="13" t="s">
        <v>25</v>
      </c>
      <c r="T175" s="13" t="s">
        <v>25</v>
      </c>
    </row>
    <row r="176" spans="1:20" x14ac:dyDescent="0.3">
      <c r="A176" s="14">
        <v>43893.75</v>
      </c>
      <c r="B176" s="13" t="s">
        <v>22</v>
      </c>
      <c r="C176" s="114">
        <v>6</v>
      </c>
      <c r="D176" s="13" t="s">
        <v>47</v>
      </c>
      <c r="E176" s="114">
        <v>456494354</v>
      </c>
      <c r="F176" s="114">
        <v>1376813649</v>
      </c>
      <c r="G176" s="114">
        <v>1</v>
      </c>
      <c r="H176" s="114">
        <v>0</v>
      </c>
      <c r="I176" s="114">
        <v>1</v>
      </c>
      <c r="J176" s="114">
        <v>12</v>
      </c>
      <c r="K176" s="114">
        <v>13</v>
      </c>
      <c r="L176" s="114">
        <v>4</v>
      </c>
      <c r="M176" s="114">
        <v>4</v>
      </c>
      <c r="N176" s="114">
        <v>0</v>
      </c>
      <c r="O176" s="114">
        <v>0</v>
      </c>
      <c r="P176" s="114">
        <v>13</v>
      </c>
      <c r="Q176" s="114">
        <v>354</v>
      </c>
      <c r="R176" s="13" t="s">
        <v>25</v>
      </c>
      <c r="S176" s="13" t="s">
        <v>25</v>
      </c>
      <c r="T176" s="13" t="s">
        <v>25</v>
      </c>
    </row>
    <row r="177" spans="1:20" x14ac:dyDescent="0.3">
      <c r="A177" s="14">
        <v>43893.75</v>
      </c>
      <c r="B177" s="13" t="s">
        <v>22</v>
      </c>
      <c r="C177" s="114">
        <v>12</v>
      </c>
      <c r="D177" s="13" t="s">
        <v>48</v>
      </c>
      <c r="E177" s="114">
        <v>4189277044</v>
      </c>
      <c r="F177" s="114">
        <v>1248366722</v>
      </c>
      <c r="G177" s="114">
        <v>10</v>
      </c>
      <c r="H177" s="114">
        <v>0</v>
      </c>
      <c r="I177" s="114">
        <v>10</v>
      </c>
      <c r="J177" s="114">
        <v>1</v>
      </c>
      <c r="K177" s="114">
        <v>11</v>
      </c>
      <c r="L177" s="114">
        <v>7</v>
      </c>
      <c r="M177" s="114">
        <v>7</v>
      </c>
      <c r="N177" s="114">
        <v>3</v>
      </c>
      <c r="O177" s="114">
        <v>0</v>
      </c>
      <c r="P177" s="114">
        <v>14</v>
      </c>
      <c r="Q177" s="114">
        <v>877</v>
      </c>
      <c r="R177" s="13" t="s">
        <v>25</v>
      </c>
      <c r="S177" s="13" t="s">
        <v>25</v>
      </c>
      <c r="T177" s="13" t="s">
        <v>25</v>
      </c>
    </row>
    <row r="178" spans="1:20" x14ac:dyDescent="0.3">
      <c r="A178" s="14">
        <v>43893.75</v>
      </c>
      <c r="B178" s="13" t="s">
        <v>22</v>
      </c>
      <c r="C178" s="114">
        <v>7</v>
      </c>
      <c r="D178" s="13" t="s">
        <v>49</v>
      </c>
      <c r="E178" s="114">
        <v>4441149315</v>
      </c>
      <c r="F178" s="114">
        <v>89326992</v>
      </c>
      <c r="G178" s="114">
        <v>12</v>
      </c>
      <c r="H178" s="114">
        <v>2</v>
      </c>
      <c r="I178" s="114">
        <v>14</v>
      </c>
      <c r="J178" s="114">
        <v>5</v>
      </c>
      <c r="K178" s="114">
        <v>19</v>
      </c>
      <c r="L178" s="114">
        <v>1</v>
      </c>
      <c r="M178" s="114">
        <v>2</v>
      </c>
      <c r="N178" s="114">
        <v>4</v>
      </c>
      <c r="O178" s="114">
        <v>1</v>
      </c>
      <c r="P178" s="114">
        <v>24</v>
      </c>
      <c r="Q178" s="114">
        <v>121</v>
      </c>
      <c r="R178" s="13" t="s">
        <v>25</v>
      </c>
      <c r="S178" s="13" t="s">
        <v>25</v>
      </c>
      <c r="T178" s="13" t="s">
        <v>25</v>
      </c>
    </row>
    <row r="179" spans="1:20" x14ac:dyDescent="0.3">
      <c r="A179" s="14">
        <v>43893.75</v>
      </c>
      <c r="B179" s="13" t="s">
        <v>22</v>
      </c>
      <c r="C179" s="114">
        <v>3</v>
      </c>
      <c r="D179" s="13" t="s">
        <v>50</v>
      </c>
      <c r="E179" s="114">
        <v>4546679409</v>
      </c>
      <c r="F179" s="114">
        <v>9190347404</v>
      </c>
      <c r="G179" s="114">
        <v>698</v>
      </c>
      <c r="H179" s="114">
        <v>167</v>
      </c>
      <c r="I179" s="114">
        <v>865</v>
      </c>
      <c r="J179" s="114">
        <v>461</v>
      </c>
      <c r="K179" s="114">
        <v>1326</v>
      </c>
      <c r="L179" s="114">
        <v>249</v>
      </c>
      <c r="M179" s="114">
        <v>266</v>
      </c>
      <c r="N179" s="114">
        <v>139</v>
      </c>
      <c r="O179" s="114">
        <v>55</v>
      </c>
      <c r="P179" s="114">
        <v>1520</v>
      </c>
      <c r="Q179" s="114">
        <v>9577</v>
      </c>
      <c r="R179" s="13" t="s">
        <v>25</v>
      </c>
      <c r="S179" s="13" t="s">
        <v>25</v>
      </c>
      <c r="T179" s="13" t="s">
        <v>25</v>
      </c>
    </row>
    <row r="180" spans="1:20" x14ac:dyDescent="0.3">
      <c r="A180" s="14">
        <v>43893.75</v>
      </c>
      <c r="B180" s="13" t="s">
        <v>22</v>
      </c>
      <c r="C180" s="114">
        <v>11</v>
      </c>
      <c r="D180" s="13" t="s">
        <v>51</v>
      </c>
      <c r="E180" s="114">
        <v>4361675973</v>
      </c>
      <c r="F180" s="114">
        <v>135188753</v>
      </c>
      <c r="G180" s="114">
        <v>27</v>
      </c>
      <c r="H180" s="114">
        <v>13</v>
      </c>
      <c r="I180" s="114">
        <v>40</v>
      </c>
      <c r="J180" s="114">
        <v>19</v>
      </c>
      <c r="K180" s="114">
        <v>59</v>
      </c>
      <c r="L180" s="114">
        <v>25</v>
      </c>
      <c r="M180" s="114">
        <v>26</v>
      </c>
      <c r="N180" s="114">
        <v>0</v>
      </c>
      <c r="O180" s="114">
        <v>2</v>
      </c>
      <c r="P180" s="114">
        <v>61</v>
      </c>
      <c r="Q180" s="114">
        <v>200</v>
      </c>
      <c r="R180" s="13" t="s">
        <v>25</v>
      </c>
      <c r="S180" s="13" t="s">
        <v>25</v>
      </c>
      <c r="T180" s="13" t="s">
        <v>25</v>
      </c>
    </row>
    <row r="181" spans="1:20" x14ac:dyDescent="0.3">
      <c r="A181" s="14">
        <v>43893.75</v>
      </c>
      <c r="B181" s="13" t="s">
        <v>22</v>
      </c>
      <c r="C181" s="114">
        <v>14</v>
      </c>
      <c r="D181" s="13" t="s">
        <v>52</v>
      </c>
      <c r="E181" s="114">
        <v>4155774754</v>
      </c>
      <c r="F181" s="114">
        <v>1465916051</v>
      </c>
      <c r="G181" s="114">
        <v>3</v>
      </c>
      <c r="H181" s="114">
        <v>0</v>
      </c>
      <c r="I181" s="114">
        <v>3</v>
      </c>
      <c r="J181" s="114">
        <v>0</v>
      </c>
      <c r="K181" s="114">
        <v>3</v>
      </c>
      <c r="L181" s="114">
        <v>3</v>
      </c>
      <c r="M181" s="114">
        <v>3</v>
      </c>
      <c r="N181" s="114">
        <v>0</v>
      </c>
      <c r="O181" s="114">
        <v>0</v>
      </c>
      <c r="P181" s="114">
        <v>3</v>
      </c>
      <c r="Q181" s="114">
        <v>13</v>
      </c>
      <c r="R181" s="13" t="s">
        <v>25</v>
      </c>
      <c r="S181" s="13" t="s">
        <v>25</v>
      </c>
      <c r="T181" s="13" t="s">
        <v>25</v>
      </c>
    </row>
    <row r="182" spans="1:20" x14ac:dyDescent="0.3">
      <c r="A182" s="14">
        <v>43893.75</v>
      </c>
      <c r="B182" s="13" t="s">
        <v>22</v>
      </c>
      <c r="C182" s="114">
        <v>1</v>
      </c>
      <c r="D182" s="13" t="s">
        <v>53</v>
      </c>
      <c r="E182" s="114">
        <v>450732745</v>
      </c>
      <c r="F182" s="114">
        <v>7680687483</v>
      </c>
      <c r="G182" s="114">
        <v>13</v>
      </c>
      <c r="H182" s="114">
        <v>3</v>
      </c>
      <c r="I182" s="114">
        <v>16</v>
      </c>
      <c r="J182" s="114">
        <v>40</v>
      </c>
      <c r="K182" s="114">
        <v>56</v>
      </c>
      <c r="L182" s="114">
        <v>5</v>
      </c>
      <c r="M182" s="114">
        <v>5</v>
      </c>
      <c r="N182" s="114">
        <v>0</v>
      </c>
      <c r="O182" s="114">
        <v>0</v>
      </c>
      <c r="P182" s="114">
        <v>56</v>
      </c>
      <c r="Q182" s="114">
        <v>458</v>
      </c>
      <c r="R182" s="13" t="s">
        <v>25</v>
      </c>
      <c r="S182" s="13" t="s">
        <v>25</v>
      </c>
      <c r="T182" s="13" t="s">
        <v>25</v>
      </c>
    </row>
    <row r="183" spans="1:20" x14ac:dyDescent="0.3">
      <c r="A183" s="14">
        <v>43893.75</v>
      </c>
      <c r="B183" s="13" t="s">
        <v>22</v>
      </c>
      <c r="C183" s="114">
        <v>16</v>
      </c>
      <c r="D183" s="13" t="s">
        <v>54</v>
      </c>
      <c r="E183" s="114">
        <v>4112559576</v>
      </c>
      <c r="F183" s="114">
        <v>1686736689</v>
      </c>
      <c r="G183" s="114">
        <v>2</v>
      </c>
      <c r="H183" s="114">
        <v>0</v>
      </c>
      <c r="I183" s="114">
        <v>2</v>
      </c>
      <c r="J183" s="114">
        <v>4</v>
      </c>
      <c r="K183" s="114">
        <v>6</v>
      </c>
      <c r="L183" s="114">
        <v>2</v>
      </c>
      <c r="M183" s="114">
        <v>2</v>
      </c>
      <c r="N183" s="114">
        <v>0</v>
      </c>
      <c r="O183" s="114">
        <v>0</v>
      </c>
      <c r="P183" s="114">
        <v>6</v>
      </c>
      <c r="Q183" s="114">
        <v>298</v>
      </c>
      <c r="R183" s="13" t="s">
        <v>25</v>
      </c>
      <c r="S183" s="13" t="s">
        <v>25</v>
      </c>
      <c r="T183" s="13" t="s">
        <v>25</v>
      </c>
    </row>
    <row r="184" spans="1:20" x14ac:dyDescent="0.3">
      <c r="A184" s="14">
        <v>43893.75</v>
      </c>
      <c r="B184" s="13" t="s">
        <v>22</v>
      </c>
      <c r="C184" s="114">
        <v>20</v>
      </c>
      <c r="D184" s="13" t="s">
        <v>55</v>
      </c>
      <c r="E184" s="114">
        <v>3921531192</v>
      </c>
      <c r="F184" s="114">
        <v>9110616306</v>
      </c>
      <c r="G184" s="114">
        <v>1</v>
      </c>
      <c r="H184" s="114">
        <v>0</v>
      </c>
      <c r="I184" s="114">
        <v>1</v>
      </c>
      <c r="J184" s="114">
        <v>0</v>
      </c>
      <c r="K184" s="114">
        <v>1</v>
      </c>
      <c r="L184" s="114">
        <v>1</v>
      </c>
      <c r="M184" s="114">
        <v>1</v>
      </c>
      <c r="N184" s="114">
        <v>0</v>
      </c>
      <c r="O184" s="114">
        <v>0</v>
      </c>
      <c r="P184" s="114">
        <v>1</v>
      </c>
      <c r="Q184" s="114">
        <v>29</v>
      </c>
      <c r="R184" s="13" t="s">
        <v>25</v>
      </c>
      <c r="S184" s="13" t="s">
        <v>25</v>
      </c>
      <c r="T184" s="13" t="s">
        <v>25</v>
      </c>
    </row>
    <row r="185" spans="1:20" x14ac:dyDescent="0.3">
      <c r="A185" s="14">
        <v>43893.75</v>
      </c>
      <c r="B185" s="13" t="s">
        <v>22</v>
      </c>
      <c r="C185" s="114">
        <v>19</v>
      </c>
      <c r="D185" s="13" t="s">
        <v>56</v>
      </c>
      <c r="E185" s="114">
        <v>3811569725</v>
      </c>
      <c r="F185" s="114">
        <v>133623567</v>
      </c>
      <c r="G185" s="114">
        <v>2</v>
      </c>
      <c r="H185" s="114">
        <v>0</v>
      </c>
      <c r="I185" s="114">
        <v>2</v>
      </c>
      <c r="J185" s="114">
        <v>3</v>
      </c>
      <c r="K185" s="114">
        <v>5</v>
      </c>
      <c r="L185" s="114">
        <v>0</v>
      </c>
      <c r="M185" s="114">
        <v>0</v>
      </c>
      <c r="N185" s="114">
        <v>2</v>
      </c>
      <c r="O185" s="114">
        <v>0</v>
      </c>
      <c r="P185" s="114">
        <v>7</v>
      </c>
      <c r="Q185" s="114">
        <v>307</v>
      </c>
      <c r="R185" s="13" t="s">
        <v>25</v>
      </c>
      <c r="S185" s="13" t="s">
        <v>25</v>
      </c>
      <c r="T185" s="13" t="s">
        <v>25</v>
      </c>
    </row>
    <row r="186" spans="1:20" x14ac:dyDescent="0.3">
      <c r="A186" s="14">
        <v>43893.75</v>
      </c>
      <c r="B186" s="13" t="s">
        <v>22</v>
      </c>
      <c r="C186" s="114">
        <v>9</v>
      </c>
      <c r="D186" s="13" t="s">
        <v>57</v>
      </c>
      <c r="E186" s="114">
        <v>4376923077</v>
      </c>
      <c r="F186" s="114">
        <v>1125588885</v>
      </c>
      <c r="G186" s="114">
        <v>10</v>
      </c>
      <c r="H186" s="114">
        <v>0</v>
      </c>
      <c r="I186" s="114">
        <v>10</v>
      </c>
      <c r="J186" s="114">
        <v>8</v>
      </c>
      <c r="K186" s="114">
        <v>18</v>
      </c>
      <c r="L186" s="114">
        <v>6</v>
      </c>
      <c r="M186" s="114">
        <v>6</v>
      </c>
      <c r="N186" s="114">
        <v>1</v>
      </c>
      <c r="O186" s="114">
        <v>0</v>
      </c>
      <c r="P186" s="114">
        <v>19</v>
      </c>
      <c r="Q186" s="114">
        <v>697</v>
      </c>
      <c r="R186" s="13" t="s">
        <v>25</v>
      </c>
      <c r="S186" s="13" t="s">
        <v>25</v>
      </c>
      <c r="T186" s="13" t="s">
        <v>25</v>
      </c>
    </row>
    <row r="187" spans="1:20" x14ac:dyDescent="0.3">
      <c r="A187" s="14">
        <v>43893.75</v>
      </c>
      <c r="B187" s="13" t="s">
        <v>22</v>
      </c>
      <c r="C187" s="114">
        <v>4</v>
      </c>
      <c r="D187" s="13" t="s">
        <v>58</v>
      </c>
      <c r="E187" s="114">
        <v>4606893511</v>
      </c>
      <c r="F187" s="114">
        <v>1112123097</v>
      </c>
      <c r="G187" s="114">
        <v>1</v>
      </c>
      <c r="H187" s="114">
        <v>0</v>
      </c>
      <c r="I187" s="114">
        <v>1</v>
      </c>
      <c r="J187" s="114">
        <v>3</v>
      </c>
      <c r="K187" s="114">
        <v>4</v>
      </c>
      <c r="L187" s="114">
        <v>4</v>
      </c>
      <c r="M187" s="114">
        <v>4</v>
      </c>
      <c r="N187" s="114">
        <v>0</v>
      </c>
      <c r="O187" s="114">
        <v>0</v>
      </c>
      <c r="P187" s="114">
        <v>4</v>
      </c>
      <c r="Q187" s="114">
        <v>122</v>
      </c>
      <c r="R187" s="13" t="s">
        <v>25</v>
      </c>
      <c r="S187" s="13" t="s">
        <v>25</v>
      </c>
      <c r="T187" s="13" t="s">
        <v>25</v>
      </c>
    </row>
    <row r="188" spans="1:20" x14ac:dyDescent="0.3">
      <c r="A188" s="14">
        <v>43893.75</v>
      </c>
      <c r="B188" s="13" t="s">
        <v>22</v>
      </c>
      <c r="C188" s="114">
        <v>10</v>
      </c>
      <c r="D188" s="13" t="s">
        <v>59</v>
      </c>
      <c r="E188" s="114">
        <v>4310675841</v>
      </c>
      <c r="F188" s="114">
        <v>1238824698</v>
      </c>
      <c r="G188" s="114">
        <v>1</v>
      </c>
      <c r="H188" s="114">
        <v>1</v>
      </c>
      <c r="I188" s="114">
        <v>2</v>
      </c>
      <c r="J188" s="114">
        <v>6</v>
      </c>
      <c r="K188" s="114">
        <v>8</v>
      </c>
      <c r="L188" s="114">
        <v>6</v>
      </c>
      <c r="M188" s="114">
        <v>6</v>
      </c>
      <c r="N188" s="114">
        <v>0</v>
      </c>
      <c r="O188" s="114">
        <v>0</v>
      </c>
      <c r="P188" s="114">
        <v>8</v>
      </c>
      <c r="Q188" s="114">
        <v>45</v>
      </c>
      <c r="R188" s="13" t="s">
        <v>25</v>
      </c>
      <c r="S188" s="13" t="s">
        <v>25</v>
      </c>
      <c r="T188" s="13" t="s">
        <v>25</v>
      </c>
    </row>
    <row r="189" spans="1:20" x14ac:dyDescent="0.3">
      <c r="A189" s="14">
        <v>43893.75</v>
      </c>
      <c r="B189" s="13" t="s">
        <v>22</v>
      </c>
      <c r="C189" s="114">
        <v>2</v>
      </c>
      <c r="D189" s="13" t="s">
        <v>60</v>
      </c>
      <c r="E189" s="114">
        <v>4573750286</v>
      </c>
      <c r="F189" s="114">
        <v>7320149366</v>
      </c>
      <c r="G189" s="114">
        <v>0</v>
      </c>
      <c r="H189" s="114">
        <v>0</v>
      </c>
      <c r="I189" s="114">
        <v>0</v>
      </c>
      <c r="J189" s="114">
        <v>0</v>
      </c>
      <c r="K189" s="114">
        <v>0</v>
      </c>
      <c r="L189" s="114">
        <v>0</v>
      </c>
      <c r="M189" s="114">
        <v>0</v>
      </c>
      <c r="N189" s="114">
        <v>0</v>
      </c>
      <c r="O189" s="114">
        <v>0</v>
      </c>
      <c r="P189" s="114">
        <v>0</v>
      </c>
      <c r="Q189" s="114">
        <v>12</v>
      </c>
      <c r="R189" s="13" t="s">
        <v>25</v>
      </c>
      <c r="S189" s="13" t="s">
        <v>25</v>
      </c>
      <c r="T189" s="13" t="s">
        <v>25</v>
      </c>
    </row>
    <row r="190" spans="1:20" x14ac:dyDescent="0.3">
      <c r="A190" s="14">
        <v>43893.75</v>
      </c>
      <c r="B190" s="13" t="s">
        <v>22</v>
      </c>
      <c r="C190" s="114">
        <v>5</v>
      </c>
      <c r="D190" s="13" t="s">
        <v>61</v>
      </c>
      <c r="E190" s="114">
        <v>4543490485</v>
      </c>
      <c r="F190" s="114">
        <v>1233845213</v>
      </c>
      <c r="G190" s="114">
        <v>49</v>
      </c>
      <c r="H190" s="114">
        <v>19</v>
      </c>
      <c r="I190" s="114">
        <v>68</v>
      </c>
      <c r="J190" s="114">
        <v>229</v>
      </c>
      <c r="K190" s="114">
        <v>297</v>
      </c>
      <c r="L190" s="114">
        <v>26</v>
      </c>
      <c r="M190" s="114">
        <v>34</v>
      </c>
      <c r="N190" s="114">
        <v>7</v>
      </c>
      <c r="O190" s="114">
        <v>3</v>
      </c>
      <c r="P190" s="114">
        <v>307</v>
      </c>
      <c r="Q190" s="114">
        <v>10176</v>
      </c>
      <c r="R190" s="13" t="s">
        <v>25</v>
      </c>
      <c r="S190" s="13" t="s">
        <v>25</v>
      </c>
      <c r="T190" s="13" t="s">
        <v>25</v>
      </c>
    </row>
    <row r="191" spans="1:20" x14ac:dyDescent="0.3">
      <c r="A191" s="14">
        <v>43894.708333333336</v>
      </c>
      <c r="B191" s="13" t="s">
        <v>22</v>
      </c>
      <c r="C191" s="114">
        <v>13</v>
      </c>
      <c r="D191" s="13" t="s">
        <v>42</v>
      </c>
      <c r="E191" s="114">
        <v>4235122196</v>
      </c>
      <c r="F191" s="114">
        <v>1339843823</v>
      </c>
      <c r="G191" s="114">
        <v>7</v>
      </c>
      <c r="H191" s="114">
        <v>0</v>
      </c>
      <c r="I191" s="114">
        <v>7</v>
      </c>
      <c r="J191" s="114">
        <v>0</v>
      </c>
      <c r="K191" s="114">
        <v>7</v>
      </c>
      <c r="L191" s="114">
        <v>1</v>
      </c>
      <c r="M191" s="114">
        <v>1</v>
      </c>
      <c r="N191" s="114">
        <v>0</v>
      </c>
      <c r="O191" s="114">
        <v>0</v>
      </c>
      <c r="P191" s="114">
        <v>7</v>
      </c>
      <c r="Q191" s="114">
        <v>85</v>
      </c>
      <c r="R191" s="13" t="s">
        <v>25</v>
      </c>
      <c r="S191" s="13" t="s">
        <v>25</v>
      </c>
      <c r="T191" s="13" t="s">
        <v>25</v>
      </c>
    </row>
    <row r="192" spans="1:20" x14ac:dyDescent="0.3">
      <c r="A192" s="14">
        <v>43894.708333333336</v>
      </c>
      <c r="B192" s="13" t="s">
        <v>22</v>
      </c>
      <c r="C192" s="114">
        <v>17</v>
      </c>
      <c r="D192" s="13" t="s">
        <v>43</v>
      </c>
      <c r="E192" s="114">
        <v>4063947052</v>
      </c>
      <c r="F192" s="114">
        <v>1580514834</v>
      </c>
      <c r="G192" s="114">
        <v>0</v>
      </c>
      <c r="H192" s="114">
        <v>0</v>
      </c>
      <c r="I192" s="114">
        <v>0</v>
      </c>
      <c r="J192" s="114">
        <v>1</v>
      </c>
      <c r="K192" s="114">
        <v>1</v>
      </c>
      <c r="L192" s="114">
        <v>0</v>
      </c>
      <c r="M192" s="114">
        <v>0</v>
      </c>
      <c r="N192" s="114">
        <v>0</v>
      </c>
      <c r="O192" s="114">
        <v>0</v>
      </c>
      <c r="P192" s="114">
        <v>1</v>
      </c>
      <c r="Q192" s="114">
        <v>48</v>
      </c>
      <c r="R192" s="13" t="s">
        <v>25</v>
      </c>
      <c r="S192" s="13" t="s">
        <v>25</v>
      </c>
      <c r="T192" s="13" t="s">
        <v>25</v>
      </c>
    </row>
    <row r="193" spans="1:20" x14ac:dyDescent="0.3">
      <c r="A193" s="14">
        <v>43894.708333333336</v>
      </c>
      <c r="B193" s="13" t="s">
        <v>22</v>
      </c>
      <c r="C193" s="114">
        <v>4</v>
      </c>
      <c r="D193" s="13" t="s">
        <v>44</v>
      </c>
      <c r="E193" s="114">
        <v>4649933453</v>
      </c>
      <c r="F193" s="114">
        <v>1135662422</v>
      </c>
      <c r="G193" s="114">
        <v>1</v>
      </c>
      <c r="H193" s="114">
        <v>0</v>
      </c>
      <c r="I193" s="114">
        <v>1</v>
      </c>
      <c r="J193" s="114">
        <v>0</v>
      </c>
      <c r="K193" s="114">
        <v>1</v>
      </c>
      <c r="L193" s="114">
        <v>0</v>
      </c>
      <c r="M193" s="114">
        <v>0</v>
      </c>
      <c r="N193" s="114">
        <v>0</v>
      </c>
      <c r="O193" s="114">
        <v>0</v>
      </c>
      <c r="P193" s="114">
        <v>1</v>
      </c>
      <c r="Q193" s="114">
        <v>20</v>
      </c>
      <c r="R193" s="13" t="s">
        <v>25</v>
      </c>
      <c r="S193" s="13" t="s">
        <v>25</v>
      </c>
      <c r="T193" s="13" t="s">
        <v>25</v>
      </c>
    </row>
    <row r="194" spans="1:20" x14ac:dyDescent="0.3">
      <c r="A194" s="14">
        <v>43894.708333333336</v>
      </c>
      <c r="B194" s="13" t="s">
        <v>22</v>
      </c>
      <c r="C194" s="114">
        <v>18</v>
      </c>
      <c r="D194" s="13" t="s">
        <v>45</v>
      </c>
      <c r="E194" s="114">
        <v>3890597598</v>
      </c>
      <c r="F194" s="114">
        <v>1659440194</v>
      </c>
      <c r="G194" s="114">
        <v>0</v>
      </c>
      <c r="H194" s="114">
        <v>0</v>
      </c>
      <c r="I194" s="114">
        <v>0</v>
      </c>
      <c r="J194" s="114">
        <v>1</v>
      </c>
      <c r="K194" s="114">
        <v>1</v>
      </c>
      <c r="L194" s="114">
        <v>0</v>
      </c>
      <c r="M194" s="114">
        <v>0</v>
      </c>
      <c r="N194" s="114">
        <v>0</v>
      </c>
      <c r="O194" s="114">
        <v>0</v>
      </c>
      <c r="P194" s="114">
        <v>1</v>
      </c>
      <c r="Q194" s="114">
        <v>46</v>
      </c>
      <c r="R194" s="13" t="s">
        <v>25</v>
      </c>
      <c r="S194" s="13" t="s">
        <v>25</v>
      </c>
      <c r="T194" s="13" t="s">
        <v>25</v>
      </c>
    </row>
    <row r="195" spans="1:20" x14ac:dyDescent="0.3">
      <c r="A195" s="14">
        <v>43894.708333333336</v>
      </c>
      <c r="B195" s="13" t="s">
        <v>22</v>
      </c>
      <c r="C195" s="114">
        <v>15</v>
      </c>
      <c r="D195" s="13" t="s">
        <v>46</v>
      </c>
      <c r="E195" s="114">
        <v>4083956555</v>
      </c>
      <c r="F195" s="114">
        <v>1425084984</v>
      </c>
      <c r="G195" s="114">
        <v>11</v>
      </c>
      <c r="H195" s="114">
        <v>0</v>
      </c>
      <c r="I195" s="114">
        <v>11</v>
      </c>
      <c r="J195" s="114">
        <v>20</v>
      </c>
      <c r="K195" s="114">
        <v>31</v>
      </c>
      <c r="L195" s="114">
        <v>1</v>
      </c>
      <c r="M195" s="114">
        <v>1</v>
      </c>
      <c r="N195" s="114">
        <v>0</v>
      </c>
      <c r="O195" s="114">
        <v>0</v>
      </c>
      <c r="P195" s="114">
        <v>31</v>
      </c>
      <c r="Q195" s="114">
        <v>429</v>
      </c>
      <c r="R195" s="13" t="s">
        <v>25</v>
      </c>
      <c r="S195" s="13" t="s">
        <v>25</v>
      </c>
      <c r="T195" s="13" t="s">
        <v>25</v>
      </c>
    </row>
    <row r="196" spans="1:20" x14ac:dyDescent="0.3">
      <c r="A196" s="14">
        <v>43894.708333333336</v>
      </c>
      <c r="B196" s="13" t="s">
        <v>22</v>
      </c>
      <c r="C196" s="114">
        <v>8</v>
      </c>
      <c r="D196" s="13" t="s">
        <v>96</v>
      </c>
      <c r="E196" s="114">
        <v>4449436681</v>
      </c>
      <c r="F196" s="114">
        <v>113417208</v>
      </c>
      <c r="G196" s="114">
        <v>256</v>
      </c>
      <c r="H196" s="114">
        <v>26</v>
      </c>
      <c r="I196" s="114">
        <v>282</v>
      </c>
      <c r="J196" s="114">
        <v>234</v>
      </c>
      <c r="K196" s="114">
        <v>516</v>
      </c>
      <c r="L196" s="114">
        <v>118</v>
      </c>
      <c r="M196" s="114">
        <v>124</v>
      </c>
      <c r="N196" s="114">
        <v>6</v>
      </c>
      <c r="O196" s="114">
        <v>22</v>
      </c>
      <c r="P196" s="114">
        <v>544</v>
      </c>
      <c r="Q196" s="114">
        <v>2500</v>
      </c>
      <c r="R196" s="13" t="s">
        <v>25</v>
      </c>
      <c r="S196" s="13" t="s">
        <v>25</v>
      </c>
      <c r="T196" s="13" t="s">
        <v>25</v>
      </c>
    </row>
    <row r="197" spans="1:20" x14ac:dyDescent="0.3">
      <c r="A197" s="14">
        <v>43894.708333333336</v>
      </c>
      <c r="B197" s="13" t="s">
        <v>22</v>
      </c>
      <c r="C197" s="114">
        <v>6</v>
      </c>
      <c r="D197" s="13" t="s">
        <v>47</v>
      </c>
      <c r="E197" s="114">
        <v>456494354</v>
      </c>
      <c r="F197" s="114">
        <v>1376813649</v>
      </c>
      <c r="G197" s="114">
        <v>3</v>
      </c>
      <c r="H197" s="114">
        <v>0</v>
      </c>
      <c r="I197" s="114">
        <v>3</v>
      </c>
      <c r="J197" s="114">
        <v>15</v>
      </c>
      <c r="K197" s="114">
        <v>18</v>
      </c>
      <c r="L197" s="114">
        <v>5</v>
      </c>
      <c r="M197" s="114">
        <v>5</v>
      </c>
      <c r="N197" s="114">
        <v>0</v>
      </c>
      <c r="O197" s="114">
        <v>0</v>
      </c>
      <c r="P197" s="114">
        <v>18</v>
      </c>
      <c r="Q197" s="114">
        <v>376</v>
      </c>
      <c r="R197" s="13" t="s">
        <v>25</v>
      </c>
      <c r="S197" s="13" t="s">
        <v>25</v>
      </c>
      <c r="T197" s="13" t="s">
        <v>25</v>
      </c>
    </row>
    <row r="198" spans="1:20" x14ac:dyDescent="0.3">
      <c r="A198" s="14">
        <v>43894.708333333336</v>
      </c>
      <c r="B198" s="13" t="s">
        <v>22</v>
      </c>
      <c r="C198" s="114">
        <v>12</v>
      </c>
      <c r="D198" s="13" t="s">
        <v>48</v>
      </c>
      <c r="E198" s="114">
        <v>4189277044</v>
      </c>
      <c r="F198" s="114">
        <v>1248366722</v>
      </c>
      <c r="G198" s="114">
        <v>15</v>
      </c>
      <c r="H198" s="114">
        <v>3</v>
      </c>
      <c r="I198" s="114">
        <v>18</v>
      </c>
      <c r="J198" s="114">
        <v>9</v>
      </c>
      <c r="K198" s="114">
        <v>27</v>
      </c>
      <c r="L198" s="114">
        <v>16</v>
      </c>
      <c r="M198" s="114">
        <v>16</v>
      </c>
      <c r="N198" s="114">
        <v>3</v>
      </c>
      <c r="O198" s="114">
        <v>0</v>
      </c>
      <c r="P198" s="114">
        <v>30</v>
      </c>
      <c r="Q198" s="114">
        <v>995</v>
      </c>
      <c r="R198" s="13" t="s">
        <v>25</v>
      </c>
      <c r="S198" s="13" t="s">
        <v>25</v>
      </c>
      <c r="T198" s="13" t="s">
        <v>25</v>
      </c>
    </row>
    <row r="199" spans="1:20" x14ac:dyDescent="0.3">
      <c r="A199" s="14">
        <v>43894.708333333336</v>
      </c>
      <c r="B199" s="13" t="s">
        <v>22</v>
      </c>
      <c r="C199" s="114">
        <v>7</v>
      </c>
      <c r="D199" s="13" t="s">
        <v>49</v>
      </c>
      <c r="E199" s="114">
        <v>4441149315</v>
      </c>
      <c r="F199" s="114">
        <v>89326992</v>
      </c>
      <c r="G199" s="114">
        <v>10</v>
      </c>
      <c r="H199" s="114">
        <v>3</v>
      </c>
      <c r="I199" s="114">
        <v>13</v>
      </c>
      <c r="J199" s="114">
        <v>8</v>
      </c>
      <c r="K199" s="114">
        <v>21</v>
      </c>
      <c r="L199" s="114">
        <v>2</v>
      </c>
      <c r="M199" s="114">
        <v>2</v>
      </c>
      <c r="N199" s="114">
        <v>4</v>
      </c>
      <c r="O199" s="114">
        <v>1</v>
      </c>
      <c r="P199" s="114">
        <v>26</v>
      </c>
      <c r="Q199" s="114">
        <v>133</v>
      </c>
      <c r="R199" s="13" t="s">
        <v>25</v>
      </c>
      <c r="S199" s="13" t="s">
        <v>25</v>
      </c>
      <c r="T199" s="13" t="s">
        <v>25</v>
      </c>
    </row>
    <row r="200" spans="1:20" x14ac:dyDescent="0.3">
      <c r="A200" s="14">
        <v>43894.708333333336</v>
      </c>
      <c r="B200" s="13" t="s">
        <v>22</v>
      </c>
      <c r="C200" s="114">
        <v>3</v>
      </c>
      <c r="D200" s="13" t="s">
        <v>50</v>
      </c>
      <c r="E200" s="114">
        <v>4546679409</v>
      </c>
      <c r="F200" s="114">
        <v>9190347404</v>
      </c>
      <c r="G200" s="114">
        <v>877</v>
      </c>
      <c r="H200" s="114">
        <v>209</v>
      </c>
      <c r="I200" s="114">
        <v>1086</v>
      </c>
      <c r="J200" s="114">
        <v>411</v>
      </c>
      <c r="K200" s="114">
        <v>1497</v>
      </c>
      <c r="L200" s="114">
        <v>171</v>
      </c>
      <c r="M200" s="114">
        <v>300</v>
      </c>
      <c r="N200" s="114">
        <v>250</v>
      </c>
      <c r="O200" s="114">
        <v>73</v>
      </c>
      <c r="P200" s="114">
        <v>1820</v>
      </c>
      <c r="Q200" s="114">
        <v>12138</v>
      </c>
      <c r="R200" s="13" t="s">
        <v>25</v>
      </c>
      <c r="S200" s="13" t="s">
        <v>25</v>
      </c>
      <c r="T200" s="13" t="s">
        <v>25</v>
      </c>
    </row>
    <row r="201" spans="1:20" x14ac:dyDescent="0.3">
      <c r="A201" s="14">
        <v>43894.708333333336</v>
      </c>
      <c r="B201" s="13" t="s">
        <v>22</v>
      </c>
      <c r="C201" s="114">
        <v>11</v>
      </c>
      <c r="D201" s="13" t="s">
        <v>51</v>
      </c>
      <c r="E201" s="114">
        <v>4361675973</v>
      </c>
      <c r="F201" s="114">
        <v>135188753</v>
      </c>
      <c r="G201" s="114">
        <v>34</v>
      </c>
      <c r="H201" s="114">
        <v>15</v>
      </c>
      <c r="I201" s="114">
        <v>49</v>
      </c>
      <c r="J201" s="114">
        <v>31</v>
      </c>
      <c r="K201" s="114">
        <v>80</v>
      </c>
      <c r="L201" s="114">
        <v>21</v>
      </c>
      <c r="M201" s="114">
        <v>23</v>
      </c>
      <c r="N201" s="114">
        <v>0</v>
      </c>
      <c r="O201" s="114">
        <v>4</v>
      </c>
      <c r="P201" s="114">
        <v>84</v>
      </c>
      <c r="Q201" s="114">
        <v>288</v>
      </c>
      <c r="R201" s="13" t="s">
        <v>25</v>
      </c>
      <c r="S201" s="13" t="s">
        <v>25</v>
      </c>
      <c r="T201" s="13" t="s">
        <v>25</v>
      </c>
    </row>
    <row r="202" spans="1:20" x14ac:dyDescent="0.3">
      <c r="A202" s="14">
        <v>43894.708333333336</v>
      </c>
      <c r="B202" s="13" t="s">
        <v>22</v>
      </c>
      <c r="C202" s="114">
        <v>14</v>
      </c>
      <c r="D202" s="13" t="s">
        <v>52</v>
      </c>
      <c r="E202" s="114">
        <v>4155774754</v>
      </c>
      <c r="F202" s="114">
        <v>1465916051</v>
      </c>
      <c r="G202" s="114">
        <v>3</v>
      </c>
      <c r="H202" s="114">
        <v>0</v>
      </c>
      <c r="I202" s="114">
        <v>3</v>
      </c>
      <c r="J202" s="114">
        <v>0</v>
      </c>
      <c r="K202" s="114">
        <v>3</v>
      </c>
      <c r="L202" s="114">
        <v>0</v>
      </c>
      <c r="M202" s="114">
        <v>0</v>
      </c>
      <c r="N202" s="114">
        <v>0</v>
      </c>
      <c r="O202" s="114">
        <v>0</v>
      </c>
      <c r="P202" s="114">
        <v>3</v>
      </c>
      <c r="Q202" s="114">
        <v>19</v>
      </c>
      <c r="R202" s="13" t="s">
        <v>25</v>
      </c>
      <c r="S202" s="13" t="s">
        <v>25</v>
      </c>
      <c r="T202" s="13" t="s">
        <v>25</v>
      </c>
    </row>
    <row r="203" spans="1:20" x14ac:dyDescent="0.3">
      <c r="A203" s="14">
        <v>43894.708333333336</v>
      </c>
      <c r="B203" s="13" t="s">
        <v>22</v>
      </c>
      <c r="C203" s="114">
        <v>1</v>
      </c>
      <c r="D203" s="13" t="s">
        <v>53</v>
      </c>
      <c r="E203" s="114">
        <v>450732745</v>
      </c>
      <c r="F203" s="114">
        <v>7680687483</v>
      </c>
      <c r="G203" s="114">
        <v>26</v>
      </c>
      <c r="H203" s="114">
        <v>13</v>
      </c>
      <c r="I203" s="114">
        <v>39</v>
      </c>
      <c r="J203" s="114">
        <v>43</v>
      </c>
      <c r="K203" s="114">
        <v>82</v>
      </c>
      <c r="L203" s="114">
        <v>26</v>
      </c>
      <c r="M203" s="114">
        <v>26</v>
      </c>
      <c r="N203" s="114">
        <v>0</v>
      </c>
      <c r="O203" s="114">
        <v>0</v>
      </c>
      <c r="P203" s="114">
        <v>82</v>
      </c>
      <c r="Q203" s="114">
        <v>543</v>
      </c>
      <c r="R203" s="13" t="s">
        <v>25</v>
      </c>
      <c r="S203" s="13" t="s">
        <v>25</v>
      </c>
      <c r="T203" s="13" t="s">
        <v>25</v>
      </c>
    </row>
    <row r="204" spans="1:20" x14ac:dyDescent="0.3">
      <c r="A204" s="14">
        <v>43894.708333333336</v>
      </c>
      <c r="B204" s="13" t="s">
        <v>22</v>
      </c>
      <c r="C204" s="114">
        <v>16</v>
      </c>
      <c r="D204" s="13" t="s">
        <v>54</v>
      </c>
      <c r="E204" s="114">
        <v>4112559576</v>
      </c>
      <c r="F204" s="114">
        <v>1686736689</v>
      </c>
      <c r="G204" s="114">
        <v>4</v>
      </c>
      <c r="H204" s="114">
        <v>0</v>
      </c>
      <c r="I204" s="114">
        <v>4</v>
      </c>
      <c r="J204" s="114">
        <v>3</v>
      </c>
      <c r="K204" s="114">
        <v>7</v>
      </c>
      <c r="L204" s="114">
        <v>1</v>
      </c>
      <c r="M204" s="114">
        <v>3</v>
      </c>
      <c r="N204" s="114">
        <v>1</v>
      </c>
      <c r="O204" s="114">
        <v>1</v>
      </c>
      <c r="P204" s="114">
        <v>9</v>
      </c>
      <c r="Q204" s="114">
        <v>322</v>
      </c>
      <c r="R204" s="13" t="s">
        <v>25</v>
      </c>
      <c r="S204" s="13" t="s">
        <v>25</v>
      </c>
      <c r="T204" s="13" t="s">
        <v>25</v>
      </c>
    </row>
    <row r="205" spans="1:20" x14ac:dyDescent="0.3">
      <c r="A205" s="14">
        <v>43894.708333333336</v>
      </c>
      <c r="B205" s="13" t="s">
        <v>22</v>
      </c>
      <c r="C205" s="114">
        <v>20</v>
      </c>
      <c r="D205" s="13" t="s">
        <v>55</v>
      </c>
      <c r="E205" s="114">
        <v>3921531192</v>
      </c>
      <c r="F205" s="114">
        <v>9110616306</v>
      </c>
      <c r="G205" s="114">
        <v>1</v>
      </c>
      <c r="H205" s="114">
        <v>0</v>
      </c>
      <c r="I205" s="114">
        <v>1</v>
      </c>
      <c r="J205" s="114">
        <v>1</v>
      </c>
      <c r="K205" s="114">
        <v>2</v>
      </c>
      <c r="L205" s="114">
        <v>1</v>
      </c>
      <c r="M205" s="114">
        <v>1</v>
      </c>
      <c r="N205" s="114">
        <v>0</v>
      </c>
      <c r="O205" s="114">
        <v>0</v>
      </c>
      <c r="P205" s="114">
        <v>2</v>
      </c>
      <c r="Q205" s="114">
        <v>42</v>
      </c>
      <c r="R205" s="13" t="s">
        <v>25</v>
      </c>
      <c r="S205" s="13" t="s">
        <v>25</v>
      </c>
      <c r="T205" s="13" t="s">
        <v>25</v>
      </c>
    </row>
    <row r="206" spans="1:20" x14ac:dyDescent="0.3">
      <c r="A206" s="14">
        <v>43894.708333333336</v>
      </c>
      <c r="B206" s="13" t="s">
        <v>22</v>
      </c>
      <c r="C206" s="114">
        <v>19</v>
      </c>
      <c r="D206" s="13" t="s">
        <v>56</v>
      </c>
      <c r="E206" s="114">
        <v>3811569725</v>
      </c>
      <c r="F206" s="114">
        <v>133623567</v>
      </c>
      <c r="G206" s="114">
        <v>5</v>
      </c>
      <c r="H206" s="114">
        <v>0</v>
      </c>
      <c r="I206" s="114">
        <v>5</v>
      </c>
      <c r="J206" s="114">
        <v>11</v>
      </c>
      <c r="K206" s="114">
        <v>16</v>
      </c>
      <c r="L206" s="114">
        <v>11</v>
      </c>
      <c r="M206" s="114">
        <v>11</v>
      </c>
      <c r="N206" s="114">
        <v>2</v>
      </c>
      <c r="O206" s="114">
        <v>0</v>
      </c>
      <c r="P206" s="114">
        <v>18</v>
      </c>
      <c r="Q206" s="114">
        <v>367</v>
      </c>
      <c r="R206" s="13" t="s">
        <v>25</v>
      </c>
      <c r="S206" s="13" t="s">
        <v>25</v>
      </c>
      <c r="T206" s="13" t="s">
        <v>25</v>
      </c>
    </row>
    <row r="207" spans="1:20" x14ac:dyDescent="0.3">
      <c r="A207" s="14">
        <v>43894.708333333336</v>
      </c>
      <c r="B207" s="13" t="s">
        <v>22</v>
      </c>
      <c r="C207" s="114">
        <v>9</v>
      </c>
      <c r="D207" s="13" t="s">
        <v>57</v>
      </c>
      <c r="E207" s="114">
        <v>4376923077</v>
      </c>
      <c r="F207" s="114">
        <v>1125588885</v>
      </c>
      <c r="G207" s="114">
        <v>15</v>
      </c>
      <c r="H207" s="114">
        <v>2</v>
      </c>
      <c r="I207" s="114">
        <v>17</v>
      </c>
      <c r="J207" s="114">
        <v>20</v>
      </c>
      <c r="K207" s="114">
        <v>37</v>
      </c>
      <c r="L207" s="114">
        <v>19</v>
      </c>
      <c r="M207" s="114">
        <v>19</v>
      </c>
      <c r="N207" s="114">
        <v>1</v>
      </c>
      <c r="O207" s="114">
        <v>0</v>
      </c>
      <c r="P207" s="114">
        <v>38</v>
      </c>
      <c r="Q207" s="114">
        <v>776</v>
      </c>
      <c r="R207" s="13" t="s">
        <v>25</v>
      </c>
      <c r="S207" s="13" t="s">
        <v>25</v>
      </c>
      <c r="T207" s="13" t="s">
        <v>25</v>
      </c>
    </row>
    <row r="208" spans="1:20" x14ac:dyDescent="0.3">
      <c r="A208" s="14">
        <v>43894.708333333336</v>
      </c>
      <c r="B208" s="13" t="s">
        <v>22</v>
      </c>
      <c r="C208" s="114">
        <v>4</v>
      </c>
      <c r="D208" s="13" t="s">
        <v>58</v>
      </c>
      <c r="E208" s="114">
        <v>4606893511</v>
      </c>
      <c r="F208" s="114">
        <v>1112123097</v>
      </c>
      <c r="G208" s="114">
        <v>1</v>
      </c>
      <c r="H208" s="114">
        <v>0</v>
      </c>
      <c r="I208" s="114">
        <v>1</v>
      </c>
      <c r="J208" s="114">
        <v>4</v>
      </c>
      <c r="K208" s="114">
        <v>5</v>
      </c>
      <c r="L208" s="114">
        <v>1</v>
      </c>
      <c r="M208" s="114">
        <v>1</v>
      </c>
      <c r="N208" s="114">
        <v>0</v>
      </c>
      <c r="O208" s="114">
        <v>0</v>
      </c>
      <c r="P208" s="114">
        <v>5</v>
      </c>
      <c r="Q208" s="114">
        <v>122</v>
      </c>
      <c r="R208" s="13" t="s">
        <v>25</v>
      </c>
      <c r="S208" s="13" t="s">
        <v>25</v>
      </c>
      <c r="T208" s="13" t="s">
        <v>25</v>
      </c>
    </row>
    <row r="209" spans="1:20" x14ac:dyDescent="0.3">
      <c r="A209" s="14">
        <v>43894.708333333336</v>
      </c>
      <c r="B209" s="13" t="s">
        <v>22</v>
      </c>
      <c r="C209" s="114">
        <v>10</v>
      </c>
      <c r="D209" s="13" t="s">
        <v>59</v>
      </c>
      <c r="E209" s="114">
        <v>4310675841</v>
      </c>
      <c r="F209" s="114">
        <v>1238824698</v>
      </c>
      <c r="G209" s="114">
        <v>1</v>
      </c>
      <c r="H209" s="114">
        <v>1</v>
      </c>
      <c r="I209" s="114">
        <v>2</v>
      </c>
      <c r="J209" s="114">
        <v>7</v>
      </c>
      <c r="K209" s="114">
        <v>9</v>
      </c>
      <c r="L209" s="114">
        <v>1</v>
      </c>
      <c r="M209" s="114">
        <v>1</v>
      </c>
      <c r="N209" s="114">
        <v>0</v>
      </c>
      <c r="O209" s="114">
        <v>0</v>
      </c>
      <c r="P209" s="114">
        <v>9</v>
      </c>
      <c r="Q209" s="114">
        <v>58</v>
      </c>
      <c r="R209" s="13" t="s">
        <v>25</v>
      </c>
      <c r="S209" s="13" t="s">
        <v>25</v>
      </c>
      <c r="T209" s="13" t="s">
        <v>25</v>
      </c>
    </row>
    <row r="210" spans="1:20" x14ac:dyDescent="0.3">
      <c r="A210" s="14">
        <v>43894.708333333336</v>
      </c>
      <c r="B210" s="13" t="s">
        <v>22</v>
      </c>
      <c r="C210" s="114">
        <v>2</v>
      </c>
      <c r="D210" s="13" t="s">
        <v>60</v>
      </c>
      <c r="E210" s="114">
        <v>4573750286</v>
      </c>
      <c r="F210" s="114">
        <v>7320149366</v>
      </c>
      <c r="G210" s="114">
        <v>0</v>
      </c>
      <c r="H210" s="114">
        <v>0</v>
      </c>
      <c r="I210" s="114">
        <v>0</v>
      </c>
      <c r="J210" s="114">
        <v>0</v>
      </c>
      <c r="K210" s="114">
        <v>0</v>
      </c>
      <c r="L210" s="114">
        <v>0</v>
      </c>
      <c r="M210" s="114">
        <v>0</v>
      </c>
      <c r="N210" s="114">
        <v>0</v>
      </c>
      <c r="O210" s="114">
        <v>0</v>
      </c>
      <c r="P210" s="114">
        <v>0</v>
      </c>
      <c r="Q210" s="114">
        <v>15</v>
      </c>
      <c r="R210" s="13" t="s">
        <v>25</v>
      </c>
      <c r="S210" s="13" t="s">
        <v>25</v>
      </c>
      <c r="T210" s="13" t="s">
        <v>25</v>
      </c>
    </row>
    <row r="211" spans="1:20" x14ac:dyDescent="0.3">
      <c r="A211" s="14">
        <v>43894.708333333336</v>
      </c>
      <c r="B211" s="13" t="s">
        <v>22</v>
      </c>
      <c r="C211" s="114">
        <v>5</v>
      </c>
      <c r="D211" s="13" t="s">
        <v>61</v>
      </c>
      <c r="E211" s="114">
        <v>4543490485</v>
      </c>
      <c r="F211" s="114">
        <v>1233845213</v>
      </c>
      <c r="G211" s="114">
        <v>76</v>
      </c>
      <c r="H211" s="114">
        <v>23</v>
      </c>
      <c r="I211" s="114">
        <v>99</v>
      </c>
      <c r="J211" s="114">
        <v>246</v>
      </c>
      <c r="K211" s="114">
        <v>345</v>
      </c>
      <c r="L211" s="114">
        <v>48</v>
      </c>
      <c r="M211" s="114">
        <v>53</v>
      </c>
      <c r="N211" s="114">
        <v>9</v>
      </c>
      <c r="O211" s="114">
        <v>6</v>
      </c>
      <c r="P211" s="114">
        <v>360</v>
      </c>
      <c r="Q211" s="114">
        <v>10515</v>
      </c>
      <c r="R211" s="13" t="s">
        <v>25</v>
      </c>
      <c r="S211" s="13" t="s">
        <v>25</v>
      </c>
      <c r="T211" s="13" t="s">
        <v>25</v>
      </c>
    </row>
    <row r="212" spans="1:20" x14ac:dyDescent="0.3">
      <c r="A212" s="14">
        <v>43895.708333333336</v>
      </c>
      <c r="B212" s="13" t="s">
        <v>22</v>
      </c>
      <c r="C212" s="114">
        <v>13</v>
      </c>
      <c r="D212" s="13" t="s">
        <v>42</v>
      </c>
      <c r="E212" s="114">
        <v>4235122196</v>
      </c>
      <c r="F212" s="114">
        <v>1339843823</v>
      </c>
      <c r="G212" s="114">
        <v>8</v>
      </c>
      <c r="H212" s="114">
        <v>0</v>
      </c>
      <c r="I212" s="114">
        <v>8</v>
      </c>
      <c r="J212" s="114">
        <v>0</v>
      </c>
      <c r="K212" s="114">
        <v>8</v>
      </c>
      <c r="L212" s="114">
        <v>1</v>
      </c>
      <c r="M212" s="114">
        <v>1</v>
      </c>
      <c r="N212" s="114">
        <v>0</v>
      </c>
      <c r="O212" s="114">
        <v>0</v>
      </c>
      <c r="P212" s="114">
        <v>8</v>
      </c>
      <c r="Q212" s="114">
        <v>96</v>
      </c>
      <c r="R212" s="13" t="s">
        <v>25</v>
      </c>
      <c r="S212" s="13" t="s">
        <v>25</v>
      </c>
      <c r="T212" s="13" t="s">
        <v>25</v>
      </c>
    </row>
    <row r="213" spans="1:20" x14ac:dyDescent="0.3">
      <c r="A213" s="14">
        <v>43895.708333333336</v>
      </c>
      <c r="B213" s="13" t="s">
        <v>22</v>
      </c>
      <c r="C213" s="114">
        <v>17</v>
      </c>
      <c r="D213" s="13" t="s">
        <v>43</v>
      </c>
      <c r="E213" s="114">
        <v>4063947052</v>
      </c>
      <c r="F213" s="114">
        <v>1580514834</v>
      </c>
      <c r="G213" s="114">
        <v>0</v>
      </c>
      <c r="H213" s="114">
        <v>0</v>
      </c>
      <c r="I213" s="114">
        <v>0</v>
      </c>
      <c r="J213" s="114">
        <v>1</v>
      </c>
      <c r="K213" s="114">
        <v>1</v>
      </c>
      <c r="L213" s="114">
        <v>0</v>
      </c>
      <c r="M213" s="114">
        <v>0</v>
      </c>
      <c r="N213" s="114">
        <v>0</v>
      </c>
      <c r="O213" s="114">
        <v>0</v>
      </c>
      <c r="P213" s="114">
        <v>1</v>
      </c>
      <c r="Q213" s="114">
        <v>54</v>
      </c>
      <c r="R213" s="13" t="s">
        <v>25</v>
      </c>
      <c r="S213" s="13" t="s">
        <v>25</v>
      </c>
      <c r="T213" s="13" t="s">
        <v>25</v>
      </c>
    </row>
    <row r="214" spans="1:20" x14ac:dyDescent="0.3">
      <c r="A214" s="14">
        <v>43895.708333333336</v>
      </c>
      <c r="B214" s="13" t="s">
        <v>22</v>
      </c>
      <c r="C214" s="114">
        <v>4</v>
      </c>
      <c r="D214" s="13" t="s">
        <v>44</v>
      </c>
      <c r="E214" s="114">
        <v>4649933453</v>
      </c>
      <c r="F214" s="114">
        <v>1135662422</v>
      </c>
      <c r="G214" s="114">
        <v>1</v>
      </c>
      <c r="H214" s="114">
        <v>0</v>
      </c>
      <c r="I214" s="114">
        <v>1</v>
      </c>
      <c r="J214" s="114">
        <v>0</v>
      </c>
      <c r="K214" s="114">
        <v>1</v>
      </c>
      <c r="L214" s="114">
        <v>0</v>
      </c>
      <c r="M214" s="114">
        <v>0</v>
      </c>
      <c r="N214" s="114">
        <v>0</v>
      </c>
      <c r="O214" s="114">
        <v>0</v>
      </c>
      <c r="P214" s="114">
        <v>1</v>
      </c>
      <c r="Q214" s="114">
        <v>20</v>
      </c>
      <c r="R214" s="13" t="s">
        <v>25</v>
      </c>
      <c r="S214" s="13" t="s">
        <v>25</v>
      </c>
      <c r="T214" s="13" t="s">
        <v>25</v>
      </c>
    </row>
    <row r="215" spans="1:20" x14ac:dyDescent="0.3">
      <c r="A215" s="14">
        <v>43895.708333333336</v>
      </c>
      <c r="B215" s="13" t="s">
        <v>22</v>
      </c>
      <c r="C215" s="114">
        <v>18</v>
      </c>
      <c r="D215" s="13" t="s">
        <v>45</v>
      </c>
      <c r="E215" s="114">
        <v>3890597598</v>
      </c>
      <c r="F215" s="114">
        <v>1659440194</v>
      </c>
      <c r="G215" s="114">
        <v>1</v>
      </c>
      <c r="H215" s="114">
        <v>0</v>
      </c>
      <c r="I215" s="114">
        <v>1</v>
      </c>
      <c r="J215" s="114">
        <v>1</v>
      </c>
      <c r="K215" s="114">
        <v>2</v>
      </c>
      <c r="L215" s="114">
        <v>1</v>
      </c>
      <c r="M215" s="114">
        <v>1</v>
      </c>
      <c r="N215" s="114">
        <v>0</v>
      </c>
      <c r="O215" s="114">
        <v>0</v>
      </c>
      <c r="P215" s="114">
        <v>2</v>
      </c>
      <c r="Q215" s="114">
        <v>53</v>
      </c>
      <c r="R215" s="13" t="s">
        <v>25</v>
      </c>
      <c r="S215" s="13" t="s">
        <v>25</v>
      </c>
      <c r="T215" s="13" t="s">
        <v>25</v>
      </c>
    </row>
    <row r="216" spans="1:20" x14ac:dyDescent="0.3">
      <c r="A216" s="14">
        <v>43895.708333333336</v>
      </c>
      <c r="B216" s="13" t="s">
        <v>22</v>
      </c>
      <c r="C216" s="114">
        <v>15</v>
      </c>
      <c r="D216" s="13" t="s">
        <v>46</v>
      </c>
      <c r="E216" s="114">
        <v>4083956555</v>
      </c>
      <c r="F216" s="114">
        <v>1425084984</v>
      </c>
      <c r="G216" s="114">
        <v>12</v>
      </c>
      <c r="H216" s="114">
        <v>0</v>
      </c>
      <c r="I216" s="114">
        <v>12</v>
      </c>
      <c r="J216" s="114">
        <v>33</v>
      </c>
      <c r="K216" s="114">
        <v>45</v>
      </c>
      <c r="L216" s="114">
        <v>14</v>
      </c>
      <c r="M216" s="114">
        <v>14</v>
      </c>
      <c r="N216" s="114">
        <v>0</v>
      </c>
      <c r="O216" s="114">
        <v>0</v>
      </c>
      <c r="P216" s="114">
        <v>45</v>
      </c>
      <c r="Q216" s="114">
        <v>471</v>
      </c>
      <c r="R216" s="13" t="s">
        <v>25</v>
      </c>
      <c r="S216" s="13" t="s">
        <v>25</v>
      </c>
      <c r="T216" s="13" t="s">
        <v>25</v>
      </c>
    </row>
    <row r="217" spans="1:20" x14ac:dyDescent="0.3">
      <c r="A217" s="14">
        <v>43895.708333333336</v>
      </c>
      <c r="B217" s="13" t="s">
        <v>22</v>
      </c>
      <c r="C217" s="114">
        <v>8</v>
      </c>
      <c r="D217" s="13" t="s">
        <v>96</v>
      </c>
      <c r="E217" s="114">
        <v>4449436681</v>
      </c>
      <c r="F217" s="114">
        <v>113417208</v>
      </c>
      <c r="G217" s="114">
        <v>327</v>
      </c>
      <c r="H217" s="114">
        <v>32</v>
      </c>
      <c r="I217" s="114">
        <v>359</v>
      </c>
      <c r="J217" s="114">
        <v>299</v>
      </c>
      <c r="K217" s="114">
        <v>658</v>
      </c>
      <c r="L217" s="114">
        <v>142</v>
      </c>
      <c r="M217" s="114">
        <v>154</v>
      </c>
      <c r="N217" s="114">
        <v>10</v>
      </c>
      <c r="O217" s="114">
        <v>30</v>
      </c>
      <c r="P217" s="114">
        <v>698</v>
      </c>
      <c r="Q217" s="114">
        <v>2884</v>
      </c>
      <c r="R217" s="13" t="s">
        <v>25</v>
      </c>
      <c r="S217" s="13" t="s">
        <v>25</v>
      </c>
      <c r="T217" s="13" t="s">
        <v>25</v>
      </c>
    </row>
    <row r="218" spans="1:20" x14ac:dyDescent="0.3">
      <c r="A218" s="14">
        <v>43895.708333333336</v>
      </c>
      <c r="B218" s="13" t="s">
        <v>22</v>
      </c>
      <c r="C218" s="114">
        <v>6</v>
      </c>
      <c r="D218" s="13" t="s">
        <v>47</v>
      </c>
      <c r="E218" s="114">
        <v>456494354</v>
      </c>
      <c r="F218" s="114">
        <v>1376813649</v>
      </c>
      <c r="G218" s="114">
        <v>4</v>
      </c>
      <c r="H218" s="114">
        <v>0</v>
      </c>
      <c r="I218" s="114">
        <v>4</v>
      </c>
      <c r="J218" s="114">
        <v>17</v>
      </c>
      <c r="K218" s="114">
        <v>21</v>
      </c>
      <c r="L218" s="114">
        <v>3</v>
      </c>
      <c r="M218" s="114">
        <v>3</v>
      </c>
      <c r="N218" s="114">
        <v>0</v>
      </c>
      <c r="O218" s="114">
        <v>0</v>
      </c>
      <c r="P218" s="114">
        <v>21</v>
      </c>
      <c r="Q218" s="114">
        <v>397</v>
      </c>
      <c r="R218" s="13" t="s">
        <v>25</v>
      </c>
      <c r="S218" s="13" t="s">
        <v>25</v>
      </c>
      <c r="T218" s="13" t="s">
        <v>25</v>
      </c>
    </row>
    <row r="219" spans="1:20" x14ac:dyDescent="0.3">
      <c r="A219" s="14">
        <v>43895.708333333336</v>
      </c>
      <c r="B219" s="13" t="s">
        <v>22</v>
      </c>
      <c r="C219" s="114">
        <v>12</v>
      </c>
      <c r="D219" s="13" t="s">
        <v>48</v>
      </c>
      <c r="E219" s="114">
        <v>4189277044</v>
      </c>
      <c r="F219" s="114">
        <v>1248366722</v>
      </c>
      <c r="G219" s="114">
        <v>20</v>
      </c>
      <c r="H219" s="114">
        <v>7</v>
      </c>
      <c r="I219" s="114">
        <v>27</v>
      </c>
      <c r="J219" s="114">
        <v>14</v>
      </c>
      <c r="K219" s="114">
        <v>41</v>
      </c>
      <c r="L219" s="114">
        <v>14</v>
      </c>
      <c r="M219" s="114">
        <v>14</v>
      </c>
      <c r="N219" s="114">
        <v>3</v>
      </c>
      <c r="O219" s="114">
        <v>0</v>
      </c>
      <c r="P219" s="114">
        <v>44</v>
      </c>
      <c r="Q219" s="114">
        <v>1175</v>
      </c>
      <c r="R219" s="13" t="s">
        <v>25</v>
      </c>
      <c r="S219" s="13" t="s">
        <v>25</v>
      </c>
      <c r="T219" s="13" t="s">
        <v>25</v>
      </c>
    </row>
    <row r="220" spans="1:20" x14ac:dyDescent="0.3">
      <c r="A220" s="14">
        <v>43895.708333333336</v>
      </c>
      <c r="B220" s="13" t="s">
        <v>22</v>
      </c>
      <c r="C220" s="114">
        <v>7</v>
      </c>
      <c r="D220" s="13" t="s">
        <v>49</v>
      </c>
      <c r="E220" s="114">
        <v>4441149315</v>
      </c>
      <c r="F220" s="114">
        <v>89326992</v>
      </c>
      <c r="G220" s="114">
        <v>11</v>
      </c>
      <c r="H220" s="114">
        <v>3</v>
      </c>
      <c r="I220" s="114">
        <v>14</v>
      </c>
      <c r="J220" s="114">
        <v>7</v>
      </c>
      <c r="K220" s="114">
        <v>21</v>
      </c>
      <c r="L220" s="114">
        <v>0</v>
      </c>
      <c r="M220" s="114">
        <v>2</v>
      </c>
      <c r="N220" s="114">
        <v>4</v>
      </c>
      <c r="O220" s="114">
        <v>3</v>
      </c>
      <c r="P220" s="114">
        <v>28</v>
      </c>
      <c r="Q220" s="114">
        <v>146</v>
      </c>
      <c r="R220" s="13" t="s">
        <v>25</v>
      </c>
      <c r="S220" s="13" t="s">
        <v>25</v>
      </c>
      <c r="T220" s="13" t="s">
        <v>25</v>
      </c>
    </row>
    <row r="221" spans="1:20" x14ac:dyDescent="0.3">
      <c r="A221" s="14">
        <v>43895.708333333336</v>
      </c>
      <c r="B221" s="13" t="s">
        <v>22</v>
      </c>
      <c r="C221" s="114">
        <v>3</v>
      </c>
      <c r="D221" s="13" t="s">
        <v>50</v>
      </c>
      <c r="E221" s="114">
        <v>4546679409</v>
      </c>
      <c r="F221" s="114">
        <v>9190347404</v>
      </c>
      <c r="G221" s="114">
        <v>1169</v>
      </c>
      <c r="H221" s="114">
        <v>244</v>
      </c>
      <c r="I221" s="114">
        <v>1413</v>
      </c>
      <c r="J221" s="114">
        <v>364</v>
      </c>
      <c r="K221" s="114">
        <v>1777</v>
      </c>
      <c r="L221" s="114">
        <v>280</v>
      </c>
      <c r="M221" s="114">
        <v>431</v>
      </c>
      <c r="N221" s="114">
        <v>376</v>
      </c>
      <c r="O221" s="114">
        <v>98</v>
      </c>
      <c r="P221" s="114">
        <v>2251</v>
      </c>
      <c r="Q221" s="114">
        <v>12354</v>
      </c>
      <c r="R221" s="13" t="s">
        <v>25</v>
      </c>
      <c r="S221" s="13" t="s">
        <v>25</v>
      </c>
      <c r="T221" s="13" t="s">
        <v>25</v>
      </c>
    </row>
    <row r="222" spans="1:20" x14ac:dyDescent="0.3">
      <c r="A222" s="14">
        <v>43895.708333333336</v>
      </c>
      <c r="B222" s="13" t="s">
        <v>22</v>
      </c>
      <c r="C222" s="114">
        <v>11</v>
      </c>
      <c r="D222" s="13" t="s">
        <v>51</v>
      </c>
      <c r="E222" s="114">
        <v>4361675973</v>
      </c>
      <c r="F222" s="114">
        <v>135188753</v>
      </c>
      <c r="G222" s="114">
        <v>57</v>
      </c>
      <c r="H222" s="114">
        <v>19</v>
      </c>
      <c r="I222" s="114">
        <v>76</v>
      </c>
      <c r="J222" s="114">
        <v>44</v>
      </c>
      <c r="K222" s="114">
        <v>120</v>
      </c>
      <c r="L222" s="114">
        <v>40</v>
      </c>
      <c r="M222" s="114">
        <v>40</v>
      </c>
      <c r="N222" s="114">
        <v>0</v>
      </c>
      <c r="O222" s="114">
        <v>4</v>
      </c>
      <c r="P222" s="114">
        <v>124</v>
      </c>
      <c r="Q222" s="114">
        <v>413</v>
      </c>
      <c r="R222" s="13" t="s">
        <v>25</v>
      </c>
      <c r="S222" s="13" t="s">
        <v>25</v>
      </c>
      <c r="T222" s="13" t="s">
        <v>25</v>
      </c>
    </row>
    <row r="223" spans="1:20" x14ac:dyDescent="0.3">
      <c r="A223" s="14">
        <v>43895.708333333336</v>
      </c>
      <c r="B223" s="13" t="s">
        <v>22</v>
      </c>
      <c r="C223" s="114">
        <v>14</v>
      </c>
      <c r="D223" s="13" t="s">
        <v>52</v>
      </c>
      <c r="E223" s="114">
        <v>4155774754</v>
      </c>
      <c r="F223" s="114">
        <v>1465916051</v>
      </c>
      <c r="G223" s="114">
        <v>4</v>
      </c>
      <c r="H223" s="114">
        <v>0</v>
      </c>
      <c r="I223" s="114">
        <v>4</v>
      </c>
      <c r="J223" s="114">
        <v>3</v>
      </c>
      <c r="K223" s="114">
        <v>7</v>
      </c>
      <c r="L223" s="114">
        <v>4</v>
      </c>
      <c r="M223" s="114">
        <v>4</v>
      </c>
      <c r="N223" s="114">
        <v>0</v>
      </c>
      <c r="O223" s="114">
        <v>0</v>
      </c>
      <c r="P223" s="114">
        <v>7</v>
      </c>
      <c r="Q223" s="114">
        <v>24</v>
      </c>
      <c r="R223" s="13" t="s">
        <v>25</v>
      </c>
      <c r="S223" s="13" t="s">
        <v>25</v>
      </c>
      <c r="T223" s="13" t="s">
        <v>25</v>
      </c>
    </row>
    <row r="224" spans="1:20" x14ac:dyDescent="0.3">
      <c r="A224" s="14">
        <v>43895.708333333336</v>
      </c>
      <c r="B224" s="13" t="s">
        <v>22</v>
      </c>
      <c r="C224" s="114">
        <v>1</v>
      </c>
      <c r="D224" s="13" t="s">
        <v>53</v>
      </c>
      <c r="E224" s="114">
        <v>450732745</v>
      </c>
      <c r="F224" s="114">
        <v>7680687483</v>
      </c>
      <c r="G224" s="114">
        <v>43</v>
      </c>
      <c r="H224" s="114">
        <v>17</v>
      </c>
      <c r="I224" s="114">
        <v>60</v>
      </c>
      <c r="J224" s="114">
        <v>46</v>
      </c>
      <c r="K224" s="114">
        <v>106</v>
      </c>
      <c r="L224" s="114">
        <v>24</v>
      </c>
      <c r="M224" s="114">
        <v>26</v>
      </c>
      <c r="N224" s="114">
        <v>0</v>
      </c>
      <c r="O224" s="114">
        <v>2</v>
      </c>
      <c r="P224" s="114">
        <v>108</v>
      </c>
      <c r="Q224" s="114">
        <v>543</v>
      </c>
      <c r="R224" s="13" t="s">
        <v>25</v>
      </c>
      <c r="S224" s="13" t="s">
        <v>25</v>
      </c>
      <c r="T224" s="13" t="s">
        <v>25</v>
      </c>
    </row>
    <row r="225" spans="1:20" x14ac:dyDescent="0.3">
      <c r="A225" s="14">
        <v>43895.708333333336</v>
      </c>
      <c r="B225" s="13" t="s">
        <v>22</v>
      </c>
      <c r="C225" s="114">
        <v>16</v>
      </c>
      <c r="D225" s="13" t="s">
        <v>54</v>
      </c>
      <c r="E225" s="114">
        <v>4112559576</v>
      </c>
      <c r="F225" s="114">
        <v>1686736689</v>
      </c>
      <c r="G225" s="114">
        <v>5</v>
      </c>
      <c r="H225" s="114">
        <v>1</v>
      </c>
      <c r="I225" s="114">
        <v>6</v>
      </c>
      <c r="J225" s="114">
        <v>6</v>
      </c>
      <c r="K225" s="114">
        <v>12</v>
      </c>
      <c r="L225" s="114">
        <v>5</v>
      </c>
      <c r="M225" s="114">
        <v>5</v>
      </c>
      <c r="N225" s="114">
        <v>1</v>
      </c>
      <c r="O225" s="114">
        <v>1</v>
      </c>
      <c r="P225" s="114">
        <v>14</v>
      </c>
      <c r="Q225" s="114">
        <v>359</v>
      </c>
      <c r="R225" s="13" t="s">
        <v>25</v>
      </c>
      <c r="S225" s="13" t="s">
        <v>25</v>
      </c>
      <c r="T225" s="13" t="s">
        <v>25</v>
      </c>
    </row>
    <row r="226" spans="1:20" x14ac:dyDescent="0.3">
      <c r="A226" s="14">
        <v>43895.708333333336</v>
      </c>
      <c r="B226" s="13" t="s">
        <v>22</v>
      </c>
      <c r="C226" s="114">
        <v>20</v>
      </c>
      <c r="D226" s="13" t="s">
        <v>55</v>
      </c>
      <c r="E226" s="114">
        <v>3921531192</v>
      </c>
      <c r="F226" s="114">
        <v>9110616306</v>
      </c>
      <c r="G226" s="114">
        <v>2</v>
      </c>
      <c r="H226" s="114">
        <v>0</v>
      </c>
      <c r="I226" s="114">
        <v>2</v>
      </c>
      <c r="J226" s="114">
        <v>0</v>
      </c>
      <c r="K226" s="114">
        <v>2</v>
      </c>
      <c r="L226" s="114">
        <v>0</v>
      </c>
      <c r="M226" s="114">
        <v>0</v>
      </c>
      <c r="N226" s="114">
        <v>0</v>
      </c>
      <c r="O226" s="114">
        <v>0</v>
      </c>
      <c r="P226" s="114">
        <v>2</v>
      </c>
      <c r="Q226" s="114">
        <v>50</v>
      </c>
      <c r="R226" s="13" t="s">
        <v>25</v>
      </c>
      <c r="S226" s="13" t="s">
        <v>25</v>
      </c>
      <c r="T226" s="13" t="s">
        <v>25</v>
      </c>
    </row>
    <row r="227" spans="1:20" x14ac:dyDescent="0.3">
      <c r="A227" s="14">
        <v>43895.708333333336</v>
      </c>
      <c r="B227" s="13" t="s">
        <v>22</v>
      </c>
      <c r="C227" s="114">
        <v>19</v>
      </c>
      <c r="D227" s="13" t="s">
        <v>56</v>
      </c>
      <c r="E227" s="114">
        <v>3811569725</v>
      </c>
      <c r="F227" s="114">
        <v>133623567</v>
      </c>
      <c r="G227" s="114">
        <v>5</v>
      </c>
      <c r="H227" s="114">
        <v>0</v>
      </c>
      <c r="I227" s="114">
        <v>5</v>
      </c>
      <c r="J227" s="114">
        <v>11</v>
      </c>
      <c r="K227" s="114">
        <v>16</v>
      </c>
      <c r="L227" s="114">
        <v>0</v>
      </c>
      <c r="M227" s="114">
        <v>0</v>
      </c>
      <c r="N227" s="114">
        <v>2</v>
      </c>
      <c r="O227" s="114">
        <v>0</v>
      </c>
      <c r="P227" s="114">
        <v>18</v>
      </c>
      <c r="Q227" s="114">
        <v>367</v>
      </c>
      <c r="R227" s="13" t="s">
        <v>25</v>
      </c>
      <c r="S227" s="13" t="s">
        <v>25</v>
      </c>
      <c r="T227" s="13" t="s">
        <v>25</v>
      </c>
    </row>
    <row r="228" spans="1:20" x14ac:dyDescent="0.3">
      <c r="A228" s="14">
        <v>43895.708333333336</v>
      </c>
      <c r="B228" s="13" t="s">
        <v>22</v>
      </c>
      <c r="C228" s="114">
        <v>9</v>
      </c>
      <c r="D228" s="13" t="s">
        <v>57</v>
      </c>
      <c r="E228" s="114">
        <v>4376923077</v>
      </c>
      <c r="F228" s="114">
        <v>1125588885</v>
      </c>
      <c r="G228" s="114">
        <v>26</v>
      </c>
      <c r="H228" s="114">
        <v>3</v>
      </c>
      <c r="I228" s="114">
        <v>29</v>
      </c>
      <c r="J228" s="114">
        <v>31</v>
      </c>
      <c r="K228" s="114">
        <v>60</v>
      </c>
      <c r="L228" s="114">
        <v>23</v>
      </c>
      <c r="M228" s="114">
        <v>23</v>
      </c>
      <c r="N228" s="114">
        <v>1</v>
      </c>
      <c r="O228" s="114">
        <v>0</v>
      </c>
      <c r="P228" s="114">
        <v>61</v>
      </c>
      <c r="Q228" s="114">
        <v>776</v>
      </c>
      <c r="R228" s="13" t="s">
        <v>25</v>
      </c>
      <c r="S228" s="13" t="s">
        <v>25</v>
      </c>
      <c r="T228" s="13" t="s">
        <v>25</v>
      </c>
    </row>
    <row r="229" spans="1:20" x14ac:dyDescent="0.3">
      <c r="A229" s="14">
        <v>43895.708333333336</v>
      </c>
      <c r="B229" s="13" t="s">
        <v>22</v>
      </c>
      <c r="C229" s="114">
        <v>4</v>
      </c>
      <c r="D229" s="13" t="s">
        <v>58</v>
      </c>
      <c r="E229" s="114">
        <v>4606893511</v>
      </c>
      <c r="F229" s="114">
        <v>1112123097</v>
      </c>
      <c r="G229" s="114">
        <v>2</v>
      </c>
      <c r="H229" s="114">
        <v>0</v>
      </c>
      <c r="I229" s="114">
        <v>2</v>
      </c>
      <c r="J229" s="114">
        <v>5</v>
      </c>
      <c r="K229" s="114">
        <v>7</v>
      </c>
      <c r="L229" s="114">
        <v>2</v>
      </c>
      <c r="M229" s="114">
        <v>2</v>
      </c>
      <c r="N229" s="114">
        <v>0</v>
      </c>
      <c r="O229" s="114">
        <v>0</v>
      </c>
      <c r="P229" s="114">
        <v>7</v>
      </c>
      <c r="Q229" s="114">
        <v>122</v>
      </c>
      <c r="R229" s="13" t="s">
        <v>25</v>
      </c>
      <c r="S229" s="13" t="s">
        <v>25</v>
      </c>
      <c r="T229" s="13" t="s">
        <v>25</v>
      </c>
    </row>
    <row r="230" spans="1:20" x14ac:dyDescent="0.3">
      <c r="A230" s="14">
        <v>43895.708333333336</v>
      </c>
      <c r="B230" s="13" t="s">
        <v>22</v>
      </c>
      <c r="C230" s="114">
        <v>10</v>
      </c>
      <c r="D230" s="13" t="s">
        <v>59</v>
      </c>
      <c r="E230" s="114">
        <v>4310675841</v>
      </c>
      <c r="F230" s="114">
        <v>1238824698</v>
      </c>
      <c r="G230" s="114">
        <v>1</v>
      </c>
      <c r="H230" s="114">
        <v>1</v>
      </c>
      <c r="I230" s="114">
        <v>2</v>
      </c>
      <c r="J230" s="114">
        <v>7</v>
      </c>
      <c r="K230" s="114">
        <v>9</v>
      </c>
      <c r="L230" s="114">
        <v>0</v>
      </c>
      <c r="M230" s="114">
        <v>0</v>
      </c>
      <c r="N230" s="114">
        <v>0</v>
      </c>
      <c r="O230" s="114">
        <v>0</v>
      </c>
      <c r="P230" s="114">
        <v>9</v>
      </c>
      <c r="Q230" s="114">
        <v>88</v>
      </c>
      <c r="R230" s="13" t="s">
        <v>25</v>
      </c>
      <c r="S230" s="13" t="s">
        <v>25</v>
      </c>
      <c r="T230" s="13" t="s">
        <v>25</v>
      </c>
    </row>
    <row r="231" spans="1:20" x14ac:dyDescent="0.3">
      <c r="A231" s="14">
        <v>43895.708333333336</v>
      </c>
      <c r="B231" s="13" t="s">
        <v>22</v>
      </c>
      <c r="C231" s="114">
        <v>2</v>
      </c>
      <c r="D231" s="13" t="s">
        <v>60</v>
      </c>
      <c r="E231" s="114">
        <v>4573750286</v>
      </c>
      <c r="F231" s="114">
        <v>7320149366</v>
      </c>
      <c r="G231" s="114">
        <v>0</v>
      </c>
      <c r="H231" s="114">
        <v>0</v>
      </c>
      <c r="I231" s="114">
        <v>0</v>
      </c>
      <c r="J231" s="114">
        <v>2</v>
      </c>
      <c r="K231" s="114">
        <v>2</v>
      </c>
      <c r="L231" s="114">
        <v>2</v>
      </c>
      <c r="M231" s="114">
        <v>2</v>
      </c>
      <c r="N231" s="114">
        <v>0</v>
      </c>
      <c r="O231" s="114">
        <v>0</v>
      </c>
      <c r="P231" s="114">
        <v>2</v>
      </c>
      <c r="Q231" s="114">
        <v>21</v>
      </c>
      <c r="R231" s="13" t="s">
        <v>25</v>
      </c>
      <c r="S231" s="13" t="s">
        <v>25</v>
      </c>
      <c r="T231" s="13" t="s">
        <v>25</v>
      </c>
    </row>
    <row r="232" spans="1:20" x14ac:dyDescent="0.3">
      <c r="A232" s="14">
        <v>43895.708333333336</v>
      </c>
      <c r="B232" s="13" t="s">
        <v>22</v>
      </c>
      <c r="C232" s="114">
        <v>5</v>
      </c>
      <c r="D232" s="13" t="s">
        <v>61</v>
      </c>
      <c r="E232" s="114">
        <v>4543490485</v>
      </c>
      <c r="F232" s="114">
        <v>1233845213</v>
      </c>
      <c r="G232" s="114">
        <v>92</v>
      </c>
      <c r="H232" s="114">
        <v>24</v>
      </c>
      <c r="I232" s="114">
        <v>116</v>
      </c>
      <c r="J232" s="114">
        <v>264</v>
      </c>
      <c r="K232" s="114">
        <v>380</v>
      </c>
      <c r="L232" s="114">
        <v>35</v>
      </c>
      <c r="M232" s="114">
        <v>47</v>
      </c>
      <c r="N232" s="114">
        <v>17</v>
      </c>
      <c r="O232" s="114">
        <v>10</v>
      </c>
      <c r="P232" s="114">
        <v>407</v>
      </c>
      <c r="Q232" s="114">
        <v>11949</v>
      </c>
      <c r="R232" s="13" t="s">
        <v>25</v>
      </c>
      <c r="S232" s="13" t="s">
        <v>25</v>
      </c>
      <c r="T232" s="13" t="s">
        <v>25</v>
      </c>
    </row>
    <row r="233" spans="1:20" x14ac:dyDescent="0.3">
      <c r="A233" s="14">
        <v>43896.708333333336</v>
      </c>
      <c r="B233" s="13" t="s">
        <v>22</v>
      </c>
      <c r="C233" s="114">
        <v>13</v>
      </c>
      <c r="D233" s="13" t="s">
        <v>42</v>
      </c>
      <c r="E233" s="114">
        <v>4235122196</v>
      </c>
      <c r="F233" s="114">
        <v>1339843823</v>
      </c>
      <c r="G233" s="114">
        <v>9</v>
      </c>
      <c r="H233" s="114">
        <v>0</v>
      </c>
      <c r="I233" s="114">
        <v>9</v>
      </c>
      <c r="J233" s="114">
        <v>0</v>
      </c>
      <c r="K233" s="114">
        <v>9</v>
      </c>
      <c r="L233" s="114">
        <v>1</v>
      </c>
      <c r="M233" s="114">
        <v>1</v>
      </c>
      <c r="N233" s="114">
        <v>0</v>
      </c>
      <c r="O233" s="114">
        <v>0</v>
      </c>
      <c r="P233" s="114">
        <v>9</v>
      </c>
      <c r="Q233" s="114">
        <v>96</v>
      </c>
      <c r="R233" s="13" t="s">
        <v>25</v>
      </c>
      <c r="S233" s="13" t="s">
        <v>25</v>
      </c>
      <c r="T233" s="13" t="s">
        <v>25</v>
      </c>
    </row>
    <row r="234" spans="1:20" x14ac:dyDescent="0.3">
      <c r="A234" s="14">
        <v>43896.708333333336</v>
      </c>
      <c r="B234" s="13" t="s">
        <v>22</v>
      </c>
      <c r="C234" s="114">
        <v>17</v>
      </c>
      <c r="D234" s="13" t="s">
        <v>43</v>
      </c>
      <c r="E234" s="114">
        <v>4063947052</v>
      </c>
      <c r="F234" s="114">
        <v>1580514834</v>
      </c>
      <c r="G234" s="114">
        <v>1</v>
      </c>
      <c r="H234" s="114">
        <v>0</v>
      </c>
      <c r="I234" s="114">
        <v>1</v>
      </c>
      <c r="J234" s="114">
        <v>2</v>
      </c>
      <c r="K234" s="114">
        <v>3</v>
      </c>
      <c r="L234" s="114">
        <v>2</v>
      </c>
      <c r="M234" s="114">
        <v>2</v>
      </c>
      <c r="N234" s="114">
        <v>0</v>
      </c>
      <c r="O234" s="114">
        <v>0</v>
      </c>
      <c r="P234" s="114">
        <v>3</v>
      </c>
      <c r="Q234" s="114">
        <v>63</v>
      </c>
      <c r="R234" s="13" t="s">
        <v>25</v>
      </c>
      <c r="S234" s="13" t="s">
        <v>25</v>
      </c>
      <c r="T234" s="13" t="s">
        <v>25</v>
      </c>
    </row>
    <row r="235" spans="1:20" x14ac:dyDescent="0.3">
      <c r="A235" s="14">
        <v>43896.708333333336</v>
      </c>
      <c r="B235" s="13" t="s">
        <v>22</v>
      </c>
      <c r="C235" s="114">
        <v>4</v>
      </c>
      <c r="D235" s="13" t="s">
        <v>44</v>
      </c>
      <c r="E235" s="114">
        <v>4649933453</v>
      </c>
      <c r="F235" s="114">
        <v>1135662422</v>
      </c>
      <c r="G235" s="114">
        <v>4</v>
      </c>
      <c r="H235" s="114">
        <v>0</v>
      </c>
      <c r="I235" s="114">
        <v>4</v>
      </c>
      <c r="J235" s="114">
        <v>0</v>
      </c>
      <c r="K235" s="114">
        <v>4</v>
      </c>
      <c r="L235" s="114">
        <v>3</v>
      </c>
      <c r="M235" s="114">
        <v>3</v>
      </c>
      <c r="N235" s="114">
        <v>0</v>
      </c>
      <c r="O235" s="114">
        <v>0</v>
      </c>
      <c r="P235" s="114">
        <v>4</v>
      </c>
      <c r="Q235" s="114">
        <v>36</v>
      </c>
      <c r="R235" s="13" t="s">
        <v>25</v>
      </c>
      <c r="S235" s="13" t="s">
        <v>25</v>
      </c>
      <c r="T235" s="13" t="s">
        <v>25</v>
      </c>
    </row>
    <row r="236" spans="1:20" x14ac:dyDescent="0.3">
      <c r="A236" s="14">
        <v>43896.708333333336</v>
      </c>
      <c r="B236" s="13" t="s">
        <v>22</v>
      </c>
      <c r="C236" s="114">
        <v>18</v>
      </c>
      <c r="D236" s="13" t="s">
        <v>45</v>
      </c>
      <c r="E236" s="114">
        <v>3890597598</v>
      </c>
      <c r="F236" s="114">
        <v>1659440194</v>
      </c>
      <c r="G236" s="114">
        <v>2</v>
      </c>
      <c r="H236" s="114">
        <v>0</v>
      </c>
      <c r="I236" s="114">
        <v>2</v>
      </c>
      <c r="J236" s="114">
        <v>2</v>
      </c>
      <c r="K236" s="114">
        <v>4</v>
      </c>
      <c r="L236" s="114">
        <v>2</v>
      </c>
      <c r="M236" s="114">
        <v>2</v>
      </c>
      <c r="N236" s="114">
        <v>0</v>
      </c>
      <c r="O236" s="114">
        <v>0</v>
      </c>
      <c r="P236" s="114">
        <v>4</v>
      </c>
      <c r="Q236" s="114">
        <v>99</v>
      </c>
      <c r="R236" s="13" t="s">
        <v>25</v>
      </c>
      <c r="S236" s="13" t="s">
        <v>25</v>
      </c>
      <c r="T236" s="13" t="s">
        <v>25</v>
      </c>
    </row>
    <row r="237" spans="1:20" x14ac:dyDescent="0.3">
      <c r="A237" s="14">
        <v>43896.708333333336</v>
      </c>
      <c r="B237" s="13" t="s">
        <v>22</v>
      </c>
      <c r="C237" s="114">
        <v>15</v>
      </c>
      <c r="D237" s="13" t="s">
        <v>46</v>
      </c>
      <c r="E237" s="114">
        <v>4083956555</v>
      </c>
      <c r="F237" s="114">
        <v>1425084984</v>
      </c>
      <c r="G237" s="114">
        <v>12</v>
      </c>
      <c r="H237" s="114">
        <v>0</v>
      </c>
      <c r="I237" s="114">
        <v>12</v>
      </c>
      <c r="J237" s="114">
        <v>45</v>
      </c>
      <c r="K237" s="114">
        <v>57</v>
      </c>
      <c r="L237" s="114">
        <v>12</v>
      </c>
      <c r="M237" s="114">
        <v>12</v>
      </c>
      <c r="N237" s="114">
        <v>0</v>
      </c>
      <c r="O237" s="114">
        <v>0</v>
      </c>
      <c r="P237" s="114">
        <v>57</v>
      </c>
      <c r="Q237" s="114">
        <v>471</v>
      </c>
      <c r="R237" s="13" t="s">
        <v>25</v>
      </c>
      <c r="S237" s="13" t="s">
        <v>25</v>
      </c>
      <c r="T237" s="13" t="s">
        <v>25</v>
      </c>
    </row>
    <row r="238" spans="1:20" x14ac:dyDescent="0.3">
      <c r="A238" s="14">
        <v>43896.708333333336</v>
      </c>
      <c r="B238" s="13" t="s">
        <v>22</v>
      </c>
      <c r="C238" s="114">
        <v>8</v>
      </c>
      <c r="D238" s="13" t="s">
        <v>96</v>
      </c>
      <c r="E238" s="114">
        <v>4449436681</v>
      </c>
      <c r="F238" s="114">
        <v>113417208</v>
      </c>
      <c r="G238" s="114">
        <v>397</v>
      </c>
      <c r="H238" s="114">
        <v>53</v>
      </c>
      <c r="I238" s="114">
        <v>450</v>
      </c>
      <c r="J238" s="114">
        <v>366</v>
      </c>
      <c r="K238" s="114">
        <v>816</v>
      </c>
      <c r="L238" s="114">
        <v>158</v>
      </c>
      <c r="M238" s="114">
        <v>172</v>
      </c>
      <c r="N238" s="114">
        <v>17</v>
      </c>
      <c r="O238" s="114">
        <v>37</v>
      </c>
      <c r="P238" s="114">
        <v>870</v>
      </c>
      <c r="Q238" s="114">
        <v>3136</v>
      </c>
      <c r="R238" s="13" t="s">
        <v>25</v>
      </c>
      <c r="S238" s="13" t="s">
        <v>25</v>
      </c>
      <c r="T238" s="13" t="s">
        <v>25</v>
      </c>
    </row>
    <row r="239" spans="1:20" x14ac:dyDescent="0.3">
      <c r="A239" s="14">
        <v>43896.708333333336</v>
      </c>
      <c r="B239" s="13" t="s">
        <v>22</v>
      </c>
      <c r="C239" s="114">
        <v>6</v>
      </c>
      <c r="D239" s="13" t="s">
        <v>47</v>
      </c>
      <c r="E239" s="114">
        <v>456494354</v>
      </c>
      <c r="F239" s="114">
        <v>1376813649</v>
      </c>
      <c r="G239" s="114">
        <v>4</v>
      </c>
      <c r="H239" s="114">
        <v>0</v>
      </c>
      <c r="I239" s="114">
        <v>4</v>
      </c>
      <c r="J239" s="114">
        <v>24</v>
      </c>
      <c r="K239" s="114">
        <v>28</v>
      </c>
      <c r="L239" s="114">
        <v>7</v>
      </c>
      <c r="M239" s="114">
        <v>10</v>
      </c>
      <c r="N239" s="114">
        <v>3</v>
      </c>
      <c r="O239" s="114">
        <v>0</v>
      </c>
      <c r="P239" s="114">
        <v>31</v>
      </c>
      <c r="Q239" s="114">
        <v>577</v>
      </c>
      <c r="R239" s="13" t="s">
        <v>25</v>
      </c>
      <c r="S239" s="13" t="s">
        <v>25</v>
      </c>
      <c r="T239" s="13" t="s">
        <v>25</v>
      </c>
    </row>
    <row r="240" spans="1:20" x14ac:dyDescent="0.3">
      <c r="A240" s="14">
        <v>43896.708333333336</v>
      </c>
      <c r="B240" s="13" t="s">
        <v>22</v>
      </c>
      <c r="C240" s="114">
        <v>12</v>
      </c>
      <c r="D240" s="13" t="s">
        <v>48</v>
      </c>
      <c r="E240" s="114">
        <v>4189277044</v>
      </c>
      <c r="F240" s="114">
        <v>1248366722</v>
      </c>
      <c r="G240" s="114">
        <v>26</v>
      </c>
      <c r="H240" s="114">
        <v>8</v>
      </c>
      <c r="I240" s="114">
        <v>34</v>
      </c>
      <c r="J240" s="114">
        <v>16</v>
      </c>
      <c r="K240" s="114">
        <v>50</v>
      </c>
      <c r="L240" s="114">
        <v>9</v>
      </c>
      <c r="M240" s="114">
        <v>10</v>
      </c>
      <c r="N240" s="114">
        <v>3</v>
      </c>
      <c r="O240" s="114">
        <v>1</v>
      </c>
      <c r="P240" s="114">
        <v>54</v>
      </c>
      <c r="Q240" s="114">
        <v>1373</v>
      </c>
      <c r="R240" s="13" t="s">
        <v>25</v>
      </c>
      <c r="S240" s="13" t="s">
        <v>25</v>
      </c>
      <c r="T240" s="13" t="s">
        <v>25</v>
      </c>
    </row>
    <row r="241" spans="1:20" x14ac:dyDescent="0.3">
      <c r="A241" s="14">
        <v>43896.708333333336</v>
      </c>
      <c r="B241" s="13" t="s">
        <v>22</v>
      </c>
      <c r="C241" s="114">
        <v>7</v>
      </c>
      <c r="D241" s="13" t="s">
        <v>49</v>
      </c>
      <c r="E241" s="114">
        <v>4441149315</v>
      </c>
      <c r="F241" s="114">
        <v>89326992</v>
      </c>
      <c r="G241" s="114">
        <v>12</v>
      </c>
      <c r="H241" s="114">
        <v>5</v>
      </c>
      <c r="I241" s="114">
        <v>17</v>
      </c>
      <c r="J241" s="114">
        <v>7</v>
      </c>
      <c r="K241" s="114">
        <v>24</v>
      </c>
      <c r="L241" s="114">
        <v>3</v>
      </c>
      <c r="M241" s="114">
        <v>4</v>
      </c>
      <c r="N241" s="114">
        <v>5</v>
      </c>
      <c r="O241" s="114">
        <v>3</v>
      </c>
      <c r="P241" s="114">
        <v>32</v>
      </c>
      <c r="Q241" s="114">
        <v>229</v>
      </c>
      <c r="R241" s="13" t="s">
        <v>25</v>
      </c>
      <c r="S241" s="13" t="s">
        <v>25</v>
      </c>
      <c r="T241" s="13" t="s">
        <v>25</v>
      </c>
    </row>
    <row r="242" spans="1:20" x14ac:dyDescent="0.3">
      <c r="A242" s="14">
        <v>43896.708333333336</v>
      </c>
      <c r="B242" s="13" t="s">
        <v>22</v>
      </c>
      <c r="C242" s="114">
        <v>3</v>
      </c>
      <c r="D242" s="13" t="s">
        <v>50</v>
      </c>
      <c r="E242" s="114">
        <v>4546679409</v>
      </c>
      <c r="F242" s="114">
        <v>9190347404</v>
      </c>
      <c r="G242" s="114">
        <v>1622</v>
      </c>
      <c r="H242" s="114">
        <v>309</v>
      </c>
      <c r="I242" s="114">
        <v>1931</v>
      </c>
      <c r="J242" s="114">
        <v>77</v>
      </c>
      <c r="K242" s="114">
        <v>2008</v>
      </c>
      <c r="L242" s="114">
        <v>231</v>
      </c>
      <c r="M242" s="114">
        <v>361</v>
      </c>
      <c r="N242" s="114">
        <v>469</v>
      </c>
      <c r="O242" s="114">
        <v>135</v>
      </c>
      <c r="P242" s="114">
        <v>2612</v>
      </c>
      <c r="Q242" s="114">
        <v>13556</v>
      </c>
      <c r="R242" s="13" t="s">
        <v>25</v>
      </c>
      <c r="S242" s="13" t="s">
        <v>25</v>
      </c>
      <c r="T242" s="13" t="s">
        <v>25</v>
      </c>
    </row>
    <row r="243" spans="1:20" x14ac:dyDescent="0.3">
      <c r="A243" s="14">
        <v>43896.708333333336</v>
      </c>
      <c r="B243" s="13" t="s">
        <v>22</v>
      </c>
      <c r="C243" s="114">
        <v>11</v>
      </c>
      <c r="D243" s="13" t="s">
        <v>51</v>
      </c>
      <c r="E243" s="114">
        <v>4361675973</v>
      </c>
      <c r="F243" s="114">
        <v>135188753</v>
      </c>
      <c r="G243" s="114">
        <v>73</v>
      </c>
      <c r="H243" s="114">
        <v>20</v>
      </c>
      <c r="I243" s="114">
        <v>93</v>
      </c>
      <c r="J243" s="114">
        <v>62</v>
      </c>
      <c r="K243" s="114">
        <v>155</v>
      </c>
      <c r="L243" s="114">
        <v>35</v>
      </c>
      <c r="M243" s="114">
        <v>35</v>
      </c>
      <c r="N243" s="114">
        <v>0</v>
      </c>
      <c r="O243" s="114">
        <v>4</v>
      </c>
      <c r="P243" s="114">
        <v>159</v>
      </c>
      <c r="Q243" s="114">
        <v>585</v>
      </c>
      <c r="R243" s="13" t="s">
        <v>25</v>
      </c>
      <c r="S243" s="13" t="s">
        <v>25</v>
      </c>
      <c r="T243" s="13" t="s">
        <v>25</v>
      </c>
    </row>
    <row r="244" spans="1:20" x14ac:dyDescent="0.3">
      <c r="A244" s="14">
        <v>43896.708333333336</v>
      </c>
      <c r="B244" s="13" t="s">
        <v>22</v>
      </c>
      <c r="C244" s="114">
        <v>14</v>
      </c>
      <c r="D244" s="13" t="s">
        <v>52</v>
      </c>
      <c r="E244" s="114">
        <v>4155774754</v>
      </c>
      <c r="F244" s="114">
        <v>1465916051</v>
      </c>
      <c r="G244" s="114">
        <v>3</v>
      </c>
      <c r="H244" s="114">
        <v>2</v>
      </c>
      <c r="I244" s="114">
        <v>5</v>
      </c>
      <c r="J244" s="114">
        <v>7</v>
      </c>
      <c r="K244" s="114">
        <v>12</v>
      </c>
      <c r="L244" s="114">
        <v>5</v>
      </c>
      <c r="M244" s="114">
        <v>5</v>
      </c>
      <c r="N244" s="114">
        <v>0</v>
      </c>
      <c r="O244" s="114">
        <v>0</v>
      </c>
      <c r="P244" s="114">
        <v>12</v>
      </c>
      <c r="Q244" s="114">
        <v>104</v>
      </c>
      <c r="R244" s="13" t="s">
        <v>25</v>
      </c>
      <c r="S244" s="13" t="s">
        <v>25</v>
      </c>
      <c r="T244" s="13" t="s">
        <v>25</v>
      </c>
    </row>
    <row r="245" spans="1:20" x14ac:dyDescent="0.3">
      <c r="A245" s="14">
        <v>43896.708333333336</v>
      </c>
      <c r="B245" s="13" t="s">
        <v>22</v>
      </c>
      <c r="C245" s="114">
        <v>1</v>
      </c>
      <c r="D245" s="13" t="s">
        <v>53</v>
      </c>
      <c r="E245" s="114">
        <v>450732745</v>
      </c>
      <c r="F245" s="114">
        <v>7680687483</v>
      </c>
      <c r="G245" s="114">
        <v>57</v>
      </c>
      <c r="H245" s="114">
        <v>30</v>
      </c>
      <c r="I245" s="114">
        <v>87</v>
      </c>
      <c r="J245" s="114">
        <v>52</v>
      </c>
      <c r="K245" s="114">
        <v>139</v>
      </c>
      <c r="L245" s="114">
        <v>33</v>
      </c>
      <c r="M245" s="114">
        <v>35</v>
      </c>
      <c r="N245" s="114">
        <v>0</v>
      </c>
      <c r="O245" s="114">
        <v>4</v>
      </c>
      <c r="P245" s="114">
        <v>143</v>
      </c>
      <c r="Q245" s="114">
        <v>793</v>
      </c>
      <c r="R245" s="13" t="s">
        <v>25</v>
      </c>
      <c r="S245" s="13" t="s">
        <v>25</v>
      </c>
      <c r="T245" s="13" t="s">
        <v>25</v>
      </c>
    </row>
    <row r="246" spans="1:20" x14ac:dyDescent="0.3">
      <c r="A246" s="14">
        <v>43896.708333333336</v>
      </c>
      <c r="B246" s="13" t="s">
        <v>22</v>
      </c>
      <c r="C246" s="114">
        <v>16</v>
      </c>
      <c r="D246" s="13" t="s">
        <v>54</v>
      </c>
      <c r="E246" s="114">
        <v>4112559576</v>
      </c>
      <c r="F246" s="114">
        <v>1686736689</v>
      </c>
      <c r="G246" s="114">
        <v>5</v>
      </c>
      <c r="H246" s="114">
        <v>1</v>
      </c>
      <c r="I246" s="114">
        <v>6</v>
      </c>
      <c r="J246" s="114">
        <v>9</v>
      </c>
      <c r="K246" s="114">
        <v>15</v>
      </c>
      <c r="L246" s="114">
        <v>3</v>
      </c>
      <c r="M246" s="114">
        <v>3</v>
      </c>
      <c r="N246" s="114">
        <v>1</v>
      </c>
      <c r="O246" s="114">
        <v>1</v>
      </c>
      <c r="P246" s="114">
        <v>17</v>
      </c>
      <c r="Q246" s="114">
        <v>395</v>
      </c>
      <c r="R246" s="13" t="s">
        <v>25</v>
      </c>
      <c r="S246" s="13" t="s">
        <v>25</v>
      </c>
      <c r="T246" s="13" t="s">
        <v>25</v>
      </c>
    </row>
    <row r="247" spans="1:20" x14ac:dyDescent="0.3">
      <c r="A247" s="14">
        <v>43896.708333333336</v>
      </c>
      <c r="B247" s="13" t="s">
        <v>22</v>
      </c>
      <c r="C247" s="114">
        <v>20</v>
      </c>
      <c r="D247" s="13" t="s">
        <v>55</v>
      </c>
      <c r="E247" s="114">
        <v>3921531192</v>
      </c>
      <c r="F247" s="114">
        <v>9110616306</v>
      </c>
      <c r="G247" s="114">
        <v>2</v>
      </c>
      <c r="H247" s="114">
        <v>0</v>
      </c>
      <c r="I247" s="114">
        <v>2</v>
      </c>
      <c r="J247" s="114">
        <v>3</v>
      </c>
      <c r="K247" s="114">
        <v>5</v>
      </c>
      <c r="L247" s="114">
        <v>3</v>
      </c>
      <c r="M247" s="114">
        <v>3</v>
      </c>
      <c r="N247" s="114">
        <v>0</v>
      </c>
      <c r="O247" s="114">
        <v>0</v>
      </c>
      <c r="P247" s="114">
        <v>5</v>
      </c>
      <c r="Q247" s="114">
        <v>99</v>
      </c>
      <c r="R247" s="13" t="s">
        <v>25</v>
      </c>
      <c r="S247" s="13" t="s">
        <v>25</v>
      </c>
      <c r="T247" s="13" t="s">
        <v>25</v>
      </c>
    </row>
    <row r="248" spans="1:20" x14ac:dyDescent="0.3">
      <c r="A248" s="14">
        <v>43896.708333333336</v>
      </c>
      <c r="B248" s="13" t="s">
        <v>22</v>
      </c>
      <c r="C248" s="114">
        <v>19</v>
      </c>
      <c r="D248" s="13" t="s">
        <v>56</v>
      </c>
      <c r="E248" s="114">
        <v>3811569725</v>
      </c>
      <c r="F248" s="114">
        <v>133623567</v>
      </c>
      <c r="G248" s="114">
        <v>7</v>
      </c>
      <c r="H248" s="114">
        <v>0</v>
      </c>
      <c r="I248" s="114">
        <v>7</v>
      </c>
      <c r="J248" s="114">
        <v>15</v>
      </c>
      <c r="K248" s="114">
        <v>22</v>
      </c>
      <c r="L248" s="114">
        <v>6</v>
      </c>
      <c r="M248" s="114">
        <v>6</v>
      </c>
      <c r="N248" s="114">
        <v>2</v>
      </c>
      <c r="O248" s="114">
        <v>0</v>
      </c>
      <c r="P248" s="114">
        <v>24</v>
      </c>
      <c r="Q248" s="114">
        <v>367</v>
      </c>
      <c r="R248" s="13" t="s">
        <v>25</v>
      </c>
      <c r="S248" s="13" t="s">
        <v>25</v>
      </c>
      <c r="T248" s="13" t="s">
        <v>25</v>
      </c>
    </row>
    <row r="249" spans="1:20" x14ac:dyDescent="0.3">
      <c r="A249" s="14">
        <v>43896.708333333336</v>
      </c>
      <c r="B249" s="13" t="s">
        <v>22</v>
      </c>
      <c r="C249" s="114">
        <v>9</v>
      </c>
      <c r="D249" s="13" t="s">
        <v>57</v>
      </c>
      <c r="E249" s="114">
        <v>4376923077</v>
      </c>
      <c r="F249" s="114">
        <v>1125588885</v>
      </c>
      <c r="G249" s="114">
        <v>35</v>
      </c>
      <c r="H249" s="114">
        <v>5</v>
      </c>
      <c r="I249" s="114">
        <v>40</v>
      </c>
      <c r="J249" s="114">
        <v>38</v>
      </c>
      <c r="K249" s="114">
        <v>78</v>
      </c>
      <c r="L249" s="114">
        <v>18</v>
      </c>
      <c r="M249" s="114">
        <v>18</v>
      </c>
      <c r="N249" s="114">
        <v>1</v>
      </c>
      <c r="O249" s="114">
        <v>0</v>
      </c>
      <c r="P249" s="114">
        <v>79</v>
      </c>
      <c r="Q249" s="114">
        <v>1097</v>
      </c>
      <c r="R249" s="13" t="s">
        <v>25</v>
      </c>
      <c r="S249" s="13" t="s">
        <v>25</v>
      </c>
      <c r="T249" s="13" t="s">
        <v>25</v>
      </c>
    </row>
    <row r="250" spans="1:20" x14ac:dyDescent="0.3">
      <c r="A250" s="14">
        <v>43896.708333333336</v>
      </c>
      <c r="B250" s="13" t="s">
        <v>22</v>
      </c>
      <c r="C250" s="114">
        <v>4</v>
      </c>
      <c r="D250" s="13" t="s">
        <v>58</v>
      </c>
      <c r="E250" s="114">
        <v>4606893511</v>
      </c>
      <c r="F250" s="114">
        <v>1112123097</v>
      </c>
      <c r="G250" s="114">
        <v>4</v>
      </c>
      <c r="H250" s="114">
        <v>0</v>
      </c>
      <c r="I250" s="114">
        <v>4</v>
      </c>
      <c r="J250" s="114">
        <v>6</v>
      </c>
      <c r="K250" s="114">
        <v>10</v>
      </c>
      <c r="L250" s="114">
        <v>3</v>
      </c>
      <c r="M250" s="114">
        <v>3</v>
      </c>
      <c r="N250" s="114">
        <v>0</v>
      </c>
      <c r="O250" s="114">
        <v>0</v>
      </c>
      <c r="P250" s="114">
        <v>10</v>
      </c>
      <c r="Q250" s="114">
        <v>122</v>
      </c>
      <c r="R250" s="13" t="s">
        <v>25</v>
      </c>
      <c r="S250" s="13" t="s">
        <v>25</v>
      </c>
      <c r="T250" s="13" t="s">
        <v>25</v>
      </c>
    </row>
    <row r="251" spans="1:20" x14ac:dyDescent="0.3">
      <c r="A251" s="14">
        <v>43896.708333333336</v>
      </c>
      <c r="B251" s="13" t="s">
        <v>22</v>
      </c>
      <c r="C251" s="114">
        <v>10</v>
      </c>
      <c r="D251" s="13" t="s">
        <v>59</v>
      </c>
      <c r="E251" s="114">
        <v>4310675841</v>
      </c>
      <c r="F251" s="114">
        <v>1238824698</v>
      </c>
      <c r="G251" s="114">
        <v>2</v>
      </c>
      <c r="H251" s="114">
        <v>2</v>
      </c>
      <c r="I251" s="114">
        <v>4</v>
      </c>
      <c r="J251" s="114">
        <v>12</v>
      </c>
      <c r="K251" s="114">
        <v>16</v>
      </c>
      <c r="L251" s="114">
        <v>7</v>
      </c>
      <c r="M251" s="114">
        <v>7</v>
      </c>
      <c r="N251" s="114">
        <v>0</v>
      </c>
      <c r="O251" s="114">
        <v>0</v>
      </c>
      <c r="P251" s="114">
        <v>16</v>
      </c>
      <c r="Q251" s="114">
        <v>110</v>
      </c>
      <c r="R251" s="13" t="s">
        <v>25</v>
      </c>
      <c r="S251" s="13" t="s">
        <v>25</v>
      </c>
      <c r="T251" s="13" t="s">
        <v>25</v>
      </c>
    </row>
    <row r="252" spans="1:20" x14ac:dyDescent="0.3">
      <c r="A252" s="14">
        <v>43896.708333333336</v>
      </c>
      <c r="B252" s="13" t="s">
        <v>22</v>
      </c>
      <c r="C252" s="114">
        <v>2</v>
      </c>
      <c r="D252" s="13" t="s">
        <v>60</v>
      </c>
      <c r="E252" s="114">
        <v>4573750286</v>
      </c>
      <c r="F252" s="114">
        <v>7320149366</v>
      </c>
      <c r="G252" s="114">
        <v>0</v>
      </c>
      <c r="H252" s="114">
        <v>0</v>
      </c>
      <c r="I252" s="114">
        <v>0</v>
      </c>
      <c r="J252" s="114">
        <v>7</v>
      </c>
      <c r="K252" s="114">
        <v>7</v>
      </c>
      <c r="L252" s="114">
        <v>5</v>
      </c>
      <c r="M252" s="114">
        <v>5</v>
      </c>
      <c r="N252" s="114">
        <v>0</v>
      </c>
      <c r="O252" s="114">
        <v>0</v>
      </c>
      <c r="P252" s="114">
        <v>7</v>
      </c>
      <c r="Q252" s="114">
        <v>28</v>
      </c>
      <c r="R252" s="13" t="s">
        <v>25</v>
      </c>
      <c r="S252" s="13" t="s">
        <v>25</v>
      </c>
      <c r="T252" s="13" t="s">
        <v>25</v>
      </c>
    </row>
    <row r="253" spans="1:20" x14ac:dyDescent="0.3">
      <c r="A253" s="14">
        <v>43896.708333333336</v>
      </c>
      <c r="B253" s="13" t="s">
        <v>22</v>
      </c>
      <c r="C253" s="114">
        <v>5</v>
      </c>
      <c r="D253" s="13" t="s">
        <v>61</v>
      </c>
      <c r="E253" s="114">
        <v>4543490485</v>
      </c>
      <c r="F253" s="114">
        <v>1233845213</v>
      </c>
      <c r="G253" s="114">
        <v>117</v>
      </c>
      <c r="H253" s="114">
        <v>27</v>
      </c>
      <c r="I253" s="114">
        <v>144</v>
      </c>
      <c r="J253" s="114">
        <v>310</v>
      </c>
      <c r="K253" s="114">
        <v>454</v>
      </c>
      <c r="L253" s="114">
        <v>74</v>
      </c>
      <c r="M253" s="114">
        <v>81</v>
      </c>
      <c r="N253" s="114">
        <v>22</v>
      </c>
      <c r="O253" s="114">
        <v>12</v>
      </c>
      <c r="P253" s="114">
        <v>488</v>
      </c>
      <c r="Q253" s="114">
        <v>13023</v>
      </c>
      <c r="R253" s="13" t="s">
        <v>25</v>
      </c>
      <c r="S253" s="13" t="s">
        <v>25</v>
      </c>
      <c r="T253" s="13" t="s">
        <v>25</v>
      </c>
    </row>
    <row r="254" spans="1:20" x14ac:dyDescent="0.3">
      <c r="A254" s="14">
        <v>43897.75</v>
      </c>
      <c r="B254" s="13" t="s">
        <v>22</v>
      </c>
      <c r="C254" s="114">
        <v>13</v>
      </c>
      <c r="D254" s="13" t="s">
        <v>42</v>
      </c>
      <c r="E254" s="114">
        <v>4235122196</v>
      </c>
      <c r="F254" s="114">
        <v>1339843823</v>
      </c>
      <c r="G254" s="114">
        <v>11</v>
      </c>
      <c r="H254" s="114">
        <v>0</v>
      </c>
      <c r="I254" s="114">
        <v>11</v>
      </c>
      <c r="J254" s="114">
        <v>0</v>
      </c>
      <c r="K254" s="114">
        <v>11</v>
      </c>
      <c r="L254" s="114">
        <v>2</v>
      </c>
      <c r="M254" s="114">
        <v>2</v>
      </c>
      <c r="N254" s="114">
        <v>0</v>
      </c>
      <c r="O254" s="114">
        <v>0</v>
      </c>
      <c r="P254" s="114">
        <v>11</v>
      </c>
      <c r="Q254" s="114">
        <v>123</v>
      </c>
      <c r="R254" s="13" t="s">
        <v>25</v>
      </c>
      <c r="S254" s="13" t="s">
        <v>25</v>
      </c>
      <c r="T254" s="13" t="s">
        <v>25</v>
      </c>
    </row>
    <row r="255" spans="1:20" x14ac:dyDescent="0.3">
      <c r="A255" s="14">
        <v>43897.75</v>
      </c>
      <c r="B255" s="13" t="s">
        <v>22</v>
      </c>
      <c r="C255" s="114">
        <v>17</v>
      </c>
      <c r="D255" s="13" t="s">
        <v>43</v>
      </c>
      <c r="E255" s="114">
        <v>4063947052</v>
      </c>
      <c r="F255" s="114">
        <v>1580514834</v>
      </c>
      <c r="G255" s="114">
        <v>1</v>
      </c>
      <c r="H255" s="114">
        <v>0</v>
      </c>
      <c r="I255" s="114">
        <v>1</v>
      </c>
      <c r="J255" s="114">
        <v>2</v>
      </c>
      <c r="K255" s="114">
        <v>3</v>
      </c>
      <c r="L255" s="114">
        <v>0</v>
      </c>
      <c r="M255" s="114">
        <v>0</v>
      </c>
      <c r="N255" s="114">
        <v>0</v>
      </c>
      <c r="O255" s="114">
        <v>0</v>
      </c>
      <c r="P255" s="114">
        <v>3</v>
      </c>
      <c r="Q255" s="114">
        <v>75</v>
      </c>
      <c r="R255" s="13" t="s">
        <v>25</v>
      </c>
      <c r="S255" s="13" t="s">
        <v>25</v>
      </c>
      <c r="T255" s="13" t="s">
        <v>25</v>
      </c>
    </row>
    <row r="256" spans="1:20" x14ac:dyDescent="0.3">
      <c r="A256" s="14">
        <v>43897.75</v>
      </c>
      <c r="B256" s="13" t="s">
        <v>22</v>
      </c>
      <c r="C256" s="114">
        <v>4</v>
      </c>
      <c r="D256" s="13" t="s">
        <v>44</v>
      </c>
      <c r="E256" s="114">
        <v>4649933453</v>
      </c>
      <c r="F256" s="114">
        <v>1135662422</v>
      </c>
      <c r="G256" s="114">
        <v>8</v>
      </c>
      <c r="H256" s="114">
        <v>0</v>
      </c>
      <c r="I256" s="114">
        <v>8</v>
      </c>
      <c r="J256" s="114">
        <v>1</v>
      </c>
      <c r="K256" s="114">
        <v>9</v>
      </c>
      <c r="L256" s="114">
        <v>5</v>
      </c>
      <c r="M256" s="114">
        <v>5</v>
      </c>
      <c r="N256" s="114">
        <v>0</v>
      </c>
      <c r="O256" s="114">
        <v>0</v>
      </c>
      <c r="P256" s="114">
        <v>9</v>
      </c>
      <c r="Q256" s="114">
        <v>36</v>
      </c>
      <c r="R256" s="13" t="s">
        <v>25</v>
      </c>
      <c r="S256" s="13" t="s">
        <v>25</v>
      </c>
      <c r="T256" s="13" t="s">
        <v>25</v>
      </c>
    </row>
    <row r="257" spans="1:20" x14ac:dyDescent="0.3">
      <c r="A257" s="14">
        <v>43897.75</v>
      </c>
      <c r="B257" s="13" t="s">
        <v>22</v>
      </c>
      <c r="C257" s="114">
        <v>18</v>
      </c>
      <c r="D257" s="13" t="s">
        <v>45</v>
      </c>
      <c r="E257" s="114">
        <v>3890597598</v>
      </c>
      <c r="F257" s="114">
        <v>1659440194</v>
      </c>
      <c r="G257" s="114">
        <v>2</v>
      </c>
      <c r="H257" s="114">
        <v>0</v>
      </c>
      <c r="I257" s="114">
        <v>2</v>
      </c>
      <c r="J257" s="114">
        <v>2</v>
      </c>
      <c r="K257" s="114">
        <v>4</v>
      </c>
      <c r="L257" s="114">
        <v>0</v>
      </c>
      <c r="M257" s="114">
        <v>0</v>
      </c>
      <c r="N257" s="114">
        <v>0</v>
      </c>
      <c r="O257" s="114">
        <v>0</v>
      </c>
      <c r="P257" s="114">
        <v>4</v>
      </c>
      <c r="Q257" s="114">
        <v>113</v>
      </c>
      <c r="R257" s="13" t="s">
        <v>25</v>
      </c>
      <c r="S257" s="13" t="s">
        <v>25</v>
      </c>
      <c r="T257" s="13" t="s">
        <v>25</v>
      </c>
    </row>
    <row r="258" spans="1:20" x14ac:dyDescent="0.3">
      <c r="A258" s="14">
        <v>43897.75</v>
      </c>
      <c r="B258" s="13" t="s">
        <v>22</v>
      </c>
      <c r="C258" s="114">
        <v>15</v>
      </c>
      <c r="D258" s="13" t="s">
        <v>46</v>
      </c>
      <c r="E258" s="114">
        <v>4083956555</v>
      </c>
      <c r="F258" s="114">
        <v>1425084984</v>
      </c>
      <c r="G258" s="114">
        <v>16</v>
      </c>
      <c r="H258" s="114">
        <v>0</v>
      </c>
      <c r="I258" s="114">
        <v>16</v>
      </c>
      <c r="J258" s="114">
        <v>45</v>
      </c>
      <c r="K258" s="114">
        <v>61</v>
      </c>
      <c r="L258" s="114">
        <v>4</v>
      </c>
      <c r="M258" s="114">
        <v>4</v>
      </c>
      <c r="N258" s="114">
        <v>0</v>
      </c>
      <c r="O258" s="114">
        <v>0</v>
      </c>
      <c r="P258" s="114">
        <v>61</v>
      </c>
      <c r="Q258" s="114">
        <v>612</v>
      </c>
      <c r="R258" s="13" t="s">
        <v>25</v>
      </c>
      <c r="S258" s="13" t="s">
        <v>25</v>
      </c>
      <c r="T258" s="13" t="s">
        <v>25</v>
      </c>
    </row>
    <row r="259" spans="1:20" x14ac:dyDescent="0.3">
      <c r="A259" s="14">
        <v>43897.75</v>
      </c>
      <c r="B259" s="13" t="s">
        <v>22</v>
      </c>
      <c r="C259" s="114">
        <v>8</v>
      </c>
      <c r="D259" s="13" t="s">
        <v>96</v>
      </c>
      <c r="E259" s="114">
        <v>4449436681</v>
      </c>
      <c r="F259" s="114">
        <v>113417208</v>
      </c>
      <c r="G259" s="114">
        <v>464</v>
      </c>
      <c r="H259" s="114">
        <v>64</v>
      </c>
      <c r="I259" s="114">
        <v>528</v>
      </c>
      <c r="J259" s="114">
        <v>409</v>
      </c>
      <c r="K259" s="114">
        <v>937</v>
      </c>
      <c r="L259" s="114">
        <v>121</v>
      </c>
      <c r="M259" s="114">
        <v>140</v>
      </c>
      <c r="N259" s="114">
        <v>25</v>
      </c>
      <c r="O259" s="114">
        <v>48</v>
      </c>
      <c r="P259" s="114">
        <v>1010</v>
      </c>
      <c r="Q259" s="114">
        <v>3604</v>
      </c>
      <c r="R259" s="13" t="s">
        <v>25</v>
      </c>
      <c r="S259" s="13" t="s">
        <v>25</v>
      </c>
      <c r="T259" s="13" t="s">
        <v>25</v>
      </c>
    </row>
    <row r="260" spans="1:20" x14ac:dyDescent="0.3">
      <c r="A260" s="14">
        <v>43897.75</v>
      </c>
      <c r="B260" s="13" t="s">
        <v>22</v>
      </c>
      <c r="C260" s="114">
        <v>6</v>
      </c>
      <c r="D260" s="13" t="s">
        <v>47</v>
      </c>
      <c r="E260" s="114">
        <v>456494354</v>
      </c>
      <c r="F260" s="114">
        <v>1376813649</v>
      </c>
      <c r="G260" s="114">
        <v>7</v>
      </c>
      <c r="H260" s="114">
        <v>1</v>
      </c>
      <c r="I260" s="114">
        <v>8</v>
      </c>
      <c r="J260" s="114">
        <v>31</v>
      </c>
      <c r="K260" s="114">
        <v>39</v>
      </c>
      <c r="L260" s="114">
        <v>11</v>
      </c>
      <c r="M260" s="114">
        <v>11</v>
      </c>
      <c r="N260" s="114">
        <v>3</v>
      </c>
      <c r="O260" s="114">
        <v>0</v>
      </c>
      <c r="P260" s="114">
        <v>42</v>
      </c>
      <c r="Q260" s="114">
        <v>577</v>
      </c>
      <c r="R260" s="13" t="s">
        <v>25</v>
      </c>
      <c r="S260" s="13" t="s">
        <v>25</v>
      </c>
      <c r="T260" s="13" t="s">
        <v>25</v>
      </c>
    </row>
    <row r="261" spans="1:20" x14ac:dyDescent="0.3">
      <c r="A261" s="14">
        <v>43897.75</v>
      </c>
      <c r="B261" s="13" t="s">
        <v>22</v>
      </c>
      <c r="C261" s="114">
        <v>12</v>
      </c>
      <c r="D261" s="13" t="s">
        <v>48</v>
      </c>
      <c r="E261" s="114">
        <v>4189277044</v>
      </c>
      <c r="F261" s="114">
        <v>1248366722</v>
      </c>
      <c r="G261" s="114">
        <v>43</v>
      </c>
      <c r="H261" s="114">
        <v>8</v>
      </c>
      <c r="I261" s="114">
        <v>51</v>
      </c>
      <c r="J261" s="114">
        <v>21</v>
      </c>
      <c r="K261" s="114">
        <v>72</v>
      </c>
      <c r="L261" s="114">
        <v>22</v>
      </c>
      <c r="M261" s="114">
        <v>22</v>
      </c>
      <c r="N261" s="114">
        <v>3</v>
      </c>
      <c r="O261" s="114">
        <v>1</v>
      </c>
      <c r="P261" s="114">
        <v>76</v>
      </c>
      <c r="Q261" s="114">
        <v>1582</v>
      </c>
      <c r="R261" s="13" t="s">
        <v>25</v>
      </c>
      <c r="S261" s="13" t="s">
        <v>25</v>
      </c>
      <c r="T261" s="13" t="s">
        <v>25</v>
      </c>
    </row>
    <row r="262" spans="1:20" x14ac:dyDescent="0.3">
      <c r="A262" s="14">
        <v>43897.75</v>
      </c>
      <c r="B262" s="13" t="s">
        <v>22</v>
      </c>
      <c r="C262" s="114">
        <v>7</v>
      </c>
      <c r="D262" s="13" t="s">
        <v>49</v>
      </c>
      <c r="E262" s="114">
        <v>4441149315</v>
      </c>
      <c r="F262" s="114">
        <v>89326992</v>
      </c>
      <c r="G262" s="114">
        <v>26</v>
      </c>
      <c r="H262" s="114">
        <v>6</v>
      </c>
      <c r="I262" s="114">
        <v>32</v>
      </c>
      <c r="J262" s="114">
        <v>10</v>
      </c>
      <c r="K262" s="114">
        <v>42</v>
      </c>
      <c r="L262" s="114">
        <v>18</v>
      </c>
      <c r="M262" s="114">
        <v>19</v>
      </c>
      <c r="N262" s="114">
        <v>5</v>
      </c>
      <c r="O262" s="114">
        <v>4</v>
      </c>
      <c r="P262" s="114">
        <v>51</v>
      </c>
      <c r="Q262" s="114">
        <v>331</v>
      </c>
      <c r="R262" s="13" t="s">
        <v>25</v>
      </c>
      <c r="S262" s="13" t="s">
        <v>25</v>
      </c>
      <c r="T262" s="13" t="s">
        <v>25</v>
      </c>
    </row>
    <row r="263" spans="1:20" x14ac:dyDescent="0.3">
      <c r="A263" s="14">
        <v>43897.75</v>
      </c>
      <c r="B263" s="13" t="s">
        <v>22</v>
      </c>
      <c r="C263" s="114">
        <v>3</v>
      </c>
      <c r="D263" s="13" t="s">
        <v>50</v>
      </c>
      <c r="E263" s="114">
        <v>4546679409</v>
      </c>
      <c r="F263" s="114">
        <v>9190347404</v>
      </c>
      <c r="G263" s="114">
        <v>1661</v>
      </c>
      <c r="H263" s="114">
        <v>359</v>
      </c>
      <c r="I263" s="114">
        <v>2020</v>
      </c>
      <c r="J263" s="114">
        <v>722</v>
      </c>
      <c r="K263" s="114">
        <v>2742</v>
      </c>
      <c r="L263" s="114">
        <v>734</v>
      </c>
      <c r="M263" s="114">
        <v>808</v>
      </c>
      <c r="N263" s="114">
        <v>524</v>
      </c>
      <c r="O263" s="114">
        <v>154</v>
      </c>
      <c r="P263" s="114">
        <v>3420</v>
      </c>
      <c r="Q263" s="114">
        <v>15778</v>
      </c>
      <c r="R263" s="13" t="s">
        <v>25</v>
      </c>
      <c r="S263" s="13" t="s">
        <v>62</v>
      </c>
      <c r="T263" s="13" t="s">
        <v>63</v>
      </c>
    </row>
    <row r="264" spans="1:20" x14ac:dyDescent="0.3">
      <c r="A264" s="14">
        <v>43897.75</v>
      </c>
      <c r="B264" s="13" t="s">
        <v>22</v>
      </c>
      <c r="C264" s="114">
        <v>11</v>
      </c>
      <c r="D264" s="13" t="s">
        <v>51</v>
      </c>
      <c r="E264" s="114">
        <v>4361675973</v>
      </c>
      <c r="F264" s="114">
        <v>135188753</v>
      </c>
      <c r="G264" s="114">
        <v>94</v>
      </c>
      <c r="H264" s="114">
        <v>36</v>
      </c>
      <c r="I264" s="114">
        <v>130</v>
      </c>
      <c r="J264" s="114">
        <v>71</v>
      </c>
      <c r="K264" s="114">
        <v>201</v>
      </c>
      <c r="L264" s="114">
        <v>46</v>
      </c>
      <c r="M264" s="114">
        <v>48</v>
      </c>
      <c r="N264" s="114">
        <v>0</v>
      </c>
      <c r="O264" s="114">
        <v>6</v>
      </c>
      <c r="P264" s="114">
        <v>207</v>
      </c>
      <c r="Q264" s="114">
        <v>816</v>
      </c>
      <c r="R264" s="13" t="s">
        <v>25</v>
      </c>
      <c r="S264" s="13" t="s">
        <v>25</v>
      </c>
      <c r="T264" s="13" t="s">
        <v>25</v>
      </c>
    </row>
    <row r="265" spans="1:20" x14ac:dyDescent="0.3">
      <c r="A265" s="14">
        <v>43897.75</v>
      </c>
      <c r="B265" s="13" t="s">
        <v>22</v>
      </c>
      <c r="C265" s="114">
        <v>14</v>
      </c>
      <c r="D265" s="13" t="s">
        <v>52</v>
      </c>
      <c r="E265" s="114">
        <v>4155774754</v>
      </c>
      <c r="F265" s="114">
        <v>1465916051</v>
      </c>
      <c r="G265" s="114">
        <v>3</v>
      </c>
      <c r="H265" s="114">
        <v>2</v>
      </c>
      <c r="I265" s="114">
        <v>5</v>
      </c>
      <c r="J265" s="114">
        <v>9</v>
      </c>
      <c r="K265" s="114">
        <v>14</v>
      </c>
      <c r="L265" s="114">
        <v>2</v>
      </c>
      <c r="M265" s="114">
        <v>2</v>
      </c>
      <c r="N265" s="114">
        <v>0</v>
      </c>
      <c r="O265" s="114">
        <v>0</v>
      </c>
      <c r="P265" s="114">
        <v>14</v>
      </c>
      <c r="Q265" s="114">
        <v>112</v>
      </c>
      <c r="R265" s="13" t="s">
        <v>25</v>
      </c>
      <c r="S265" s="13" t="s">
        <v>25</v>
      </c>
      <c r="T265" s="13" t="s">
        <v>25</v>
      </c>
    </row>
    <row r="266" spans="1:20" x14ac:dyDescent="0.3">
      <c r="A266" s="14">
        <v>43897.75</v>
      </c>
      <c r="B266" s="13" t="s">
        <v>22</v>
      </c>
      <c r="C266" s="114">
        <v>1</v>
      </c>
      <c r="D266" s="13" t="s">
        <v>53</v>
      </c>
      <c r="E266" s="114">
        <v>450732745</v>
      </c>
      <c r="F266" s="114">
        <v>7680687483</v>
      </c>
      <c r="G266" s="114">
        <v>110</v>
      </c>
      <c r="H266" s="114">
        <v>38</v>
      </c>
      <c r="I266" s="114">
        <v>148</v>
      </c>
      <c r="J266" s="114">
        <v>54</v>
      </c>
      <c r="K266" s="114">
        <v>202</v>
      </c>
      <c r="L266" s="114">
        <v>63</v>
      </c>
      <c r="M266" s="114">
        <v>64</v>
      </c>
      <c r="N266" s="114">
        <v>0</v>
      </c>
      <c r="O266" s="114">
        <v>5</v>
      </c>
      <c r="P266" s="114">
        <v>207</v>
      </c>
      <c r="Q266" s="114">
        <v>1046</v>
      </c>
      <c r="R266" s="13" t="s">
        <v>25</v>
      </c>
      <c r="S266" s="13" t="s">
        <v>25</v>
      </c>
      <c r="T266" s="13" t="s">
        <v>25</v>
      </c>
    </row>
    <row r="267" spans="1:20" x14ac:dyDescent="0.3">
      <c r="A267" s="14">
        <v>43897.75</v>
      </c>
      <c r="B267" s="13" t="s">
        <v>22</v>
      </c>
      <c r="C267" s="114">
        <v>16</v>
      </c>
      <c r="D267" s="13" t="s">
        <v>54</v>
      </c>
      <c r="E267" s="114">
        <v>4112559576</v>
      </c>
      <c r="F267" s="114">
        <v>1686736689</v>
      </c>
      <c r="G267" s="114">
        <v>9</v>
      </c>
      <c r="H267" s="114">
        <v>2</v>
      </c>
      <c r="I267" s="114">
        <v>11</v>
      </c>
      <c r="J267" s="114">
        <v>12</v>
      </c>
      <c r="K267" s="114">
        <v>23</v>
      </c>
      <c r="L267" s="114">
        <v>8</v>
      </c>
      <c r="M267" s="114">
        <v>9</v>
      </c>
      <c r="N267" s="114">
        <v>1</v>
      </c>
      <c r="O267" s="114">
        <v>2</v>
      </c>
      <c r="P267" s="114">
        <v>26</v>
      </c>
      <c r="Q267" s="114">
        <v>395</v>
      </c>
      <c r="R267" s="13" t="s">
        <v>25</v>
      </c>
      <c r="S267" s="13" t="s">
        <v>25</v>
      </c>
      <c r="T267" s="13" t="s">
        <v>25</v>
      </c>
    </row>
    <row r="268" spans="1:20" x14ac:dyDescent="0.3">
      <c r="A268" s="14">
        <v>43897.75</v>
      </c>
      <c r="B268" s="13" t="s">
        <v>22</v>
      </c>
      <c r="C268" s="114">
        <v>20</v>
      </c>
      <c r="D268" s="13" t="s">
        <v>55</v>
      </c>
      <c r="E268" s="114">
        <v>3921531192</v>
      </c>
      <c r="F268" s="114">
        <v>9110616306</v>
      </c>
      <c r="G268" s="114">
        <v>2</v>
      </c>
      <c r="H268" s="114">
        <v>0</v>
      </c>
      <c r="I268" s="114">
        <v>2</v>
      </c>
      <c r="J268" s="114">
        <v>3</v>
      </c>
      <c r="K268" s="114">
        <v>5</v>
      </c>
      <c r="L268" s="114">
        <v>0</v>
      </c>
      <c r="M268" s="114">
        <v>0</v>
      </c>
      <c r="N268" s="114">
        <v>0</v>
      </c>
      <c r="O268" s="114">
        <v>0</v>
      </c>
      <c r="P268" s="114">
        <v>5</v>
      </c>
      <c r="Q268" s="114">
        <v>99</v>
      </c>
      <c r="R268" s="13" t="s">
        <v>25</v>
      </c>
      <c r="S268" s="13" t="s">
        <v>25</v>
      </c>
      <c r="T268" s="13" t="s">
        <v>25</v>
      </c>
    </row>
    <row r="269" spans="1:20" x14ac:dyDescent="0.3">
      <c r="A269" s="14">
        <v>43897.75</v>
      </c>
      <c r="B269" s="13" t="s">
        <v>22</v>
      </c>
      <c r="C269" s="114">
        <v>19</v>
      </c>
      <c r="D269" s="13" t="s">
        <v>56</v>
      </c>
      <c r="E269" s="114">
        <v>3811569725</v>
      </c>
      <c r="F269" s="114">
        <v>133623567</v>
      </c>
      <c r="G269" s="114">
        <v>8</v>
      </c>
      <c r="H269" s="114">
        <v>0</v>
      </c>
      <c r="I269" s="114">
        <v>8</v>
      </c>
      <c r="J269" s="114">
        <v>25</v>
      </c>
      <c r="K269" s="114">
        <v>33</v>
      </c>
      <c r="L269" s="114">
        <v>11</v>
      </c>
      <c r="M269" s="114">
        <v>11</v>
      </c>
      <c r="N269" s="114">
        <v>2</v>
      </c>
      <c r="O269" s="114">
        <v>0</v>
      </c>
      <c r="P269" s="114">
        <v>35</v>
      </c>
      <c r="Q269" s="114">
        <v>643</v>
      </c>
      <c r="R269" s="13" t="s">
        <v>25</v>
      </c>
      <c r="S269" s="13" t="s">
        <v>25</v>
      </c>
      <c r="T269" s="13" t="s">
        <v>25</v>
      </c>
    </row>
    <row r="270" spans="1:20" x14ac:dyDescent="0.3">
      <c r="A270" s="14">
        <v>43897.75</v>
      </c>
      <c r="B270" s="13" t="s">
        <v>22</v>
      </c>
      <c r="C270" s="114">
        <v>9</v>
      </c>
      <c r="D270" s="13" t="s">
        <v>57</v>
      </c>
      <c r="E270" s="114">
        <v>4376923077</v>
      </c>
      <c r="F270" s="114">
        <v>1125588885</v>
      </c>
      <c r="G270" s="114">
        <v>54</v>
      </c>
      <c r="H270" s="114">
        <v>7</v>
      </c>
      <c r="I270" s="114">
        <v>61</v>
      </c>
      <c r="J270" s="114">
        <v>51</v>
      </c>
      <c r="K270" s="114">
        <v>112</v>
      </c>
      <c r="L270" s="114">
        <v>34</v>
      </c>
      <c r="M270" s="114">
        <v>34</v>
      </c>
      <c r="N270" s="114">
        <v>1</v>
      </c>
      <c r="O270" s="114">
        <v>0</v>
      </c>
      <c r="P270" s="114">
        <v>113</v>
      </c>
      <c r="Q270" s="114">
        <v>1331</v>
      </c>
      <c r="R270" s="13" t="s">
        <v>25</v>
      </c>
      <c r="S270" s="13" t="s">
        <v>25</v>
      </c>
      <c r="T270" s="13" t="s">
        <v>25</v>
      </c>
    </row>
    <row r="271" spans="1:20" x14ac:dyDescent="0.3">
      <c r="A271" s="14">
        <v>43897.75</v>
      </c>
      <c r="B271" s="13" t="s">
        <v>22</v>
      </c>
      <c r="C271" s="114">
        <v>4</v>
      </c>
      <c r="D271" s="13" t="s">
        <v>58</v>
      </c>
      <c r="E271" s="114">
        <v>4606893511</v>
      </c>
      <c r="F271" s="114">
        <v>1112123097</v>
      </c>
      <c r="G271" s="114">
        <v>6</v>
      </c>
      <c r="H271" s="114">
        <v>1</v>
      </c>
      <c r="I271" s="114">
        <v>7</v>
      </c>
      <c r="J271" s="114">
        <v>7</v>
      </c>
      <c r="K271" s="114">
        <v>14</v>
      </c>
      <c r="L271" s="114">
        <v>4</v>
      </c>
      <c r="M271" s="114">
        <v>4</v>
      </c>
      <c r="N271" s="114">
        <v>0</v>
      </c>
      <c r="O271" s="114">
        <v>0</v>
      </c>
      <c r="P271" s="114">
        <v>14</v>
      </c>
      <c r="Q271" s="114">
        <v>194</v>
      </c>
      <c r="R271" s="13" t="s">
        <v>25</v>
      </c>
      <c r="S271" s="13" t="s">
        <v>25</v>
      </c>
      <c r="T271" s="13" t="s">
        <v>25</v>
      </c>
    </row>
    <row r="272" spans="1:20" x14ac:dyDescent="0.3">
      <c r="A272" s="14">
        <v>43897.75</v>
      </c>
      <c r="B272" s="13" t="s">
        <v>22</v>
      </c>
      <c r="C272" s="114">
        <v>10</v>
      </c>
      <c r="D272" s="13" t="s">
        <v>59</v>
      </c>
      <c r="E272" s="114">
        <v>4310675841</v>
      </c>
      <c r="F272" s="114">
        <v>1238824698</v>
      </c>
      <c r="G272" s="114">
        <v>2</v>
      </c>
      <c r="H272" s="114">
        <v>2</v>
      </c>
      <c r="I272" s="114">
        <v>4</v>
      </c>
      <c r="J272" s="114">
        <v>20</v>
      </c>
      <c r="K272" s="114">
        <v>24</v>
      </c>
      <c r="L272" s="114">
        <v>8</v>
      </c>
      <c r="M272" s="114">
        <v>8</v>
      </c>
      <c r="N272" s="114">
        <v>0</v>
      </c>
      <c r="O272" s="114">
        <v>0</v>
      </c>
      <c r="P272" s="114">
        <v>24</v>
      </c>
      <c r="Q272" s="114">
        <v>134</v>
      </c>
      <c r="R272" s="13" t="s">
        <v>25</v>
      </c>
      <c r="S272" s="13" t="s">
        <v>25</v>
      </c>
      <c r="T272" s="13" t="s">
        <v>25</v>
      </c>
    </row>
    <row r="273" spans="1:20" x14ac:dyDescent="0.3">
      <c r="A273" s="14">
        <v>43897.75</v>
      </c>
      <c r="B273" s="13" t="s">
        <v>22</v>
      </c>
      <c r="C273" s="114">
        <v>2</v>
      </c>
      <c r="D273" s="13" t="s">
        <v>60</v>
      </c>
      <c r="E273" s="114">
        <v>4573750286</v>
      </c>
      <c r="F273" s="114">
        <v>7320149366</v>
      </c>
      <c r="G273" s="114">
        <v>1</v>
      </c>
      <c r="H273" s="114">
        <v>0</v>
      </c>
      <c r="I273" s="114">
        <v>1</v>
      </c>
      <c r="J273" s="114">
        <v>7</v>
      </c>
      <c r="K273" s="114">
        <v>8</v>
      </c>
      <c r="L273" s="114">
        <v>1</v>
      </c>
      <c r="M273" s="114">
        <v>1</v>
      </c>
      <c r="N273" s="114">
        <v>0</v>
      </c>
      <c r="O273" s="114">
        <v>0</v>
      </c>
      <c r="P273" s="114">
        <v>8</v>
      </c>
      <c r="Q273" s="114">
        <v>32</v>
      </c>
      <c r="R273" s="13" t="s">
        <v>25</v>
      </c>
      <c r="S273" s="13" t="s">
        <v>25</v>
      </c>
      <c r="T273" s="13" t="s">
        <v>25</v>
      </c>
    </row>
    <row r="274" spans="1:20" x14ac:dyDescent="0.3">
      <c r="A274" s="14">
        <v>43897.75</v>
      </c>
      <c r="B274" s="13" t="s">
        <v>22</v>
      </c>
      <c r="C274" s="114">
        <v>5</v>
      </c>
      <c r="D274" s="13" t="s">
        <v>61</v>
      </c>
      <c r="E274" s="114">
        <v>4543490485</v>
      </c>
      <c r="F274" s="114">
        <v>1233845213</v>
      </c>
      <c r="G274" s="114">
        <v>123</v>
      </c>
      <c r="H274" s="114">
        <v>41</v>
      </c>
      <c r="I274" s="114">
        <v>164</v>
      </c>
      <c r="J274" s="114">
        <v>341</v>
      </c>
      <c r="K274" s="114">
        <v>505</v>
      </c>
      <c r="L274" s="114">
        <v>51</v>
      </c>
      <c r="M274" s="114">
        <v>55</v>
      </c>
      <c r="N274" s="114">
        <v>25</v>
      </c>
      <c r="O274" s="114">
        <v>13</v>
      </c>
      <c r="P274" s="114">
        <v>543</v>
      </c>
      <c r="Q274" s="114">
        <v>14429</v>
      </c>
      <c r="R274" s="13" t="s">
        <v>25</v>
      </c>
      <c r="S274" s="13" t="s">
        <v>25</v>
      </c>
      <c r="T274" s="13" t="s">
        <v>25</v>
      </c>
    </row>
    <row r="275" spans="1:20" x14ac:dyDescent="0.3">
      <c r="A275" s="14">
        <v>43898.75</v>
      </c>
      <c r="B275" s="13" t="s">
        <v>22</v>
      </c>
      <c r="C275" s="114">
        <v>13</v>
      </c>
      <c r="D275" s="13" t="s">
        <v>42</v>
      </c>
      <c r="E275" s="114">
        <v>4235122196</v>
      </c>
      <c r="F275" s="114">
        <v>1339843823</v>
      </c>
      <c r="G275" s="114">
        <v>14</v>
      </c>
      <c r="H275" s="114">
        <v>0</v>
      </c>
      <c r="I275" s="114">
        <v>14</v>
      </c>
      <c r="J275" s="114">
        <v>3</v>
      </c>
      <c r="K275" s="114">
        <v>17</v>
      </c>
      <c r="L275" s="114">
        <v>6</v>
      </c>
      <c r="M275" s="114">
        <v>6</v>
      </c>
      <c r="N275" s="114">
        <v>0</v>
      </c>
      <c r="O275" s="114">
        <v>0</v>
      </c>
      <c r="P275" s="114">
        <v>17</v>
      </c>
      <c r="Q275" s="114">
        <v>163</v>
      </c>
      <c r="R275" s="13" t="s">
        <v>25</v>
      </c>
      <c r="S275" s="13" t="s">
        <v>25</v>
      </c>
      <c r="T275" s="13" t="s">
        <v>25</v>
      </c>
    </row>
    <row r="276" spans="1:20" x14ac:dyDescent="0.3">
      <c r="A276" s="14">
        <v>43898.75</v>
      </c>
      <c r="B276" s="13" t="s">
        <v>22</v>
      </c>
      <c r="C276" s="114">
        <v>17</v>
      </c>
      <c r="D276" s="13" t="s">
        <v>43</v>
      </c>
      <c r="E276" s="114">
        <v>4063947052</v>
      </c>
      <c r="F276" s="114">
        <v>1580514834</v>
      </c>
      <c r="G276" s="114">
        <v>2</v>
      </c>
      <c r="H276" s="114">
        <v>0</v>
      </c>
      <c r="I276" s="114">
        <v>2</v>
      </c>
      <c r="J276" s="114">
        <v>2</v>
      </c>
      <c r="K276" s="114">
        <v>4</v>
      </c>
      <c r="L276" s="114">
        <v>1</v>
      </c>
      <c r="M276" s="114">
        <v>1</v>
      </c>
      <c r="N276" s="114">
        <v>0</v>
      </c>
      <c r="O276" s="114">
        <v>0</v>
      </c>
      <c r="P276" s="114">
        <v>4</v>
      </c>
      <c r="Q276" s="114">
        <v>123</v>
      </c>
      <c r="R276" s="13" t="s">
        <v>25</v>
      </c>
      <c r="S276" s="13" t="s">
        <v>25</v>
      </c>
      <c r="T276" s="13" t="s">
        <v>25</v>
      </c>
    </row>
    <row r="277" spans="1:20" x14ac:dyDescent="0.3">
      <c r="A277" s="14">
        <v>43898.75</v>
      </c>
      <c r="B277" s="13" t="s">
        <v>22</v>
      </c>
      <c r="C277" s="114">
        <v>4</v>
      </c>
      <c r="D277" s="13" t="s">
        <v>44</v>
      </c>
      <c r="E277" s="114">
        <v>4649933453</v>
      </c>
      <c r="F277" s="114">
        <v>1135662422</v>
      </c>
      <c r="G277" s="114">
        <v>8</v>
      </c>
      <c r="H277" s="114">
        <v>0</v>
      </c>
      <c r="I277" s="114">
        <v>8</v>
      </c>
      <c r="J277" s="114">
        <v>1</v>
      </c>
      <c r="K277" s="114">
        <v>9</v>
      </c>
      <c r="L277" s="114">
        <v>0</v>
      </c>
      <c r="M277" s="114">
        <v>0</v>
      </c>
      <c r="N277" s="114">
        <v>0</v>
      </c>
      <c r="O277" s="114">
        <v>0</v>
      </c>
      <c r="P277" s="114">
        <v>9</v>
      </c>
      <c r="Q277" s="114">
        <v>36</v>
      </c>
      <c r="R277" s="13" t="s">
        <v>25</v>
      </c>
      <c r="S277" s="13" t="s">
        <v>25</v>
      </c>
      <c r="T277" s="13" t="s">
        <v>25</v>
      </c>
    </row>
    <row r="278" spans="1:20" x14ac:dyDescent="0.3">
      <c r="A278" s="14">
        <v>43898.75</v>
      </c>
      <c r="B278" s="13" t="s">
        <v>22</v>
      </c>
      <c r="C278" s="114">
        <v>18</v>
      </c>
      <c r="D278" s="13" t="s">
        <v>45</v>
      </c>
      <c r="E278" s="114">
        <v>3890597598</v>
      </c>
      <c r="F278" s="114">
        <v>1659440194</v>
      </c>
      <c r="G278" s="114">
        <v>5</v>
      </c>
      <c r="H278" s="114">
        <v>0</v>
      </c>
      <c r="I278" s="114">
        <v>5</v>
      </c>
      <c r="J278" s="114">
        <v>4</v>
      </c>
      <c r="K278" s="114">
        <v>9</v>
      </c>
      <c r="L278" s="114">
        <v>5</v>
      </c>
      <c r="M278" s="114">
        <v>5</v>
      </c>
      <c r="N278" s="114">
        <v>0</v>
      </c>
      <c r="O278" s="114">
        <v>0</v>
      </c>
      <c r="P278" s="114">
        <v>9</v>
      </c>
      <c r="Q278" s="114">
        <v>113</v>
      </c>
      <c r="R278" s="13" t="s">
        <v>25</v>
      </c>
      <c r="S278" s="13" t="s">
        <v>25</v>
      </c>
      <c r="T278" s="13" t="s">
        <v>25</v>
      </c>
    </row>
    <row r="279" spans="1:20" x14ac:dyDescent="0.3">
      <c r="A279" s="14">
        <v>43898.75</v>
      </c>
      <c r="B279" s="13" t="s">
        <v>22</v>
      </c>
      <c r="C279" s="114">
        <v>15</v>
      </c>
      <c r="D279" s="13" t="s">
        <v>46</v>
      </c>
      <c r="E279" s="114">
        <v>4083956555</v>
      </c>
      <c r="F279" s="114">
        <v>1425084984</v>
      </c>
      <c r="G279" s="114">
        <v>30</v>
      </c>
      <c r="H279" s="114">
        <v>7</v>
      </c>
      <c r="I279" s="114">
        <v>37</v>
      </c>
      <c r="J279" s="114">
        <v>63</v>
      </c>
      <c r="K279" s="114">
        <v>100</v>
      </c>
      <c r="L279" s="114">
        <v>39</v>
      </c>
      <c r="M279" s="114">
        <v>40</v>
      </c>
      <c r="N279" s="114">
        <v>1</v>
      </c>
      <c r="O279" s="114">
        <v>0</v>
      </c>
      <c r="P279" s="114">
        <v>101</v>
      </c>
      <c r="Q279" s="114">
        <v>980</v>
      </c>
      <c r="R279" s="13" t="s">
        <v>25</v>
      </c>
      <c r="S279" s="13" t="s">
        <v>25</v>
      </c>
      <c r="T279" s="13" t="s">
        <v>25</v>
      </c>
    </row>
    <row r="280" spans="1:20" x14ac:dyDescent="0.3">
      <c r="A280" s="14">
        <v>43898.75</v>
      </c>
      <c r="B280" s="13" t="s">
        <v>22</v>
      </c>
      <c r="C280" s="114">
        <v>8</v>
      </c>
      <c r="D280" s="13" t="s">
        <v>96</v>
      </c>
      <c r="E280" s="114">
        <v>4449436681</v>
      </c>
      <c r="F280" s="114">
        <v>113417208</v>
      </c>
      <c r="G280" s="114">
        <v>542</v>
      </c>
      <c r="H280" s="114">
        <v>75</v>
      </c>
      <c r="I280" s="114">
        <v>617</v>
      </c>
      <c r="J280" s="114">
        <v>480</v>
      </c>
      <c r="K280" s="114">
        <v>1097</v>
      </c>
      <c r="L280" s="114">
        <v>160</v>
      </c>
      <c r="M280" s="114">
        <v>170</v>
      </c>
      <c r="N280" s="114">
        <v>27</v>
      </c>
      <c r="O280" s="114">
        <v>56</v>
      </c>
      <c r="P280" s="114">
        <v>1180</v>
      </c>
      <c r="Q280" s="114">
        <v>4344</v>
      </c>
      <c r="R280" s="13" t="s">
        <v>25</v>
      </c>
      <c r="S280" s="13" t="s">
        <v>25</v>
      </c>
      <c r="T280" s="13" t="s">
        <v>25</v>
      </c>
    </row>
    <row r="281" spans="1:20" x14ac:dyDescent="0.3">
      <c r="A281" s="14">
        <v>43898.75</v>
      </c>
      <c r="B281" s="13" t="s">
        <v>22</v>
      </c>
      <c r="C281" s="114">
        <v>6</v>
      </c>
      <c r="D281" s="13" t="s">
        <v>47</v>
      </c>
      <c r="E281" s="114">
        <v>456494354</v>
      </c>
      <c r="F281" s="114">
        <v>1376813649</v>
      </c>
      <c r="G281" s="114">
        <v>7</v>
      </c>
      <c r="H281" s="114">
        <v>1</v>
      </c>
      <c r="I281" s="114">
        <v>8</v>
      </c>
      <c r="J281" s="114">
        <v>45</v>
      </c>
      <c r="K281" s="114">
        <v>53</v>
      </c>
      <c r="L281" s="114">
        <v>14</v>
      </c>
      <c r="M281" s="114">
        <v>15</v>
      </c>
      <c r="N281" s="114">
        <v>3</v>
      </c>
      <c r="O281" s="114">
        <v>1</v>
      </c>
      <c r="P281" s="114">
        <v>57</v>
      </c>
      <c r="Q281" s="114">
        <v>997</v>
      </c>
      <c r="R281" s="13" t="s">
        <v>25</v>
      </c>
      <c r="S281" s="13" t="s">
        <v>25</v>
      </c>
      <c r="T281" s="13" t="s">
        <v>25</v>
      </c>
    </row>
    <row r="282" spans="1:20" x14ac:dyDescent="0.3">
      <c r="A282" s="14">
        <v>43898.75</v>
      </c>
      <c r="B282" s="13" t="s">
        <v>22</v>
      </c>
      <c r="C282" s="114">
        <v>12</v>
      </c>
      <c r="D282" s="13" t="s">
        <v>48</v>
      </c>
      <c r="E282" s="114">
        <v>4189277044</v>
      </c>
      <c r="F282" s="114">
        <v>1248366722</v>
      </c>
      <c r="G282" s="114">
        <v>47</v>
      </c>
      <c r="H282" s="114">
        <v>8</v>
      </c>
      <c r="I282" s="114">
        <v>55</v>
      </c>
      <c r="J282" s="114">
        <v>26</v>
      </c>
      <c r="K282" s="114">
        <v>81</v>
      </c>
      <c r="L282" s="114">
        <v>9</v>
      </c>
      <c r="M282" s="114">
        <v>11</v>
      </c>
      <c r="N282" s="114">
        <v>3</v>
      </c>
      <c r="O282" s="114">
        <v>3</v>
      </c>
      <c r="P282" s="114">
        <v>87</v>
      </c>
      <c r="Q282" s="114">
        <v>1929</v>
      </c>
      <c r="R282" s="13" t="s">
        <v>25</v>
      </c>
      <c r="S282" s="13" t="s">
        <v>25</v>
      </c>
      <c r="T282" s="13" t="s">
        <v>25</v>
      </c>
    </row>
    <row r="283" spans="1:20" x14ac:dyDescent="0.3">
      <c r="A283" s="14">
        <v>43898.75</v>
      </c>
      <c r="B283" s="13" t="s">
        <v>22</v>
      </c>
      <c r="C283" s="114">
        <v>7</v>
      </c>
      <c r="D283" s="13" t="s">
        <v>49</v>
      </c>
      <c r="E283" s="114">
        <v>4441149315</v>
      </c>
      <c r="F283" s="114">
        <v>89326992</v>
      </c>
      <c r="G283" s="114">
        <v>39</v>
      </c>
      <c r="H283" s="114">
        <v>11</v>
      </c>
      <c r="I283" s="114">
        <v>50</v>
      </c>
      <c r="J283" s="114">
        <v>17</v>
      </c>
      <c r="K283" s="114">
        <v>67</v>
      </c>
      <c r="L283" s="114">
        <v>25</v>
      </c>
      <c r="M283" s="114">
        <v>27</v>
      </c>
      <c r="N283" s="114">
        <v>5</v>
      </c>
      <c r="O283" s="114">
        <v>6</v>
      </c>
      <c r="P283" s="114">
        <v>78</v>
      </c>
      <c r="Q283" s="114">
        <v>401</v>
      </c>
      <c r="R283" s="13" t="s">
        <v>25</v>
      </c>
      <c r="S283" s="13" t="s">
        <v>25</v>
      </c>
      <c r="T283" s="13" t="s">
        <v>25</v>
      </c>
    </row>
    <row r="284" spans="1:20" x14ac:dyDescent="0.3">
      <c r="A284" s="14">
        <v>43898.75</v>
      </c>
      <c r="B284" s="13" t="s">
        <v>22</v>
      </c>
      <c r="C284" s="114">
        <v>3</v>
      </c>
      <c r="D284" s="13" t="s">
        <v>50</v>
      </c>
      <c r="E284" s="114">
        <v>4546679409</v>
      </c>
      <c r="F284" s="114">
        <v>9190347404</v>
      </c>
      <c r="G284" s="114">
        <v>2217</v>
      </c>
      <c r="H284" s="114">
        <v>399</v>
      </c>
      <c r="I284" s="114">
        <v>2616</v>
      </c>
      <c r="J284" s="114">
        <v>756</v>
      </c>
      <c r="K284" s="114">
        <v>3372</v>
      </c>
      <c r="L284" s="114">
        <v>630</v>
      </c>
      <c r="M284" s="114">
        <v>769</v>
      </c>
      <c r="N284" s="114">
        <v>550</v>
      </c>
      <c r="O284" s="114">
        <v>267</v>
      </c>
      <c r="P284" s="114">
        <v>4189</v>
      </c>
      <c r="Q284" s="114">
        <v>18534</v>
      </c>
      <c r="R284" s="13" t="s">
        <v>25</v>
      </c>
      <c r="S284" s="13" t="s">
        <v>25</v>
      </c>
      <c r="T284" s="13" t="s">
        <v>25</v>
      </c>
    </row>
    <row r="285" spans="1:20" x14ac:dyDescent="0.3">
      <c r="A285" s="14">
        <v>43898.75</v>
      </c>
      <c r="B285" s="13" t="s">
        <v>22</v>
      </c>
      <c r="C285" s="114">
        <v>11</v>
      </c>
      <c r="D285" s="13" t="s">
        <v>51</v>
      </c>
      <c r="E285" s="114">
        <v>4361675973</v>
      </c>
      <c r="F285" s="114">
        <v>135188753</v>
      </c>
      <c r="G285" s="114">
        <v>110</v>
      </c>
      <c r="H285" s="114">
        <v>41</v>
      </c>
      <c r="I285" s="114">
        <v>151</v>
      </c>
      <c r="J285" s="114">
        <v>114</v>
      </c>
      <c r="K285" s="114">
        <v>265</v>
      </c>
      <c r="L285" s="114">
        <v>64</v>
      </c>
      <c r="M285" s="114">
        <v>65</v>
      </c>
      <c r="N285" s="114">
        <v>0</v>
      </c>
      <c r="O285" s="114">
        <v>7</v>
      </c>
      <c r="P285" s="114">
        <v>272</v>
      </c>
      <c r="Q285" s="114">
        <v>1025</v>
      </c>
      <c r="R285" s="13" t="s">
        <v>25</v>
      </c>
      <c r="S285" s="13" t="s">
        <v>25</v>
      </c>
      <c r="T285" s="13" t="s">
        <v>25</v>
      </c>
    </row>
    <row r="286" spans="1:20" x14ac:dyDescent="0.3">
      <c r="A286" s="14">
        <v>43898.75</v>
      </c>
      <c r="B286" s="13" t="s">
        <v>22</v>
      </c>
      <c r="C286" s="114">
        <v>14</v>
      </c>
      <c r="D286" s="13" t="s">
        <v>52</v>
      </c>
      <c r="E286" s="114">
        <v>4155774754</v>
      </c>
      <c r="F286" s="114">
        <v>1465916051</v>
      </c>
      <c r="G286" s="114">
        <v>4</v>
      </c>
      <c r="H286" s="114">
        <v>2</v>
      </c>
      <c r="I286" s="114">
        <v>6</v>
      </c>
      <c r="J286" s="114">
        <v>8</v>
      </c>
      <c r="K286" s="114">
        <v>14</v>
      </c>
      <c r="L286" s="114">
        <v>0</v>
      </c>
      <c r="M286" s="114">
        <v>0</v>
      </c>
      <c r="N286" s="114">
        <v>0</v>
      </c>
      <c r="O286" s="114">
        <v>0</v>
      </c>
      <c r="P286" s="114">
        <v>14</v>
      </c>
      <c r="Q286" s="114">
        <v>116</v>
      </c>
      <c r="R286" s="13" t="s">
        <v>25</v>
      </c>
      <c r="S286" s="13" t="s">
        <v>25</v>
      </c>
      <c r="T286" s="13" t="s">
        <v>25</v>
      </c>
    </row>
    <row r="287" spans="1:20" x14ac:dyDescent="0.3">
      <c r="A287" s="14">
        <v>43898.75</v>
      </c>
      <c r="B287" s="13" t="s">
        <v>22</v>
      </c>
      <c r="C287" s="114">
        <v>1</v>
      </c>
      <c r="D287" s="13" t="s">
        <v>53</v>
      </c>
      <c r="E287" s="114">
        <v>450732745</v>
      </c>
      <c r="F287" s="114">
        <v>7680687483</v>
      </c>
      <c r="G287" s="114">
        <v>245</v>
      </c>
      <c r="H287" s="114">
        <v>45</v>
      </c>
      <c r="I287" s="114">
        <v>290</v>
      </c>
      <c r="J287" s="114">
        <v>65</v>
      </c>
      <c r="K287" s="114">
        <v>355</v>
      </c>
      <c r="L287" s="114">
        <v>153</v>
      </c>
      <c r="M287" s="114">
        <v>153</v>
      </c>
      <c r="N287" s="114">
        <v>0</v>
      </c>
      <c r="O287" s="114">
        <v>5</v>
      </c>
      <c r="P287" s="114">
        <v>360</v>
      </c>
      <c r="Q287" s="114">
        <v>1636</v>
      </c>
      <c r="R287" s="13" t="s">
        <v>25</v>
      </c>
      <c r="S287" s="13" t="s">
        <v>25</v>
      </c>
      <c r="T287" s="13" t="s">
        <v>25</v>
      </c>
    </row>
    <row r="288" spans="1:20" x14ac:dyDescent="0.3">
      <c r="A288" s="14">
        <v>43898.75</v>
      </c>
      <c r="B288" s="13" t="s">
        <v>22</v>
      </c>
      <c r="C288" s="114">
        <v>16</v>
      </c>
      <c r="D288" s="13" t="s">
        <v>54</v>
      </c>
      <c r="E288" s="114">
        <v>4112559576</v>
      </c>
      <c r="F288" s="114">
        <v>1686736689</v>
      </c>
      <c r="G288" s="114">
        <v>17</v>
      </c>
      <c r="H288" s="114">
        <v>3</v>
      </c>
      <c r="I288" s="114">
        <v>20</v>
      </c>
      <c r="J288" s="114">
        <v>16</v>
      </c>
      <c r="K288" s="114">
        <v>36</v>
      </c>
      <c r="L288" s="114">
        <v>13</v>
      </c>
      <c r="M288" s="114">
        <v>14</v>
      </c>
      <c r="N288" s="114">
        <v>1</v>
      </c>
      <c r="O288" s="114">
        <v>3</v>
      </c>
      <c r="P288" s="114">
        <v>40</v>
      </c>
      <c r="Q288" s="114">
        <v>627</v>
      </c>
      <c r="R288" s="13" t="s">
        <v>25</v>
      </c>
      <c r="S288" s="13" t="s">
        <v>25</v>
      </c>
      <c r="T288" s="13" t="s">
        <v>25</v>
      </c>
    </row>
    <row r="289" spans="1:20" x14ac:dyDescent="0.3">
      <c r="A289" s="14">
        <v>43898.75</v>
      </c>
      <c r="B289" s="13" t="s">
        <v>22</v>
      </c>
      <c r="C289" s="114">
        <v>20</v>
      </c>
      <c r="D289" s="13" t="s">
        <v>55</v>
      </c>
      <c r="E289" s="114">
        <v>3921531192</v>
      </c>
      <c r="F289" s="114">
        <v>9110616306</v>
      </c>
      <c r="G289" s="114">
        <v>5</v>
      </c>
      <c r="H289" s="114">
        <v>0</v>
      </c>
      <c r="I289" s="114">
        <v>5</v>
      </c>
      <c r="J289" s="114">
        <v>6</v>
      </c>
      <c r="K289" s="114">
        <v>11</v>
      </c>
      <c r="L289" s="114">
        <v>6</v>
      </c>
      <c r="M289" s="114">
        <v>6</v>
      </c>
      <c r="N289" s="114">
        <v>0</v>
      </c>
      <c r="O289" s="114">
        <v>0</v>
      </c>
      <c r="P289" s="114">
        <v>11</v>
      </c>
      <c r="Q289" s="114">
        <v>149</v>
      </c>
      <c r="R289" s="13" t="s">
        <v>25</v>
      </c>
      <c r="S289" s="13" t="s">
        <v>25</v>
      </c>
      <c r="T289" s="13" t="s">
        <v>25</v>
      </c>
    </row>
    <row r="290" spans="1:20" x14ac:dyDescent="0.3">
      <c r="A290" s="14">
        <v>43898.75</v>
      </c>
      <c r="B290" s="13" t="s">
        <v>22</v>
      </c>
      <c r="C290" s="114">
        <v>19</v>
      </c>
      <c r="D290" s="13" t="s">
        <v>56</v>
      </c>
      <c r="E290" s="114">
        <v>3811569725</v>
      </c>
      <c r="F290" s="114">
        <v>133623567</v>
      </c>
      <c r="G290" s="114">
        <v>18</v>
      </c>
      <c r="H290" s="114">
        <v>0</v>
      </c>
      <c r="I290" s="114">
        <v>18</v>
      </c>
      <c r="J290" s="114">
        <v>33</v>
      </c>
      <c r="K290" s="114">
        <v>51</v>
      </c>
      <c r="L290" s="114">
        <v>18</v>
      </c>
      <c r="M290" s="114">
        <v>18</v>
      </c>
      <c r="N290" s="114">
        <v>2</v>
      </c>
      <c r="O290" s="114">
        <v>0</v>
      </c>
      <c r="P290" s="114">
        <v>53</v>
      </c>
      <c r="Q290" s="114">
        <v>791</v>
      </c>
      <c r="R290" s="13" t="s">
        <v>25</v>
      </c>
      <c r="S290" s="13" t="s">
        <v>25</v>
      </c>
      <c r="T290" s="13" t="s">
        <v>25</v>
      </c>
    </row>
    <row r="291" spans="1:20" x14ac:dyDescent="0.3">
      <c r="A291" s="14">
        <v>43898.75</v>
      </c>
      <c r="B291" s="13" t="s">
        <v>22</v>
      </c>
      <c r="C291" s="114">
        <v>9</v>
      </c>
      <c r="D291" s="13" t="s">
        <v>57</v>
      </c>
      <c r="E291" s="114">
        <v>4376923077</v>
      </c>
      <c r="F291" s="114">
        <v>1125588885</v>
      </c>
      <c r="G291" s="114">
        <v>91</v>
      </c>
      <c r="H291" s="114">
        <v>7</v>
      </c>
      <c r="I291" s="114">
        <v>98</v>
      </c>
      <c r="J291" s="114">
        <v>67</v>
      </c>
      <c r="K291" s="114">
        <v>165</v>
      </c>
      <c r="L291" s="114">
        <v>53</v>
      </c>
      <c r="M291" s="114">
        <v>53</v>
      </c>
      <c r="N291" s="114">
        <v>1</v>
      </c>
      <c r="O291" s="114">
        <v>0</v>
      </c>
      <c r="P291" s="114">
        <v>166</v>
      </c>
      <c r="Q291" s="114">
        <v>1618</v>
      </c>
      <c r="R291" s="13" t="s">
        <v>25</v>
      </c>
      <c r="S291" s="13" t="s">
        <v>25</v>
      </c>
      <c r="T291" s="13" t="s">
        <v>25</v>
      </c>
    </row>
    <row r="292" spans="1:20" x14ac:dyDescent="0.3">
      <c r="A292" s="14">
        <v>43898.75</v>
      </c>
      <c r="B292" s="13" t="s">
        <v>22</v>
      </c>
      <c r="C292" s="114">
        <v>4</v>
      </c>
      <c r="D292" s="13" t="s">
        <v>58</v>
      </c>
      <c r="E292" s="114">
        <v>4606893511</v>
      </c>
      <c r="F292" s="114">
        <v>1112123097</v>
      </c>
      <c r="G292" s="114">
        <v>7</v>
      </c>
      <c r="H292" s="114">
        <v>2</v>
      </c>
      <c r="I292" s="114">
        <v>9</v>
      </c>
      <c r="J292" s="114">
        <v>14</v>
      </c>
      <c r="K292" s="114">
        <v>23</v>
      </c>
      <c r="L292" s="114">
        <v>9</v>
      </c>
      <c r="M292" s="114">
        <v>9</v>
      </c>
      <c r="N292" s="114">
        <v>0</v>
      </c>
      <c r="O292" s="114">
        <v>0</v>
      </c>
      <c r="P292" s="114">
        <v>23</v>
      </c>
      <c r="Q292" s="114">
        <v>228</v>
      </c>
      <c r="R292" s="13" t="s">
        <v>25</v>
      </c>
      <c r="S292" s="13" t="s">
        <v>25</v>
      </c>
      <c r="T292" s="13" t="s">
        <v>25</v>
      </c>
    </row>
    <row r="293" spans="1:20" x14ac:dyDescent="0.3">
      <c r="A293" s="14">
        <v>43898.75</v>
      </c>
      <c r="B293" s="13" t="s">
        <v>22</v>
      </c>
      <c r="C293" s="114">
        <v>10</v>
      </c>
      <c r="D293" s="13" t="s">
        <v>59</v>
      </c>
      <c r="E293" s="114">
        <v>4310675841</v>
      </c>
      <c r="F293" s="114">
        <v>1238824698</v>
      </c>
      <c r="G293" s="114">
        <v>2</v>
      </c>
      <c r="H293" s="114">
        <v>2</v>
      </c>
      <c r="I293" s="114">
        <v>4</v>
      </c>
      <c r="J293" s="114">
        <v>22</v>
      </c>
      <c r="K293" s="114">
        <v>26</v>
      </c>
      <c r="L293" s="114">
        <v>2</v>
      </c>
      <c r="M293" s="114">
        <v>2</v>
      </c>
      <c r="N293" s="114">
        <v>0</v>
      </c>
      <c r="O293" s="114">
        <v>0</v>
      </c>
      <c r="P293" s="114">
        <v>26</v>
      </c>
      <c r="Q293" s="114">
        <v>168</v>
      </c>
      <c r="R293" s="13" t="s">
        <v>25</v>
      </c>
      <c r="S293" s="13" t="s">
        <v>25</v>
      </c>
      <c r="T293" s="13" t="s">
        <v>25</v>
      </c>
    </row>
    <row r="294" spans="1:20" x14ac:dyDescent="0.3">
      <c r="A294" s="14">
        <v>43898.75</v>
      </c>
      <c r="B294" s="13" t="s">
        <v>22</v>
      </c>
      <c r="C294" s="114">
        <v>2</v>
      </c>
      <c r="D294" s="13" t="s">
        <v>60</v>
      </c>
      <c r="E294" s="114">
        <v>4573750286</v>
      </c>
      <c r="F294" s="114">
        <v>7320149366</v>
      </c>
      <c r="G294" s="114">
        <v>1</v>
      </c>
      <c r="H294" s="114">
        <v>0</v>
      </c>
      <c r="I294" s="114">
        <v>1</v>
      </c>
      <c r="J294" s="114">
        <v>8</v>
      </c>
      <c r="K294" s="114">
        <v>9</v>
      </c>
      <c r="L294" s="114">
        <v>1</v>
      </c>
      <c r="M294" s="114">
        <v>1</v>
      </c>
      <c r="N294" s="114">
        <v>0</v>
      </c>
      <c r="O294" s="114">
        <v>0</v>
      </c>
      <c r="P294" s="114">
        <v>9</v>
      </c>
      <c r="Q294" s="114">
        <v>41</v>
      </c>
      <c r="R294" s="13" t="s">
        <v>25</v>
      </c>
      <c r="S294" s="13" t="s">
        <v>25</v>
      </c>
      <c r="T294" s="13" t="s">
        <v>25</v>
      </c>
    </row>
    <row r="295" spans="1:20" x14ac:dyDescent="0.3">
      <c r="A295" s="14">
        <v>43898.75</v>
      </c>
      <c r="B295" s="13" t="s">
        <v>22</v>
      </c>
      <c r="C295" s="114">
        <v>5</v>
      </c>
      <c r="D295" s="13" t="s">
        <v>61</v>
      </c>
      <c r="E295" s="114">
        <v>4543490485</v>
      </c>
      <c r="F295" s="114">
        <v>1233845213</v>
      </c>
      <c r="G295" s="114">
        <v>146</v>
      </c>
      <c r="H295" s="114">
        <v>47</v>
      </c>
      <c r="I295" s="114">
        <v>193</v>
      </c>
      <c r="J295" s="114">
        <v>430</v>
      </c>
      <c r="K295" s="114">
        <v>623</v>
      </c>
      <c r="L295" s="114">
        <v>118</v>
      </c>
      <c r="M295" s="114">
        <v>127</v>
      </c>
      <c r="N295" s="114">
        <v>29</v>
      </c>
      <c r="O295" s="114">
        <v>18</v>
      </c>
      <c r="P295" s="114">
        <v>670</v>
      </c>
      <c r="Q295" s="114">
        <v>15918</v>
      </c>
      <c r="R295" s="13" t="s">
        <v>25</v>
      </c>
      <c r="S295" s="13" t="s">
        <v>25</v>
      </c>
      <c r="T295" s="13" t="s">
        <v>25</v>
      </c>
    </row>
    <row r="296" spans="1:20" x14ac:dyDescent="0.3">
      <c r="A296" s="14">
        <v>43899.75</v>
      </c>
      <c r="B296" s="13" t="s">
        <v>22</v>
      </c>
      <c r="C296" s="114">
        <v>13</v>
      </c>
      <c r="D296" s="13" t="s">
        <v>42</v>
      </c>
      <c r="E296" s="114">
        <v>4235122196</v>
      </c>
      <c r="F296" s="114">
        <v>1339843823</v>
      </c>
      <c r="G296" s="114">
        <v>25</v>
      </c>
      <c r="H296" s="114">
        <v>0</v>
      </c>
      <c r="I296" s="114">
        <v>25</v>
      </c>
      <c r="J296" s="114">
        <v>5</v>
      </c>
      <c r="K296" s="114">
        <v>30</v>
      </c>
      <c r="L296" s="114">
        <v>13</v>
      </c>
      <c r="M296" s="114">
        <v>13</v>
      </c>
      <c r="N296" s="114">
        <v>0</v>
      </c>
      <c r="O296" s="114">
        <v>0</v>
      </c>
      <c r="P296" s="114">
        <v>30</v>
      </c>
      <c r="Q296" s="114">
        <v>237</v>
      </c>
      <c r="R296" s="13" t="s">
        <v>25</v>
      </c>
      <c r="S296" s="13" t="s">
        <v>25</v>
      </c>
      <c r="T296" s="13" t="s">
        <v>25</v>
      </c>
    </row>
    <row r="297" spans="1:20" x14ac:dyDescent="0.3">
      <c r="A297" s="14">
        <v>43899.75</v>
      </c>
      <c r="B297" s="13" t="s">
        <v>22</v>
      </c>
      <c r="C297" s="114">
        <v>17</v>
      </c>
      <c r="D297" s="13" t="s">
        <v>43</v>
      </c>
      <c r="E297" s="114">
        <v>4063947052</v>
      </c>
      <c r="F297" s="114">
        <v>1580514834</v>
      </c>
      <c r="G297" s="114">
        <v>2</v>
      </c>
      <c r="H297" s="114">
        <v>0</v>
      </c>
      <c r="I297" s="114">
        <v>2</v>
      </c>
      <c r="J297" s="114">
        <v>3</v>
      </c>
      <c r="K297" s="114">
        <v>5</v>
      </c>
      <c r="L297" s="114">
        <v>1</v>
      </c>
      <c r="M297" s="114">
        <v>1</v>
      </c>
      <c r="N297" s="114">
        <v>0</v>
      </c>
      <c r="O297" s="114">
        <v>0</v>
      </c>
      <c r="P297" s="114">
        <v>5</v>
      </c>
      <c r="Q297" s="114">
        <v>135</v>
      </c>
      <c r="R297" s="13" t="s">
        <v>25</v>
      </c>
      <c r="S297" s="13" t="s">
        <v>25</v>
      </c>
      <c r="T297" s="13" t="s">
        <v>25</v>
      </c>
    </row>
    <row r="298" spans="1:20" x14ac:dyDescent="0.3">
      <c r="A298" s="14">
        <v>43899.75</v>
      </c>
      <c r="B298" s="13" t="s">
        <v>22</v>
      </c>
      <c r="C298" s="114">
        <v>4</v>
      </c>
      <c r="D298" s="13" t="s">
        <v>44</v>
      </c>
      <c r="E298" s="114">
        <v>4649933453</v>
      </c>
      <c r="F298" s="114">
        <v>1135662422</v>
      </c>
      <c r="G298" s="114">
        <v>8</v>
      </c>
      <c r="H298" s="114">
        <v>0</v>
      </c>
      <c r="I298" s="114">
        <v>8</v>
      </c>
      <c r="J298" s="114">
        <v>1</v>
      </c>
      <c r="K298" s="114">
        <v>9</v>
      </c>
      <c r="L298" s="114">
        <v>0</v>
      </c>
      <c r="M298" s="114">
        <v>0</v>
      </c>
      <c r="N298" s="114">
        <v>0</v>
      </c>
      <c r="O298" s="114">
        <v>0</v>
      </c>
      <c r="P298" s="114">
        <v>9</v>
      </c>
      <c r="Q298" s="114">
        <v>36</v>
      </c>
      <c r="R298" s="13" t="s">
        <v>25</v>
      </c>
      <c r="S298" s="13" t="s">
        <v>25</v>
      </c>
      <c r="T298" s="13" t="s">
        <v>25</v>
      </c>
    </row>
    <row r="299" spans="1:20" x14ac:dyDescent="0.3">
      <c r="A299" s="14">
        <v>43899.75</v>
      </c>
      <c r="B299" s="13" t="s">
        <v>22</v>
      </c>
      <c r="C299" s="114">
        <v>18</v>
      </c>
      <c r="D299" s="13" t="s">
        <v>45</v>
      </c>
      <c r="E299" s="114">
        <v>3890597598</v>
      </c>
      <c r="F299" s="114">
        <v>1659440194</v>
      </c>
      <c r="G299" s="114">
        <v>8</v>
      </c>
      <c r="H299" s="114">
        <v>0</v>
      </c>
      <c r="I299" s="114">
        <v>8</v>
      </c>
      <c r="J299" s="114">
        <v>1</v>
      </c>
      <c r="K299" s="114">
        <v>9</v>
      </c>
      <c r="L299" s="114">
        <v>0</v>
      </c>
      <c r="M299" s="114">
        <v>2</v>
      </c>
      <c r="N299" s="114">
        <v>2</v>
      </c>
      <c r="O299" s="114">
        <v>0</v>
      </c>
      <c r="P299" s="114">
        <v>11</v>
      </c>
      <c r="Q299" s="114">
        <v>173</v>
      </c>
      <c r="R299" s="13" t="s">
        <v>25</v>
      </c>
      <c r="S299" s="13" t="s">
        <v>25</v>
      </c>
      <c r="T299" s="13" t="s">
        <v>25</v>
      </c>
    </row>
    <row r="300" spans="1:20" x14ac:dyDescent="0.3">
      <c r="A300" s="14">
        <v>43899.75</v>
      </c>
      <c r="B300" s="13" t="s">
        <v>22</v>
      </c>
      <c r="C300" s="114">
        <v>15</v>
      </c>
      <c r="D300" s="13" t="s">
        <v>46</v>
      </c>
      <c r="E300" s="114">
        <v>4083956555</v>
      </c>
      <c r="F300" s="114">
        <v>1425084984</v>
      </c>
      <c r="G300" s="114">
        <v>42</v>
      </c>
      <c r="H300" s="114">
        <v>8</v>
      </c>
      <c r="I300" s="114">
        <v>50</v>
      </c>
      <c r="J300" s="114">
        <v>69</v>
      </c>
      <c r="K300" s="114">
        <v>119</v>
      </c>
      <c r="L300" s="114">
        <v>19</v>
      </c>
      <c r="M300" s="114">
        <v>19</v>
      </c>
      <c r="N300" s="114">
        <v>1</v>
      </c>
      <c r="O300" s="114">
        <v>0</v>
      </c>
      <c r="P300" s="114">
        <v>120</v>
      </c>
      <c r="Q300" s="114">
        <v>980</v>
      </c>
      <c r="R300" s="13" t="s">
        <v>25</v>
      </c>
      <c r="S300" s="13" t="s">
        <v>25</v>
      </c>
      <c r="T300" s="13" t="s">
        <v>25</v>
      </c>
    </row>
    <row r="301" spans="1:20" x14ac:dyDescent="0.3">
      <c r="A301" s="14">
        <v>43899.75</v>
      </c>
      <c r="B301" s="13" t="s">
        <v>22</v>
      </c>
      <c r="C301" s="114">
        <v>8</v>
      </c>
      <c r="D301" s="13" t="s">
        <v>96</v>
      </c>
      <c r="E301" s="114">
        <v>4449436681</v>
      </c>
      <c r="F301" s="114">
        <v>113417208</v>
      </c>
      <c r="G301" s="114">
        <v>576</v>
      </c>
      <c r="H301" s="114">
        <v>90</v>
      </c>
      <c r="I301" s="114">
        <v>666</v>
      </c>
      <c r="J301" s="114">
        <v>620</v>
      </c>
      <c r="K301" s="114">
        <v>1286</v>
      </c>
      <c r="L301" s="114">
        <v>189</v>
      </c>
      <c r="M301" s="114">
        <v>206</v>
      </c>
      <c r="N301" s="114">
        <v>30</v>
      </c>
      <c r="O301" s="114">
        <v>70</v>
      </c>
      <c r="P301" s="114">
        <v>1386</v>
      </c>
      <c r="Q301" s="114">
        <v>4906</v>
      </c>
      <c r="R301" s="13" t="s">
        <v>25</v>
      </c>
      <c r="S301" s="13" t="s">
        <v>25</v>
      </c>
      <c r="T301" s="13" t="s">
        <v>25</v>
      </c>
    </row>
    <row r="302" spans="1:20" x14ac:dyDescent="0.3">
      <c r="A302" s="14">
        <v>43899.75</v>
      </c>
      <c r="B302" s="13" t="s">
        <v>22</v>
      </c>
      <c r="C302" s="114">
        <v>6</v>
      </c>
      <c r="D302" s="13" t="s">
        <v>47</v>
      </c>
      <c r="E302" s="114">
        <v>456494354</v>
      </c>
      <c r="F302" s="114">
        <v>1376813649</v>
      </c>
      <c r="G302" s="114">
        <v>18</v>
      </c>
      <c r="H302" s="114">
        <v>1</v>
      </c>
      <c r="I302" s="114">
        <v>19</v>
      </c>
      <c r="J302" s="114">
        <v>70</v>
      </c>
      <c r="K302" s="114">
        <v>89</v>
      </c>
      <c r="L302" s="114">
        <v>36</v>
      </c>
      <c r="M302" s="114">
        <v>36</v>
      </c>
      <c r="N302" s="114">
        <v>3</v>
      </c>
      <c r="O302" s="114">
        <v>1</v>
      </c>
      <c r="P302" s="114">
        <v>93</v>
      </c>
      <c r="Q302" s="114">
        <v>1344</v>
      </c>
      <c r="R302" s="13" t="s">
        <v>25</v>
      </c>
      <c r="S302" s="13" t="s">
        <v>25</v>
      </c>
      <c r="T302" s="13" t="s">
        <v>25</v>
      </c>
    </row>
    <row r="303" spans="1:20" x14ac:dyDescent="0.3">
      <c r="A303" s="14">
        <v>43899.75</v>
      </c>
      <c r="B303" s="13" t="s">
        <v>22</v>
      </c>
      <c r="C303" s="114">
        <v>12</v>
      </c>
      <c r="D303" s="13" t="s">
        <v>48</v>
      </c>
      <c r="E303" s="114">
        <v>4189277044</v>
      </c>
      <c r="F303" s="114">
        <v>1248366722</v>
      </c>
      <c r="G303" s="114">
        <v>55</v>
      </c>
      <c r="H303" s="114">
        <v>8</v>
      </c>
      <c r="I303" s="114">
        <v>63</v>
      </c>
      <c r="J303" s="114">
        <v>31</v>
      </c>
      <c r="K303" s="114">
        <v>94</v>
      </c>
      <c r="L303" s="114">
        <v>13</v>
      </c>
      <c r="M303" s="114">
        <v>15</v>
      </c>
      <c r="N303" s="114">
        <v>3</v>
      </c>
      <c r="O303" s="114">
        <v>5</v>
      </c>
      <c r="P303" s="114">
        <v>102</v>
      </c>
      <c r="Q303" s="114">
        <v>1929</v>
      </c>
      <c r="R303" s="13" t="s">
        <v>25</v>
      </c>
      <c r="S303" s="13" t="s">
        <v>25</v>
      </c>
      <c r="T303" s="13" t="s">
        <v>25</v>
      </c>
    </row>
    <row r="304" spans="1:20" x14ac:dyDescent="0.3">
      <c r="A304" s="14">
        <v>43899.75</v>
      </c>
      <c r="B304" s="13" t="s">
        <v>22</v>
      </c>
      <c r="C304" s="114">
        <v>7</v>
      </c>
      <c r="D304" s="13" t="s">
        <v>49</v>
      </c>
      <c r="E304" s="114">
        <v>4441149315</v>
      </c>
      <c r="F304" s="114">
        <v>89326992</v>
      </c>
      <c r="G304" s="114">
        <v>60</v>
      </c>
      <c r="H304" s="114">
        <v>17</v>
      </c>
      <c r="I304" s="114">
        <v>77</v>
      </c>
      <c r="J304" s="114">
        <v>20</v>
      </c>
      <c r="K304" s="114">
        <v>97</v>
      </c>
      <c r="L304" s="114">
        <v>30</v>
      </c>
      <c r="M304" s="114">
        <v>31</v>
      </c>
      <c r="N304" s="114">
        <v>5</v>
      </c>
      <c r="O304" s="114">
        <v>7</v>
      </c>
      <c r="P304" s="114">
        <v>109</v>
      </c>
      <c r="Q304" s="114">
        <v>611</v>
      </c>
      <c r="R304" s="13" t="s">
        <v>25</v>
      </c>
      <c r="S304" s="13" t="s">
        <v>25</v>
      </c>
      <c r="T304" s="13" t="s">
        <v>25</v>
      </c>
    </row>
    <row r="305" spans="1:20" x14ac:dyDescent="0.3">
      <c r="A305" s="14">
        <v>43899.75</v>
      </c>
      <c r="B305" s="13" t="s">
        <v>22</v>
      </c>
      <c r="C305" s="114">
        <v>3</v>
      </c>
      <c r="D305" s="13" t="s">
        <v>50</v>
      </c>
      <c r="E305" s="114">
        <v>4546679409</v>
      </c>
      <c r="F305" s="114">
        <v>9190347404</v>
      </c>
      <c r="G305" s="114">
        <v>2802</v>
      </c>
      <c r="H305" s="114">
        <v>440</v>
      </c>
      <c r="I305" s="114">
        <v>3242</v>
      </c>
      <c r="J305" s="114">
        <v>1248</v>
      </c>
      <c r="K305" s="114">
        <v>4490</v>
      </c>
      <c r="L305" s="114">
        <v>1118</v>
      </c>
      <c r="M305" s="114">
        <v>1280</v>
      </c>
      <c r="N305" s="114">
        <v>646</v>
      </c>
      <c r="O305" s="114">
        <v>333</v>
      </c>
      <c r="P305" s="114">
        <v>5469</v>
      </c>
      <c r="Q305" s="114">
        <v>20135</v>
      </c>
      <c r="R305" s="13" t="s">
        <v>25</v>
      </c>
      <c r="S305" s="13" t="s">
        <v>25</v>
      </c>
      <c r="T305" s="13" t="s">
        <v>25</v>
      </c>
    </row>
    <row r="306" spans="1:20" x14ac:dyDescent="0.3">
      <c r="A306" s="14">
        <v>43899.75</v>
      </c>
      <c r="B306" s="13" t="s">
        <v>22</v>
      </c>
      <c r="C306" s="114">
        <v>11</v>
      </c>
      <c r="D306" s="13" t="s">
        <v>51</v>
      </c>
      <c r="E306" s="114">
        <v>4361675973</v>
      </c>
      <c r="F306" s="114">
        <v>135188753</v>
      </c>
      <c r="G306" s="114">
        <v>136</v>
      </c>
      <c r="H306" s="114">
        <v>47</v>
      </c>
      <c r="I306" s="114">
        <v>183</v>
      </c>
      <c r="J306" s="114">
        <v>130</v>
      </c>
      <c r="K306" s="114">
        <v>313</v>
      </c>
      <c r="L306" s="114">
        <v>48</v>
      </c>
      <c r="M306" s="114">
        <v>51</v>
      </c>
      <c r="N306" s="114">
        <v>0</v>
      </c>
      <c r="O306" s="114">
        <v>10</v>
      </c>
      <c r="P306" s="114">
        <v>323</v>
      </c>
      <c r="Q306" s="114">
        <v>1250</v>
      </c>
      <c r="R306" s="13" t="s">
        <v>25</v>
      </c>
      <c r="S306" s="13" t="s">
        <v>25</v>
      </c>
      <c r="T306" s="13" t="s">
        <v>25</v>
      </c>
    </row>
    <row r="307" spans="1:20" x14ac:dyDescent="0.3">
      <c r="A307" s="14">
        <v>43899.75</v>
      </c>
      <c r="B307" s="13" t="s">
        <v>22</v>
      </c>
      <c r="C307" s="114">
        <v>14</v>
      </c>
      <c r="D307" s="13" t="s">
        <v>52</v>
      </c>
      <c r="E307" s="114">
        <v>4155774754</v>
      </c>
      <c r="F307" s="114">
        <v>1465916051</v>
      </c>
      <c r="G307" s="114">
        <v>4</v>
      </c>
      <c r="H307" s="114">
        <v>2</v>
      </c>
      <c r="I307" s="114">
        <v>6</v>
      </c>
      <c r="J307" s="114">
        <v>8</v>
      </c>
      <c r="K307" s="114">
        <v>14</v>
      </c>
      <c r="L307" s="114">
        <v>0</v>
      </c>
      <c r="M307" s="114">
        <v>0</v>
      </c>
      <c r="N307" s="114">
        <v>0</v>
      </c>
      <c r="O307" s="114">
        <v>0</v>
      </c>
      <c r="P307" s="114">
        <v>14</v>
      </c>
      <c r="Q307" s="114">
        <v>212</v>
      </c>
      <c r="R307" s="13" t="s">
        <v>25</v>
      </c>
      <c r="S307" s="13" t="s">
        <v>25</v>
      </c>
      <c r="T307" s="13" t="s">
        <v>25</v>
      </c>
    </row>
    <row r="308" spans="1:20" x14ac:dyDescent="0.3">
      <c r="A308" s="14">
        <v>43899.75</v>
      </c>
      <c r="B308" s="13" t="s">
        <v>22</v>
      </c>
      <c r="C308" s="114">
        <v>1</v>
      </c>
      <c r="D308" s="13" t="s">
        <v>53</v>
      </c>
      <c r="E308" s="114">
        <v>450732745</v>
      </c>
      <c r="F308" s="114">
        <v>7680687483</v>
      </c>
      <c r="G308" s="114">
        <v>222</v>
      </c>
      <c r="H308" s="114">
        <v>50</v>
      </c>
      <c r="I308" s="114">
        <v>272</v>
      </c>
      <c r="J308" s="114">
        <v>65</v>
      </c>
      <c r="K308" s="114">
        <v>337</v>
      </c>
      <c r="L308" s="114">
        <v>-18</v>
      </c>
      <c r="M308" s="114">
        <v>-10</v>
      </c>
      <c r="N308" s="114">
        <v>0</v>
      </c>
      <c r="O308" s="114">
        <v>13</v>
      </c>
      <c r="P308" s="114">
        <v>350</v>
      </c>
      <c r="Q308" s="114">
        <v>1681</v>
      </c>
      <c r="R308" s="13" t="s">
        <v>25</v>
      </c>
      <c r="S308" s="13" t="s">
        <v>25</v>
      </c>
      <c r="T308" s="13" t="s">
        <v>25</v>
      </c>
    </row>
    <row r="309" spans="1:20" x14ac:dyDescent="0.3">
      <c r="A309" s="14">
        <v>43899.75</v>
      </c>
      <c r="B309" s="13" t="s">
        <v>22</v>
      </c>
      <c r="C309" s="114">
        <v>16</v>
      </c>
      <c r="D309" s="13" t="s">
        <v>54</v>
      </c>
      <c r="E309" s="114">
        <v>4112559576</v>
      </c>
      <c r="F309" s="114">
        <v>1686736689</v>
      </c>
      <c r="G309" s="114">
        <v>20</v>
      </c>
      <c r="H309" s="114">
        <v>6</v>
      </c>
      <c r="I309" s="114">
        <v>26</v>
      </c>
      <c r="J309" s="114">
        <v>20</v>
      </c>
      <c r="K309" s="114">
        <v>46</v>
      </c>
      <c r="L309" s="114">
        <v>10</v>
      </c>
      <c r="M309" s="114">
        <v>10</v>
      </c>
      <c r="N309" s="114">
        <v>1</v>
      </c>
      <c r="O309" s="114">
        <v>3</v>
      </c>
      <c r="P309" s="114">
        <v>50</v>
      </c>
      <c r="Q309" s="114">
        <v>685</v>
      </c>
      <c r="R309" s="13" t="s">
        <v>25</v>
      </c>
      <c r="S309" s="13" t="s">
        <v>25</v>
      </c>
      <c r="T309" s="13" t="s">
        <v>25</v>
      </c>
    </row>
    <row r="310" spans="1:20" x14ac:dyDescent="0.3">
      <c r="A310" s="14">
        <v>43899.75</v>
      </c>
      <c r="B310" s="13" t="s">
        <v>22</v>
      </c>
      <c r="C310" s="114">
        <v>20</v>
      </c>
      <c r="D310" s="13" t="s">
        <v>55</v>
      </c>
      <c r="E310" s="114">
        <v>3921531192</v>
      </c>
      <c r="F310" s="114">
        <v>9110616306</v>
      </c>
      <c r="G310" s="114">
        <v>8</v>
      </c>
      <c r="H310" s="114">
        <v>0</v>
      </c>
      <c r="I310" s="114">
        <v>8</v>
      </c>
      <c r="J310" s="114">
        <v>11</v>
      </c>
      <c r="K310" s="114">
        <v>19</v>
      </c>
      <c r="L310" s="114">
        <v>8</v>
      </c>
      <c r="M310" s="114">
        <v>8</v>
      </c>
      <c r="N310" s="114">
        <v>0</v>
      </c>
      <c r="O310" s="114">
        <v>0</v>
      </c>
      <c r="P310" s="114">
        <v>19</v>
      </c>
      <c r="Q310" s="114">
        <v>185</v>
      </c>
      <c r="R310" s="13" t="s">
        <v>25</v>
      </c>
      <c r="S310" s="13" t="s">
        <v>25</v>
      </c>
      <c r="T310" s="13" t="s">
        <v>25</v>
      </c>
    </row>
    <row r="311" spans="1:20" x14ac:dyDescent="0.3">
      <c r="A311" s="14">
        <v>43899.75</v>
      </c>
      <c r="B311" s="13" t="s">
        <v>22</v>
      </c>
      <c r="C311" s="114">
        <v>19</v>
      </c>
      <c r="D311" s="13" t="s">
        <v>56</v>
      </c>
      <c r="E311" s="114">
        <v>3811569725</v>
      </c>
      <c r="F311" s="114">
        <v>133623567</v>
      </c>
      <c r="G311" s="114">
        <v>19</v>
      </c>
      <c r="H311" s="114">
        <v>0</v>
      </c>
      <c r="I311" s="114">
        <v>19</v>
      </c>
      <c r="J311" s="114">
        <v>33</v>
      </c>
      <c r="K311" s="114">
        <v>52</v>
      </c>
      <c r="L311" s="114">
        <v>1</v>
      </c>
      <c r="M311" s="114">
        <v>1</v>
      </c>
      <c r="N311" s="114">
        <v>2</v>
      </c>
      <c r="O311" s="114">
        <v>0</v>
      </c>
      <c r="P311" s="114">
        <v>54</v>
      </c>
      <c r="Q311" s="114">
        <v>836</v>
      </c>
      <c r="R311" s="13" t="s">
        <v>25</v>
      </c>
      <c r="S311" s="13" t="s">
        <v>25</v>
      </c>
      <c r="T311" s="13" t="s">
        <v>25</v>
      </c>
    </row>
    <row r="312" spans="1:20" x14ac:dyDescent="0.3">
      <c r="A312" s="14">
        <v>43899.75</v>
      </c>
      <c r="B312" s="13" t="s">
        <v>22</v>
      </c>
      <c r="C312" s="114">
        <v>9</v>
      </c>
      <c r="D312" s="13" t="s">
        <v>57</v>
      </c>
      <c r="E312" s="114">
        <v>4376923077</v>
      </c>
      <c r="F312" s="114">
        <v>1125588885</v>
      </c>
      <c r="G312" s="114">
        <v>107</v>
      </c>
      <c r="H312" s="114">
        <v>9</v>
      </c>
      <c r="I312" s="114">
        <v>116</v>
      </c>
      <c r="J312" s="114">
        <v>90</v>
      </c>
      <c r="K312" s="114">
        <v>206</v>
      </c>
      <c r="L312" s="114">
        <v>41</v>
      </c>
      <c r="M312" s="114">
        <v>42</v>
      </c>
      <c r="N312" s="114">
        <v>1</v>
      </c>
      <c r="O312" s="114">
        <v>1</v>
      </c>
      <c r="P312" s="114">
        <v>208</v>
      </c>
      <c r="Q312" s="114">
        <v>2018</v>
      </c>
      <c r="R312" s="13" t="s">
        <v>25</v>
      </c>
      <c r="S312" s="13" t="s">
        <v>25</v>
      </c>
      <c r="T312" s="13" t="s">
        <v>25</v>
      </c>
    </row>
    <row r="313" spans="1:20" x14ac:dyDescent="0.3">
      <c r="A313" s="14">
        <v>43899.75</v>
      </c>
      <c r="B313" s="13" t="s">
        <v>22</v>
      </c>
      <c r="C313" s="114">
        <v>4</v>
      </c>
      <c r="D313" s="13" t="s">
        <v>58</v>
      </c>
      <c r="E313" s="114">
        <v>4606893511</v>
      </c>
      <c r="F313" s="114">
        <v>1112123097</v>
      </c>
      <c r="G313" s="114">
        <v>10</v>
      </c>
      <c r="H313" s="114">
        <v>2</v>
      </c>
      <c r="I313" s="114">
        <v>12</v>
      </c>
      <c r="J313" s="114">
        <v>21</v>
      </c>
      <c r="K313" s="114">
        <v>33</v>
      </c>
      <c r="L313" s="114">
        <v>10</v>
      </c>
      <c r="M313" s="114">
        <v>10</v>
      </c>
      <c r="N313" s="114">
        <v>0</v>
      </c>
      <c r="O313" s="114">
        <v>0</v>
      </c>
      <c r="P313" s="114">
        <v>33</v>
      </c>
      <c r="Q313" s="114">
        <v>267</v>
      </c>
      <c r="R313" s="13" t="s">
        <v>25</v>
      </c>
      <c r="S313" s="13" t="s">
        <v>25</v>
      </c>
      <c r="T313" s="13" t="s">
        <v>25</v>
      </c>
    </row>
    <row r="314" spans="1:20" x14ac:dyDescent="0.3">
      <c r="A314" s="14">
        <v>43899.75</v>
      </c>
      <c r="B314" s="13" t="s">
        <v>22</v>
      </c>
      <c r="C314" s="114">
        <v>10</v>
      </c>
      <c r="D314" s="13" t="s">
        <v>59</v>
      </c>
      <c r="E314" s="114">
        <v>4310675841</v>
      </c>
      <c r="F314" s="114">
        <v>1238824698</v>
      </c>
      <c r="G314" s="114">
        <v>4</v>
      </c>
      <c r="H314" s="114">
        <v>2</v>
      </c>
      <c r="I314" s="114">
        <v>6</v>
      </c>
      <c r="J314" s="114">
        <v>22</v>
      </c>
      <c r="K314" s="114">
        <v>28</v>
      </c>
      <c r="L314" s="114">
        <v>2</v>
      </c>
      <c r="M314" s="114">
        <v>2</v>
      </c>
      <c r="N314" s="114">
        <v>0</v>
      </c>
      <c r="O314" s="114">
        <v>0</v>
      </c>
      <c r="P314" s="114">
        <v>28</v>
      </c>
      <c r="Q314" s="114">
        <v>183</v>
      </c>
      <c r="R314" s="13" t="s">
        <v>25</v>
      </c>
      <c r="S314" s="13" t="s">
        <v>25</v>
      </c>
      <c r="T314" s="13" t="s">
        <v>25</v>
      </c>
    </row>
    <row r="315" spans="1:20" x14ac:dyDescent="0.3">
      <c r="A315" s="14">
        <v>43899.75</v>
      </c>
      <c r="B315" s="13" t="s">
        <v>22</v>
      </c>
      <c r="C315" s="114">
        <v>2</v>
      </c>
      <c r="D315" s="13" t="s">
        <v>60</v>
      </c>
      <c r="E315" s="114">
        <v>4573750286</v>
      </c>
      <c r="F315" s="114">
        <v>7320149366</v>
      </c>
      <c r="G315" s="114">
        <v>4</v>
      </c>
      <c r="H315" s="114">
        <v>0</v>
      </c>
      <c r="I315" s="114">
        <v>4</v>
      </c>
      <c r="J315" s="114">
        <v>11</v>
      </c>
      <c r="K315" s="114">
        <v>15</v>
      </c>
      <c r="L315" s="114">
        <v>6</v>
      </c>
      <c r="M315" s="114">
        <v>6</v>
      </c>
      <c r="N315" s="114">
        <v>0</v>
      </c>
      <c r="O315" s="114">
        <v>0</v>
      </c>
      <c r="P315" s="114">
        <v>15</v>
      </c>
      <c r="Q315" s="114">
        <v>67</v>
      </c>
      <c r="R315" s="13" t="s">
        <v>25</v>
      </c>
      <c r="S315" s="13" t="s">
        <v>25</v>
      </c>
      <c r="T315" s="13" t="s">
        <v>25</v>
      </c>
    </row>
    <row r="316" spans="1:20" x14ac:dyDescent="0.3">
      <c r="A316" s="14">
        <v>43899.75</v>
      </c>
      <c r="B316" s="13" t="s">
        <v>22</v>
      </c>
      <c r="C316" s="114">
        <v>5</v>
      </c>
      <c r="D316" s="13" t="s">
        <v>61</v>
      </c>
      <c r="E316" s="114">
        <v>4543490485</v>
      </c>
      <c r="F316" s="114">
        <v>1233845213</v>
      </c>
      <c r="G316" s="114">
        <v>186</v>
      </c>
      <c r="H316" s="114">
        <v>51</v>
      </c>
      <c r="I316" s="114">
        <v>237</v>
      </c>
      <c r="J316" s="114">
        <v>457</v>
      </c>
      <c r="K316" s="114">
        <v>694</v>
      </c>
      <c r="L316" s="114">
        <v>71</v>
      </c>
      <c r="M316" s="114">
        <v>74</v>
      </c>
      <c r="N316" s="114">
        <v>30</v>
      </c>
      <c r="O316" s="114">
        <v>20</v>
      </c>
      <c r="P316" s="114">
        <v>744</v>
      </c>
      <c r="Q316" s="114">
        <v>15956</v>
      </c>
      <c r="R316" s="13" t="s">
        <v>25</v>
      </c>
      <c r="S316" s="13" t="s">
        <v>25</v>
      </c>
      <c r="T316" s="13" t="s">
        <v>25</v>
      </c>
    </row>
    <row r="317" spans="1:20" x14ac:dyDescent="0.3">
      <c r="A317" s="14">
        <v>43900.75</v>
      </c>
      <c r="B317" s="13" t="s">
        <v>22</v>
      </c>
      <c r="C317" s="114">
        <v>13</v>
      </c>
      <c r="D317" s="13" t="s">
        <v>42</v>
      </c>
      <c r="E317" s="114">
        <v>4235122196</v>
      </c>
      <c r="F317" s="114">
        <v>1339843823</v>
      </c>
      <c r="G317" s="114">
        <v>17</v>
      </c>
      <c r="H317" s="114">
        <v>9</v>
      </c>
      <c r="I317" s="114">
        <v>26</v>
      </c>
      <c r="J317" s="114">
        <v>11</v>
      </c>
      <c r="K317" s="114">
        <v>37</v>
      </c>
      <c r="L317" s="114">
        <v>7</v>
      </c>
      <c r="M317" s="114">
        <v>8</v>
      </c>
      <c r="N317" s="114">
        <v>0</v>
      </c>
      <c r="O317" s="114">
        <v>1</v>
      </c>
      <c r="P317" s="114">
        <v>38</v>
      </c>
      <c r="Q317" s="114">
        <v>310</v>
      </c>
      <c r="R317" s="13" t="s">
        <v>25</v>
      </c>
      <c r="S317" s="13" t="s">
        <v>25</v>
      </c>
      <c r="T317" s="13" t="s">
        <v>25</v>
      </c>
    </row>
    <row r="318" spans="1:20" x14ac:dyDescent="0.3">
      <c r="A318" s="14">
        <v>43900.75</v>
      </c>
      <c r="B318" s="13" t="s">
        <v>22</v>
      </c>
      <c r="C318" s="114">
        <v>17</v>
      </c>
      <c r="D318" s="13" t="s">
        <v>43</v>
      </c>
      <c r="E318" s="114">
        <v>4063947052</v>
      </c>
      <c r="F318" s="114">
        <v>1580514834</v>
      </c>
      <c r="G318" s="114">
        <v>2</v>
      </c>
      <c r="H318" s="114">
        <v>0</v>
      </c>
      <c r="I318" s="114">
        <v>2</v>
      </c>
      <c r="J318" s="114">
        <v>5</v>
      </c>
      <c r="K318" s="114">
        <v>7</v>
      </c>
      <c r="L318" s="114">
        <v>2</v>
      </c>
      <c r="M318" s="114">
        <v>2</v>
      </c>
      <c r="N318" s="114">
        <v>0</v>
      </c>
      <c r="O318" s="114">
        <v>0</v>
      </c>
      <c r="P318" s="114">
        <v>7</v>
      </c>
      <c r="Q318" s="114">
        <v>148</v>
      </c>
      <c r="R318" s="13" t="s">
        <v>25</v>
      </c>
      <c r="S318" s="13" t="s">
        <v>25</v>
      </c>
      <c r="T318" s="13" t="s">
        <v>25</v>
      </c>
    </row>
    <row r="319" spans="1:20" x14ac:dyDescent="0.3">
      <c r="A319" s="14">
        <v>43900.75</v>
      </c>
      <c r="B319" s="13" t="s">
        <v>22</v>
      </c>
      <c r="C319" s="114">
        <v>4</v>
      </c>
      <c r="D319" s="13" t="s">
        <v>44</v>
      </c>
      <c r="E319" s="114">
        <v>4649933453</v>
      </c>
      <c r="F319" s="114">
        <v>1135662422</v>
      </c>
      <c r="G319" s="114">
        <v>17</v>
      </c>
      <c r="H319" s="114">
        <v>1</v>
      </c>
      <c r="I319" s="114">
        <v>18</v>
      </c>
      <c r="J319" s="114">
        <v>20</v>
      </c>
      <c r="K319" s="114">
        <v>38</v>
      </c>
      <c r="L319" s="114">
        <v>29</v>
      </c>
      <c r="M319" s="114">
        <v>29</v>
      </c>
      <c r="N319" s="114">
        <v>0</v>
      </c>
      <c r="O319" s="114">
        <v>0</v>
      </c>
      <c r="P319" s="114">
        <v>38</v>
      </c>
      <c r="Q319" s="114">
        <v>36</v>
      </c>
      <c r="R319" s="13" t="s">
        <v>25</v>
      </c>
      <c r="S319" s="13" t="s">
        <v>25</v>
      </c>
      <c r="T319" s="13" t="s">
        <v>25</v>
      </c>
    </row>
    <row r="320" spans="1:20" x14ac:dyDescent="0.3">
      <c r="A320" s="14">
        <v>43900.75</v>
      </c>
      <c r="B320" s="13" t="s">
        <v>22</v>
      </c>
      <c r="C320" s="114">
        <v>18</v>
      </c>
      <c r="D320" s="13" t="s">
        <v>45</v>
      </c>
      <c r="E320" s="114">
        <v>3890597598</v>
      </c>
      <c r="F320" s="114">
        <v>1659440194</v>
      </c>
      <c r="G320" s="114">
        <v>8</v>
      </c>
      <c r="H320" s="114">
        <v>2</v>
      </c>
      <c r="I320" s="114">
        <v>10</v>
      </c>
      <c r="J320" s="114">
        <v>1</v>
      </c>
      <c r="K320" s="114">
        <v>11</v>
      </c>
      <c r="L320" s="114">
        <v>2</v>
      </c>
      <c r="M320" s="114">
        <v>2</v>
      </c>
      <c r="N320" s="114">
        <v>2</v>
      </c>
      <c r="O320" s="114">
        <v>0</v>
      </c>
      <c r="P320" s="114">
        <v>13</v>
      </c>
      <c r="Q320" s="114">
        <v>360</v>
      </c>
      <c r="R320" s="13" t="s">
        <v>25</v>
      </c>
      <c r="S320" s="13" t="s">
        <v>25</v>
      </c>
      <c r="T320" s="13" t="s">
        <v>25</v>
      </c>
    </row>
    <row r="321" spans="1:20" x14ac:dyDescent="0.3">
      <c r="A321" s="14">
        <v>43900.75</v>
      </c>
      <c r="B321" s="13" t="s">
        <v>22</v>
      </c>
      <c r="C321" s="114">
        <v>15</v>
      </c>
      <c r="D321" s="13" t="s">
        <v>46</v>
      </c>
      <c r="E321" s="114">
        <v>4083956555</v>
      </c>
      <c r="F321" s="114">
        <v>1425084984</v>
      </c>
      <c r="G321" s="114">
        <v>33</v>
      </c>
      <c r="H321" s="114">
        <v>8</v>
      </c>
      <c r="I321" s="114">
        <v>41</v>
      </c>
      <c r="J321" s="114">
        <v>85</v>
      </c>
      <c r="K321" s="114">
        <v>126</v>
      </c>
      <c r="L321" s="114">
        <v>7</v>
      </c>
      <c r="M321" s="114">
        <v>7</v>
      </c>
      <c r="N321" s="114">
        <v>1</v>
      </c>
      <c r="O321" s="114">
        <v>0</v>
      </c>
      <c r="P321" s="114">
        <v>127</v>
      </c>
      <c r="Q321" s="114">
        <v>1141</v>
      </c>
      <c r="R321" s="13" t="s">
        <v>25</v>
      </c>
      <c r="S321" s="13" t="s">
        <v>25</v>
      </c>
      <c r="T321" s="13" t="s">
        <v>25</v>
      </c>
    </row>
    <row r="322" spans="1:20" x14ac:dyDescent="0.3">
      <c r="A322" s="14">
        <v>43900.75</v>
      </c>
      <c r="B322" s="13" t="s">
        <v>22</v>
      </c>
      <c r="C322" s="114">
        <v>8</v>
      </c>
      <c r="D322" s="13" t="s">
        <v>96</v>
      </c>
      <c r="E322" s="114">
        <v>4449436681</v>
      </c>
      <c r="F322" s="114">
        <v>113417208</v>
      </c>
      <c r="G322" s="114">
        <v>669</v>
      </c>
      <c r="H322" s="114">
        <v>98</v>
      </c>
      <c r="I322" s="114">
        <v>767</v>
      </c>
      <c r="J322" s="114">
        <v>650</v>
      </c>
      <c r="K322" s="114">
        <v>1417</v>
      </c>
      <c r="L322" s="114">
        <v>131</v>
      </c>
      <c r="M322" s="114">
        <v>147</v>
      </c>
      <c r="N322" s="114">
        <v>31</v>
      </c>
      <c r="O322" s="114">
        <v>85</v>
      </c>
      <c r="P322" s="114">
        <v>1533</v>
      </c>
      <c r="Q322" s="114">
        <v>5494</v>
      </c>
      <c r="R322" s="13" t="s">
        <v>25</v>
      </c>
      <c r="S322" s="13" t="s">
        <v>25</v>
      </c>
      <c r="T322" s="13" t="s">
        <v>25</v>
      </c>
    </row>
    <row r="323" spans="1:20" x14ac:dyDescent="0.3">
      <c r="A323" s="14">
        <v>43900.75</v>
      </c>
      <c r="B323" s="13" t="s">
        <v>22</v>
      </c>
      <c r="C323" s="114">
        <v>6</v>
      </c>
      <c r="D323" s="13" t="s">
        <v>47</v>
      </c>
      <c r="E323" s="114">
        <v>456494354</v>
      </c>
      <c r="F323" s="114">
        <v>1376813649</v>
      </c>
      <c r="G323" s="114">
        <v>27</v>
      </c>
      <c r="H323" s="114">
        <v>6</v>
      </c>
      <c r="I323" s="114">
        <v>33</v>
      </c>
      <c r="J323" s="114">
        <v>77</v>
      </c>
      <c r="K323" s="114">
        <v>110</v>
      </c>
      <c r="L323" s="114">
        <v>21</v>
      </c>
      <c r="M323" s="114">
        <v>23</v>
      </c>
      <c r="N323" s="114">
        <v>3</v>
      </c>
      <c r="O323" s="114">
        <v>3</v>
      </c>
      <c r="P323" s="114">
        <v>116</v>
      </c>
      <c r="Q323" s="114">
        <v>1602</v>
      </c>
      <c r="R323" s="13" t="s">
        <v>25</v>
      </c>
      <c r="S323" s="13" t="s">
        <v>25</v>
      </c>
      <c r="T323" s="13" t="s">
        <v>25</v>
      </c>
    </row>
    <row r="324" spans="1:20" x14ac:dyDescent="0.3">
      <c r="A324" s="14">
        <v>43900.75</v>
      </c>
      <c r="B324" s="13" t="s">
        <v>22</v>
      </c>
      <c r="C324" s="114">
        <v>12</v>
      </c>
      <c r="D324" s="13" t="s">
        <v>48</v>
      </c>
      <c r="E324" s="114">
        <v>4189277044</v>
      </c>
      <c r="F324" s="114">
        <v>1248366722</v>
      </c>
      <c r="G324" s="114">
        <v>50</v>
      </c>
      <c r="H324" s="114">
        <v>15</v>
      </c>
      <c r="I324" s="114">
        <v>65</v>
      </c>
      <c r="J324" s="114">
        <v>34</v>
      </c>
      <c r="K324" s="114">
        <v>99</v>
      </c>
      <c r="L324" s="114">
        <v>5</v>
      </c>
      <c r="M324" s="114">
        <v>14</v>
      </c>
      <c r="N324" s="114">
        <v>11</v>
      </c>
      <c r="O324" s="114">
        <v>6</v>
      </c>
      <c r="P324" s="114">
        <v>116</v>
      </c>
      <c r="Q324" s="114">
        <v>3591</v>
      </c>
      <c r="R324" s="13" t="s">
        <v>25</v>
      </c>
      <c r="S324" s="13" t="s">
        <v>25</v>
      </c>
      <c r="T324" s="13" t="s">
        <v>25</v>
      </c>
    </row>
    <row r="325" spans="1:20" x14ac:dyDescent="0.3">
      <c r="A325" s="14">
        <v>43900.75</v>
      </c>
      <c r="B325" s="13" t="s">
        <v>22</v>
      </c>
      <c r="C325" s="114">
        <v>7</v>
      </c>
      <c r="D325" s="13" t="s">
        <v>49</v>
      </c>
      <c r="E325" s="114">
        <v>4441149315</v>
      </c>
      <c r="F325" s="114">
        <v>89326992</v>
      </c>
      <c r="G325" s="114">
        <v>57</v>
      </c>
      <c r="H325" s="114">
        <v>29</v>
      </c>
      <c r="I325" s="114">
        <v>86</v>
      </c>
      <c r="J325" s="114">
        <v>42</v>
      </c>
      <c r="K325" s="114">
        <v>128</v>
      </c>
      <c r="L325" s="114">
        <v>31</v>
      </c>
      <c r="M325" s="114">
        <v>32</v>
      </c>
      <c r="N325" s="114">
        <v>5</v>
      </c>
      <c r="O325" s="114">
        <v>8</v>
      </c>
      <c r="P325" s="114">
        <v>141</v>
      </c>
      <c r="Q325" s="114">
        <v>694</v>
      </c>
      <c r="R325" s="13" t="s">
        <v>25</v>
      </c>
      <c r="S325" s="13" t="s">
        <v>25</v>
      </c>
      <c r="T325" s="13" t="s">
        <v>25</v>
      </c>
    </row>
    <row r="326" spans="1:20" x14ac:dyDescent="0.3">
      <c r="A326" s="14">
        <v>43900.75</v>
      </c>
      <c r="B326" s="13" t="s">
        <v>22</v>
      </c>
      <c r="C326" s="114">
        <v>3</v>
      </c>
      <c r="D326" s="13" t="s">
        <v>50</v>
      </c>
      <c r="E326" s="114">
        <v>4546679409</v>
      </c>
      <c r="F326" s="114">
        <v>9190347404</v>
      </c>
      <c r="G326" s="114">
        <v>3319</v>
      </c>
      <c r="H326" s="114">
        <v>466</v>
      </c>
      <c r="I326" s="114">
        <v>3785</v>
      </c>
      <c r="J326" s="114">
        <v>642</v>
      </c>
      <c r="K326" s="114">
        <v>4427</v>
      </c>
      <c r="L326" s="114">
        <v>-63</v>
      </c>
      <c r="M326" s="114">
        <v>322</v>
      </c>
      <c r="N326" s="114">
        <v>896</v>
      </c>
      <c r="O326" s="114">
        <v>468</v>
      </c>
      <c r="P326" s="114">
        <v>5791</v>
      </c>
      <c r="Q326" s="114">
        <v>21479</v>
      </c>
      <c r="R326" s="13" t="s">
        <v>25</v>
      </c>
      <c r="S326" s="13" t="s">
        <v>64</v>
      </c>
      <c r="T326" s="13" t="s">
        <v>65</v>
      </c>
    </row>
    <row r="327" spans="1:20" x14ac:dyDescent="0.3">
      <c r="A327" s="14">
        <v>43900.75</v>
      </c>
      <c r="B327" s="13" t="s">
        <v>22</v>
      </c>
      <c r="C327" s="114">
        <v>11</v>
      </c>
      <c r="D327" s="13" t="s">
        <v>51</v>
      </c>
      <c r="E327" s="114">
        <v>4361675973</v>
      </c>
      <c r="F327" s="114">
        <v>135188753</v>
      </c>
      <c r="G327" s="114">
        <v>152</v>
      </c>
      <c r="H327" s="114">
        <v>54</v>
      </c>
      <c r="I327" s="114">
        <v>206</v>
      </c>
      <c r="J327" s="114">
        <v>175</v>
      </c>
      <c r="K327" s="114">
        <v>381</v>
      </c>
      <c r="L327" s="114">
        <v>68</v>
      </c>
      <c r="M327" s="114">
        <v>71</v>
      </c>
      <c r="N327" s="114">
        <v>0</v>
      </c>
      <c r="O327" s="114">
        <v>13</v>
      </c>
      <c r="P327" s="114">
        <v>394</v>
      </c>
      <c r="Q327" s="114">
        <v>1437</v>
      </c>
      <c r="R327" s="13" t="s">
        <v>25</v>
      </c>
      <c r="S327" s="13" t="s">
        <v>25</v>
      </c>
      <c r="T327" s="13" t="s">
        <v>25</v>
      </c>
    </row>
    <row r="328" spans="1:20" x14ac:dyDescent="0.3">
      <c r="A328" s="14">
        <v>43900.75</v>
      </c>
      <c r="B328" s="13" t="s">
        <v>22</v>
      </c>
      <c r="C328" s="114">
        <v>14</v>
      </c>
      <c r="D328" s="13" t="s">
        <v>52</v>
      </c>
      <c r="E328" s="114">
        <v>4155774754</v>
      </c>
      <c r="F328" s="114">
        <v>1465916051</v>
      </c>
      <c r="G328" s="114">
        <v>3</v>
      </c>
      <c r="H328" s="114">
        <v>3</v>
      </c>
      <c r="I328" s="114">
        <v>6</v>
      </c>
      <c r="J328" s="114">
        <v>9</v>
      </c>
      <c r="K328" s="114">
        <v>15</v>
      </c>
      <c r="L328" s="114">
        <v>1</v>
      </c>
      <c r="M328" s="114">
        <v>1</v>
      </c>
      <c r="N328" s="114">
        <v>0</v>
      </c>
      <c r="O328" s="114">
        <v>0</v>
      </c>
      <c r="P328" s="114">
        <v>15</v>
      </c>
      <c r="Q328" s="114">
        <v>225</v>
      </c>
      <c r="R328" s="13" t="s">
        <v>25</v>
      </c>
      <c r="S328" s="13" t="s">
        <v>25</v>
      </c>
      <c r="T328" s="13" t="s">
        <v>25</v>
      </c>
    </row>
    <row r="329" spans="1:20" x14ac:dyDescent="0.3">
      <c r="A329" s="14">
        <v>43900.75</v>
      </c>
      <c r="B329" s="13" t="s">
        <v>22</v>
      </c>
      <c r="C329" s="114">
        <v>1</v>
      </c>
      <c r="D329" s="13" t="s">
        <v>53</v>
      </c>
      <c r="E329" s="114">
        <v>450732745</v>
      </c>
      <c r="F329" s="114">
        <v>7680687483</v>
      </c>
      <c r="G329" s="114">
        <v>306</v>
      </c>
      <c r="H329" s="114">
        <v>66</v>
      </c>
      <c r="I329" s="114">
        <v>372</v>
      </c>
      <c r="J329" s="114">
        <v>64</v>
      </c>
      <c r="K329" s="114">
        <v>436</v>
      </c>
      <c r="L329" s="114">
        <v>99</v>
      </c>
      <c r="M329" s="114">
        <v>103</v>
      </c>
      <c r="N329" s="114">
        <v>0</v>
      </c>
      <c r="O329" s="114">
        <v>17</v>
      </c>
      <c r="P329" s="114">
        <v>453</v>
      </c>
      <c r="Q329" s="114">
        <v>2374</v>
      </c>
      <c r="R329" s="13" t="s">
        <v>25</v>
      </c>
      <c r="S329" s="13" t="s">
        <v>25</v>
      </c>
      <c r="T329" s="13" t="s">
        <v>25</v>
      </c>
    </row>
    <row r="330" spans="1:20" x14ac:dyDescent="0.3">
      <c r="A330" s="14">
        <v>43900.75</v>
      </c>
      <c r="B330" s="13" t="s">
        <v>22</v>
      </c>
      <c r="C330" s="114">
        <v>16</v>
      </c>
      <c r="D330" s="13" t="s">
        <v>54</v>
      </c>
      <c r="E330" s="114">
        <v>4112559576</v>
      </c>
      <c r="F330" s="114">
        <v>1686736689</v>
      </c>
      <c r="G330" s="114">
        <v>28</v>
      </c>
      <c r="H330" s="114">
        <v>6</v>
      </c>
      <c r="I330" s="114">
        <v>34</v>
      </c>
      <c r="J330" s="114">
        <v>21</v>
      </c>
      <c r="K330" s="114">
        <v>55</v>
      </c>
      <c r="L330" s="114">
        <v>9</v>
      </c>
      <c r="M330" s="114">
        <v>9</v>
      </c>
      <c r="N330" s="114">
        <v>1</v>
      </c>
      <c r="O330" s="114">
        <v>3</v>
      </c>
      <c r="P330" s="114">
        <v>59</v>
      </c>
      <c r="Q330" s="114">
        <v>747</v>
      </c>
      <c r="R330" s="13" t="s">
        <v>25</v>
      </c>
      <c r="S330" s="13" t="s">
        <v>25</v>
      </c>
      <c r="T330" s="13" t="s">
        <v>25</v>
      </c>
    </row>
    <row r="331" spans="1:20" x14ac:dyDescent="0.3">
      <c r="A331" s="14">
        <v>43900.75</v>
      </c>
      <c r="B331" s="13" t="s">
        <v>22</v>
      </c>
      <c r="C331" s="114">
        <v>20</v>
      </c>
      <c r="D331" s="13" t="s">
        <v>55</v>
      </c>
      <c r="E331" s="114">
        <v>3921531192</v>
      </c>
      <c r="F331" s="114">
        <v>9110616306</v>
      </c>
      <c r="G331" s="114">
        <v>9</v>
      </c>
      <c r="H331" s="114">
        <v>0</v>
      </c>
      <c r="I331" s="114">
        <v>9</v>
      </c>
      <c r="J331" s="114">
        <v>11</v>
      </c>
      <c r="K331" s="114">
        <v>20</v>
      </c>
      <c r="L331" s="114">
        <v>1</v>
      </c>
      <c r="M331" s="114">
        <v>1</v>
      </c>
      <c r="N331" s="114">
        <v>0</v>
      </c>
      <c r="O331" s="114">
        <v>0</v>
      </c>
      <c r="P331" s="114">
        <v>20</v>
      </c>
      <c r="Q331" s="114">
        <v>204</v>
      </c>
      <c r="R331" s="13" t="s">
        <v>25</v>
      </c>
      <c r="S331" s="13" t="s">
        <v>25</v>
      </c>
      <c r="T331" s="13" t="s">
        <v>25</v>
      </c>
    </row>
    <row r="332" spans="1:20" x14ac:dyDescent="0.3">
      <c r="A332" s="14">
        <v>43900.75</v>
      </c>
      <c r="B332" s="13" t="s">
        <v>22</v>
      </c>
      <c r="C332" s="114">
        <v>19</v>
      </c>
      <c r="D332" s="13" t="s">
        <v>56</v>
      </c>
      <c r="E332" s="114">
        <v>3811569725</v>
      </c>
      <c r="F332" s="114">
        <v>133623567</v>
      </c>
      <c r="G332" s="114">
        <v>17</v>
      </c>
      <c r="H332" s="114">
        <v>2</v>
      </c>
      <c r="I332" s="114">
        <v>19</v>
      </c>
      <c r="J332" s="114">
        <v>41</v>
      </c>
      <c r="K332" s="114">
        <v>60</v>
      </c>
      <c r="L332" s="114">
        <v>8</v>
      </c>
      <c r="M332" s="114">
        <v>8</v>
      </c>
      <c r="N332" s="114">
        <v>2</v>
      </c>
      <c r="O332" s="114">
        <v>0</v>
      </c>
      <c r="P332" s="114">
        <v>62</v>
      </c>
      <c r="Q332" s="114">
        <v>955</v>
      </c>
      <c r="R332" s="13" t="s">
        <v>25</v>
      </c>
      <c r="S332" s="13" t="s">
        <v>25</v>
      </c>
      <c r="T332" s="13" t="s">
        <v>25</v>
      </c>
    </row>
    <row r="333" spans="1:20" x14ac:dyDescent="0.3">
      <c r="A333" s="14">
        <v>43900.75</v>
      </c>
      <c r="B333" s="13" t="s">
        <v>22</v>
      </c>
      <c r="C333" s="114">
        <v>9</v>
      </c>
      <c r="D333" s="13" t="s">
        <v>57</v>
      </c>
      <c r="E333" s="114">
        <v>4376923077</v>
      </c>
      <c r="F333" s="114">
        <v>1125588885</v>
      </c>
      <c r="G333" s="114">
        <v>91</v>
      </c>
      <c r="H333" s="114">
        <v>40</v>
      </c>
      <c r="I333" s="114">
        <v>131</v>
      </c>
      <c r="J333" s="114">
        <v>129</v>
      </c>
      <c r="K333" s="114">
        <v>260</v>
      </c>
      <c r="L333" s="114">
        <v>54</v>
      </c>
      <c r="M333" s="114">
        <v>56</v>
      </c>
      <c r="N333" s="114">
        <v>3</v>
      </c>
      <c r="O333" s="114">
        <v>1</v>
      </c>
      <c r="P333" s="114">
        <v>264</v>
      </c>
      <c r="Q333" s="114">
        <v>2573</v>
      </c>
      <c r="R333" s="13" t="s">
        <v>25</v>
      </c>
      <c r="S333" s="13" t="s">
        <v>25</v>
      </c>
      <c r="T333" s="13" t="s">
        <v>25</v>
      </c>
    </row>
    <row r="334" spans="1:20" x14ac:dyDescent="0.3">
      <c r="A334" s="14">
        <v>43900.75</v>
      </c>
      <c r="B334" s="13" t="s">
        <v>22</v>
      </c>
      <c r="C334" s="114">
        <v>4</v>
      </c>
      <c r="D334" s="13" t="s">
        <v>58</v>
      </c>
      <c r="E334" s="114">
        <v>4606893511</v>
      </c>
      <c r="F334" s="114">
        <v>1112123097</v>
      </c>
      <c r="G334" s="114">
        <v>19</v>
      </c>
      <c r="H334" s="114">
        <v>3</v>
      </c>
      <c r="I334" s="114">
        <v>22</v>
      </c>
      <c r="J334" s="114">
        <v>28</v>
      </c>
      <c r="K334" s="114">
        <v>50</v>
      </c>
      <c r="L334" s="114">
        <v>17</v>
      </c>
      <c r="M334" s="114">
        <v>19</v>
      </c>
      <c r="N334" s="114">
        <v>2</v>
      </c>
      <c r="O334" s="114">
        <v>0</v>
      </c>
      <c r="P334" s="114">
        <v>52</v>
      </c>
      <c r="Q334" s="114">
        <v>399</v>
      </c>
      <c r="R334" s="13" t="s">
        <v>25</v>
      </c>
      <c r="S334" s="13" t="s">
        <v>25</v>
      </c>
      <c r="T334" s="13" t="s">
        <v>25</v>
      </c>
    </row>
    <row r="335" spans="1:20" x14ac:dyDescent="0.3">
      <c r="A335" s="14">
        <v>43900.75</v>
      </c>
      <c r="B335" s="13" t="s">
        <v>22</v>
      </c>
      <c r="C335" s="114">
        <v>10</v>
      </c>
      <c r="D335" s="13" t="s">
        <v>59</v>
      </c>
      <c r="E335" s="114">
        <v>4310675841</v>
      </c>
      <c r="F335" s="114">
        <v>1238824698</v>
      </c>
      <c r="G335" s="114">
        <v>8</v>
      </c>
      <c r="H335" s="114">
        <v>2</v>
      </c>
      <c r="I335" s="114">
        <v>10</v>
      </c>
      <c r="J335" s="114">
        <v>27</v>
      </c>
      <c r="K335" s="114">
        <v>37</v>
      </c>
      <c r="L335" s="114">
        <v>9</v>
      </c>
      <c r="M335" s="114">
        <v>9</v>
      </c>
      <c r="N335" s="114">
        <v>0</v>
      </c>
      <c r="O335" s="114">
        <v>0</v>
      </c>
      <c r="P335" s="114">
        <v>37</v>
      </c>
      <c r="Q335" s="114">
        <v>260</v>
      </c>
      <c r="R335" s="13" t="s">
        <v>25</v>
      </c>
      <c r="S335" s="13" t="s">
        <v>25</v>
      </c>
      <c r="T335" s="13" t="s">
        <v>25</v>
      </c>
    </row>
    <row r="336" spans="1:20" x14ac:dyDescent="0.3">
      <c r="A336" s="14">
        <v>43900.75</v>
      </c>
      <c r="B336" s="13" t="s">
        <v>22</v>
      </c>
      <c r="C336" s="114">
        <v>2</v>
      </c>
      <c r="D336" s="13" t="s">
        <v>60</v>
      </c>
      <c r="E336" s="114">
        <v>4573750286</v>
      </c>
      <c r="F336" s="114">
        <v>7320149366</v>
      </c>
      <c r="G336" s="114">
        <v>2</v>
      </c>
      <c r="H336" s="114">
        <v>0</v>
      </c>
      <c r="I336" s="114">
        <v>2</v>
      </c>
      <c r="J336" s="114">
        <v>15</v>
      </c>
      <c r="K336" s="114">
        <v>17</v>
      </c>
      <c r="L336" s="114">
        <v>2</v>
      </c>
      <c r="M336" s="114">
        <v>2</v>
      </c>
      <c r="N336" s="114">
        <v>0</v>
      </c>
      <c r="O336" s="114">
        <v>0</v>
      </c>
      <c r="P336" s="114">
        <v>17</v>
      </c>
      <c r="Q336" s="114">
        <v>89</v>
      </c>
      <c r="R336" s="13" t="s">
        <v>25</v>
      </c>
      <c r="S336" s="13" t="s">
        <v>25</v>
      </c>
      <c r="T336" s="13" t="s">
        <v>25</v>
      </c>
    </row>
    <row r="337" spans="1:20" x14ac:dyDescent="0.3">
      <c r="A337" s="14">
        <v>43900.75</v>
      </c>
      <c r="B337" s="13" t="s">
        <v>22</v>
      </c>
      <c r="C337" s="114">
        <v>5</v>
      </c>
      <c r="D337" s="13" t="s">
        <v>61</v>
      </c>
      <c r="E337" s="114">
        <v>4543490485</v>
      </c>
      <c r="F337" s="114">
        <v>1233845213</v>
      </c>
      <c r="G337" s="114">
        <v>204</v>
      </c>
      <c r="H337" s="114">
        <v>67</v>
      </c>
      <c r="I337" s="114">
        <v>271</v>
      </c>
      <c r="J337" s="114">
        <v>512</v>
      </c>
      <c r="K337" s="114">
        <v>783</v>
      </c>
      <c r="L337" s="114">
        <v>89</v>
      </c>
      <c r="M337" s="114">
        <v>112</v>
      </c>
      <c r="N337" s="114">
        <v>47</v>
      </c>
      <c r="O337" s="114">
        <v>26</v>
      </c>
      <c r="P337" s="114">
        <v>856</v>
      </c>
      <c r="Q337" s="114">
        <v>16643</v>
      </c>
      <c r="R337" s="13" t="s">
        <v>25</v>
      </c>
      <c r="S337" s="13" t="s">
        <v>25</v>
      </c>
      <c r="T337" s="13" t="s">
        <v>25</v>
      </c>
    </row>
    <row r="338" spans="1:20" x14ac:dyDescent="0.3">
      <c r="A338" s="14">
        <v>43901.708333333336</v>
      </c>
      <c r="B338" s="13" t="s">
        <v>22</v>
      </c>
      <c r="C338" s="114">
        <v>13</v>
      </c>
      <c r="D338" s="13" t="s">
        <v>42</v>
      </c>
      <c r="E338" s="114">
        <v>4235122196</v>
      </c>
      <c r="F338" s="114">
        <v>1339843823</v>
      </c>
      <c r="G338" s="114">
        <v>17</v>
      </c>
      <c r="H338" s="114">
        <v>9</v>
      </c>
      <c r="I338" s="114">
        <v>26</v>
      </c>
      <c r="J338" s="114">
        <v>11</v>
      </c>
      <c r="K338" s="114">
        <v>37</v>
      </c>
      <c r="L338" s="114">
        <v>0</v>
      </c>
      <c r="M338" s="114">
        <v>0</v>
      </c>
      <c r="N338" s="114">
        <v>0</v>
      </c>
      <c r="O338" s="114">
        <v>1</v>
      </c>
      <c r="P338" s="114">
        <v>38</v>
      </c>
      <c r="Q338" s="114">
        <v>310</v>
      </c>
      <c r="R338" s="13" t="s">
        <v>25</v>
      </c>
      <c r="S338" s="13" t="s">
        <v>66</v>
      </c>
      <c r="T338" s="13" t="s">
        <v>67</v>
      </c>
    </row>
    <row r="339" spans="1:20" x14ac:dyDescent="0.3">
      <c r="A339" s="14">
        <v>43901.708333333336</v>
      </c>
      <c r="B339" s="13" t="s">
        <v>22</v>
      </c>
      <c r="C339" s="114">
        <v>17</v>
      </c>
      <c r="D339" s="13" t="s">
        <v>43</v>
      </c>
      <c r="E339" s="114">
        <v>4063947052</v>
      </c>
      <c r="F339" s="114">
        <v>1580514834</v>
      </c>
      <c r="G339" s="114">
        <v>1</v>
      </c>
      <c r="H339" s="114">
        <v>1</v>
      </c>
      <c r="I339" s="114">
        <v>2</v>
      </c>
      <c r="J339" s="114">
        <v>6</v>
      </c>
      <c r="K339" s="114">
        <v>8</v>
      </c>
      <c r="L339" s="114">
        <v>1</v>
      </c>
      <c r="M339" s="114">
        <v>1</v>
      </c>
      <c r="N339" s="114">
        <v>0</v>
      </c>
      <c r="O339" s="114">
        <v>0</v>
      </c>
      <c r="P339" s="114">
        <v>8</v>
      </c>
      <c r="Q339" s="114">
        <v>155</v>
      </c>
      <c r="R339" s="13" t="s">
        <v>25</v>
      </c>
      <c r="S339" s="13" t="s">
        <v>25</v>
      </c>
      <c r="T339" s="13" t="s">
        <v>25</v>
      </c>
    </row>
    <row r="340" spans="1:20" x14ac:dyDescent="0.3">
      <c r="A340" s="14">
        <v>43901.708333333336</v>
      </c>
      <c r="B340" s="13" t="s">
        <v>22</v>
      </c>
      <c r="C340" s="114">
        <v>4</v>
      </c>
      <c r="D340" s="13" t="s">
        <v>44</v>
      </c>
      <c r="E340" s="114">
        <v>4649933453</v>
      </c>
      <c r="F340" s="114">
        <v>1135662422</v>
      </c>
      <c r="G340" s="114">
        <v>8</v>
      </c>
      <c r="H340" s="114">
        <v>4</v>
      </c>
      <c r="I340" s="114">
        <v>12</v>
      </c>
      <c r="J340" s="114">
        <v>63</v>
      </c>
      <c r="K340" s="114">
        <v>75</v>
      </c>
      <c r="L340" s="114">
        <v>37</v>
      </c>
      <c r="M340" s="114">
        <v>37</v>
      </c>
      <c r="N340" s="114">
        <v>0</v>
      </c>
      <c r="O340" s="114">
        <v>0</v>
      </c>
      <c r="P340" s="114">
        <v>75</v>
      </c>
      <c r="Q340" s="114">
        <v>75</v>
      </c>
      <c r="R340" s="13" t="s">
        <v>25</v>
      </c>
      <c r="S340" s="13" t="s">
        <v>25</v>
      </c>
      <c r="T340" s="13" t="s">
        <v>25</v>
      </c>
    </row>
    <row r="341" spans="1:20" x14ac:dyDescent="0.3">
      <c r="A341" s="14">
        <v>43901.708333333336</v>
      </c>
      <c r="B341" s="13" t="s">
        <v>22</v>
      </c>
      <c r="C341" s="114">
        <v>18</v>
      </c>
      <c r="D341" s="13" t="s">
        <v>45</v>
      </c>
      <c r="E341" s="114">
        <v>3890597598</v>
      </c>
      <c r="F341" s="114">
        <v>1659440194</v>
      </c>
      <c r="G341" s="114">
        <v>10</v>
      </c>
      <c r="H341" s="114">
        <v>2</v>
      </c>
      <c r="I341" s="114">
        <v>12</v>
      </c>
      <c r="J341" s="114">
        <v>5</v>
      </c>
      <c r="K341" s="114">
        <v>17</v>
      </c>
      <c r="L341" s="114">
        <v>6</v>
      </c>
      <c r="M341" s="114">
        <v>6</v>
      </c>
      <c r="N341" s="114">
        <v>2</v>
      </c>
      <c r="O341" s="114">
        <v>0</v>
      </c>
      <c r="P341" s="114">
        <v>19</v>
      </c>
      <c r="Q341" s="114">
        <v>405</v>
      </c>
      <c r="R341" s="13" t="s">
        <v>25</v>
      </c>
      <c r="S341" s="13" t="s">
        <v>25</v>
      </c>
      <c r="T341" s="13" t="s">
        <v>25</v>
      </c>
    </row>
    <row r="342" spans="1:20" x14ac:dyDescent="0.3">
      <c r="A342" s="14">
        <v>43901.708333333336</v>
      </c>
      <c r="B342" s="13" t="s">
        <v>22</v>
      </c>
      <c r="C342" s="114">
        <v>15</v>
      </c>
      <c r="D342" s="13" t="s">
        <v>46</v>
      </c>
      <c r="E342" s="114">
        <v>4083956555</v>
      </c>
      <c r="F342" s="114">
        <v>1425084984</v>
      </c>
      <c r="G342" s="114">
        <v>56</v>
      </c>
      <c r="H342" s="114">
        <v>11</v>
      </c>
      <c r="I342" s="114">
        <v>67</v>
      </c>
      <c r="J342" s="114">
        <v>82</v>
      </c>
      <c r="K342" s="114">
        <v>149</v>
      </c>
      <c r="L342" s="114">
        <v>23</v>
      </c>
      <c r="M342" s="114">
        <v>27</v>
      </c>
      <c r="N342" s="114">
        <v>4</v>
      </c>
      <c r="O342" s="114">
        <v>1</v>
      </c>
      <c r="P342" s="114">
        <v>154</v>
      </c>
      <c r="Q342" s="114">
        <v>1375</v>
      </c>
      <c r="R342" s="13" t="s">
        <v>25</v>
      </c>
      <c r="S342" s="13" t="s">
        <v>25</v>
      </c>
      <c r="T342" s="13" t="s">
        <v>25</v>
      </c>
    </row>
    <row r="343" spans="1:20" x14ac:dyDescent="0.3">
      <c r="A343" s="14">
        <v>43901.708333333336</v>
      </c>
      <c r="B343" s="13" t="s">
        <v>22</v>
      </c>
      <c r="C343" s="114">
        <v>8</v>
      </c>
      <c r="D343" s="13" t="s">
        <v>96</v>
      </c>
      <c r="E343" s="114">
        <v>4449436681</v>
      </c>
      <c r="F343" s="114">
        <v>113417208</v>
      </c>
      <c r="G343" s="114">
        <v>745</v>
      </c>
      <c r="H343" s="114">
        <v>104</v>
      </c>
      <c r="I343" s="114">
        <v>849</v>
      </c>
      <c r="J343" s="114">
        <v>739</v>
      </c>
      <c r="K343" s="114">
        <v>1588</v>
      </c>
      <c r="L343" s="114">
        <v>171</v>
      </c>
      <c r="M343" s="114">
        <v>206</v>
      </c>
      <c r="N343" s="114">
        <v>38</v>
      </c>
      <c r="O343" s="114">
        <v>113</v>
      </c>
      <c r="P343" s="114">
        <v>1739</v>
      </c>
      <c r="Q343" s="114">
        <v>6640</v>
      </c>
      <c r="R343" s="13" t="s">
        <v>25</v>
      </c>
      <c r="S343" s="13" t="s">
        <v>25</v>
      </c>
      <c r="T343" s="13" t="s">
        <v>25</v>
      </c>
    </row>
    <row r="344" spans="1:20" x14ac:dyDescent="0.3">
      <c r="A344" s="14">
        <v>43901.708333333336</v>
      </c>
      <c r="B344" s="13" t="s">
        <v>22</v>
      </c>
      <c r="C344" s="114">
        <v>6</v>
      </c>
      <c r="D344" s="13" t="s">
        <v>47</v>
      </c>
      <c r="E344" s="114">
        <v>456494354</v>
      </c>
      <c r="F344" s="114">
        <v>1376813649</v>
      </c>
      <c r="G344" s="114">
        <v>16</v>
      </c>
      <c r="H344" s="114">
        <v>5</v>
      </c>
      <c r="I344" s="114">
        <v>21</v>
      </c>
      <c r="J344" s="114">
        <v>89</v>
      </c>
      <c r="K344" s="114">
        <v>110</v>
      </c>
      <c r="L344" s="114">
        <v>0</v>
      </c>
      <c r="M344" s="114">
        <v>10</v>
      </c>
      <c r="N344" s="114">
        <v>10</v>
      </c>
      <c r="O344" s="114">
        <v>6</v>
      </c>
      <c r="P344" s="114">
        <v>126</v>
      </c>
      <c r="Q344" s="114">
        <v>2073</v>
      </c>
      <c r="R344" s="13" t="s">
        <v>25</v>
      </c>
      <c r="S344" s="13" t="s">
        <v>25</v>
      </c>
      <c r="T344" s="13" t="s">
        <v>25</v>
      </c>
    </row>
    <row r="345" spans="1:20" x14ac:dyDescent="0.3">
      <c r="A345" s="14">
        <v>43901.708333333336</v>
      </c>
      <c r="B345" s="13" t="s">
        <v>22</v>
      </c>
      <c r="C345" s="114">
        <v>12</v>
      </c>
      <c r="D345" s="13" t="s">
        <v>48</v>
      </c>
      <c r="E345" s="114">
        <v>4189277044</v>
      </c>
      <c r="F345" s="114">
        <v>1248366722</v>
      </c>
      <c r="G345" s="114">
        <v>67</v>
      </c>
      <c r="H345" s="114">
        <v>18</v>
      </c>
      <c r="I345" s="114">
        <v>85</v>
      </c>
      <c r="J345" s="114">
        <v>40</v>
      </c>
      <c r="K345" s="114">
        <v>125</v>
      </c>
      <c r="L345" s="114">
        <v>26</v>
      </c>
      <c r="M345" s="114">
        <v>34</v>
      </c>
      <c r="N345" s="114">
        <v>19</v>
      </c>
      <c r="O345" s="114">
        <v>6</v>
      </c>
      <c r="P345" s="114">
        <v>150</v>
      </c>
      <c r="Q345" s="114">
        <v>3591</v>
      </c>
      <c r="R345" s="13" t="s">
        <v>25</v>
      </c>
      <c r="S345" s="13" t="s">
        <v>25</v>
      </c>
      <c r="T345" s="13" t="s">
        <v>25</v>
      </c>
    </row>
    <row r="346" spans="1:20" x14ac:dyDescent="0.3">
      <c r="A346" s="14">
        <v>43901.708333333336</v>
      </c>
      <c r="B346" s="13" t="s">
        <v>22</v>
      </c>
      <c r="C346" s="114">
        <v>7</v>
      </c>
      <c r="D346" s="13" t="s">
        <v>49</v>
      </c>
      <c r="E346" s="114">
        <v>4441149315</v>
      </c>
      <c r="F346" s="114">
        <v>89326992</v>
      </c>
      <c r="G346" s="114">
        <v>74</v>
      </c>
      <c r="H346" s="114">
        <v>34</v>
      </c>
      <c r="I346" s="114">
        <v>108</v>
      </c>
      <c r="J346" s="114">
        <v>73</v>
      </c>
      <c r="K346" s="114">
        <v>181</v>
      </c>
      <c r="L346" s="114">
        <v>53</v>
      </c>
      <c r="M346" s="114">
        <v>53</v>
      </c>
      <c r="N346" s="114">
        <v>5</v>
      </c>
      <c r="O346" s="114">
        <v>8</v>
      </c>
      <c r="P346" s="114">
        <v>194</v>
      </c>
      <c r="Q346" s="114">
        <v>1025</v>
      </c>
      <c r="R346" s="13" t="s">
        <v>25</v>
      </c>
      <c r="S346" s="13" t="s">
        <v>25</v>
      </c>
      <c r="T346" s="13" t="s">
        <v>25</v>
      </c>
    </row>
    <row r="347" spans="1:20" x14ac:dyDescent="0.3">
      <c r="A347" s="14">
        <v>43901.708333333336</v>
      </c>
      <c r="B347" s="13" t="s">
        <v>22</v>
      </c>
      <c r="C347" s="114">
        <v>3</v>
      </c>
      <c r="D347" s="13" t="s">
        <v>50</v>
      </c>
      <c r="E347" s="114">
        <v>4546679409</v>
      </c>
      <c r="F347" s="114">
        <v>9190347404</v>
      </c>
      <c r="G347" s="114">
        <v>3852</v>
      </c>
      <c r="H347" s="114">
        <v>560</v>
      </c>
      <c r="I347" s="114">
        <v>4412</v>
      </c>
      <c r="J347" s="114">
        <v>1351</v>
      </c>
      <c r="K347" s="114">
        <v>5763</v>
      </c>
      <c r="L347" s="114">
        <v>1336</v>
      </c>
      <c r="M347" s="114">
        <v>1489</v>
      </c>
      <c r="N347" s="114">
        <v>900</v>
      </c>
      <c r="O347" s="114">
        <v>617</v>
      </c>
      <c r="P347" s="114">
        <v>7280</v>
      </c>
      <c r="Q347" s="114">
        <v>25629</v>
      </c>
      <c r="R347" s="13" t="s">
        <v>25</v>
      </c>
      <c r="S347" s="13" t="s">
        <v>25</v>
      </c>
      <c r="T347" s="13" t="s">
        <v>25</v>
      </c>
    </row>
    <row r="348" spans="1:20" x14ac:dyDescent="0.3">
      <c r="A348" s="14">
        <v>43901.708333333336</v>
      </c>
      <c r="B348" s="13" t="s">
        <v>22</v>
      </c>
      <c r="C348" s="114">
        <v>11</v>
      </c>
      <c r="D348" s="13" t="s">
        <v>51</v>
      </c>
      <c r="E348" s="114">
        <v>4361675973</v>
      </c>
      <c r="F348" s="114">
        <v>135188753</v>
      </c>
      <c r="G348" s="114">
        <v>212</v>
      </c>
      <c r="H348" s="114">
        <v>66</v>
      </c>
      <c r="I348" s="114">
        <v>278</v>
      </c>
      <c r="J348" s="114">
        <v>183</v>
      </c>
      <c r="K348" s="114">
        <v>461</v>
      </c>
      <c r="L348" s="114">
        <v>80</v>
      </c>
      <c r="M348" s="114">
        <v>85</v>
      </c>
      <c r="N348" s="114">
        <v>0</v>
      </c>
      <c r="O348" s="114">
        <v>18</v>
      </c>
      <c r="P348" s="114">
        <v>479</v>
      </c>
      <c r="Q348" s="114">
        <v>1656</v>
      </c>
      <c r="R348" s="13" t="s">
        <v>25</v>
      </c>
      <c r="S348" s="13" t="s">
        <v>25</v>
      </c>
      <c r="T348" s="13" t="s">
        <v>25</v>
      </c>
    </row>
    <row r="349" spans="1:20" x14ac:dyDescent="0.3">
      <c r="A349" s="14">
        <v>43901.708333333336</v>
      </c>
      <c r="B349" s="13" t="s">
        <v>22</v>
      </c>
      <c r="C349" s="114">
        <v>14</v>
      </c>
      <c r="D349" s="13" t="s">
        <v>52</v>
      </c>
      <c r="E349" s="114">
        <v>4155774754</v>
      </c>
      <c r="F349" s="114">
        <v>1465916051</v>
      </c>
      <c r="G349" s="114">
        <v>4</v>
      </c>
      <c r="H349" s="114">
        <v>3</v>
      </c>
      <c r="I349" s="114">
        <v>7</v>
      </c>
      <c r="J349" s="114">
        <v>9</v>
      </c>
      <c r="K349" s="114">
        <v>16</v>
      </c>
      <c r="L349" s="114">
        <v>1</v>
      </c>
      <c r="M349" s="114">
        <v>1</v>
      </c>
      <c r="N349" s="114">
        <v>0</v>
      </c>
      <c r="O349" s="114">
        <v>0</v>
      </c>
      <c r="P349" s="114">
        <v>16</v>
      </c>
      <c r="Q349" s="114">
        <v>233</v>
      </c>
      <c r="R349" s="13" t="s">
        <v>25</v>
      </c>
      <c r="S349" s="13" t="s">
        <v>25</v>
      </c>
      <c r="T349" s="13" t="s">
        <v>25</v>
      </c>
    </row>
    <row r="350" spans="1:20" x14ac:dyDescent="0.3">
      <c r="A350" s="14">
        <v>43901.708333333336</v>
      </c>
      <c r="B350" s="13" t="s">
        <v>22</v>
      </c>
      <c r="C350" s="114">
        <v>1</v>
      </c>
      <c r="D350" s="13" t="s">
        <v>53</v>
      </c>
      <c r="E350" s="114">
        <v>450732745</v>
      </c>
      <c r="F350" s="114">
        <v>7680687483</v>
      </c>
      <c r="G350" s="114">
        <v>319</v>
      </c>
      <c r="H350" s="114">
        <v>75</v>
      </c>
      <c r="I350" s="114">
        <v>394</v>
      </c>
      <c r="J350" s="114">
        <v>86</v>
      </c>
      <c r="K350" s="114">
        <v>480</v>
      </c>
      <c r="L350" s="114">
        <v>44</v>
      </c>
      <c r="M350" s="114">
        <v>48</v>
      </c>
      <c r="N350" s="114">
        <v>0</v>
      </c>
      <c r="O350" s="114">
        <v>21</v>
      </c>
      <c r="P350" s="114">
        <v>501</v>
      </c>
      <c r="Q350" s="114">
        <v>2431</v>
      </c>
      <c r="R350" s="13" t="s">
        <v>25</v>
      </c>
      <c r="S350" s="13" t="s">
        <v>25</v>
      </c>
      <c r="T350" s="13" t="s">
        <v>25</v>
      </c>
    </row>
    <row r="351" spans="1:20" x14ac:dyDescent="0.3">
      <c r="A351" s="14">
        <v>43901.708333333336</v>
      </c>
      <c r="B351" s="13" t="s">
        <v>22</v>
      </c>
      <c r="C351" s="114">
        <v>16</v>
      </c>
      <c r="D351" s="13" t="s">
        <v>54</v>
      </c>
      <c r="E351" s="114">
        <v>4112559576</v>
      </c>
      <c r="F351" s="114">
        <v>1686736689</v>
      </c>
      <c r="G351" s="114">
        <v>38</v>
      </c>
      <c r="H351" s="114">
        <v>4</v>
      </c>
      <c r="I351" s="114">
        <v>42</v>
      </c>
      <c r="J351" s="114">
        <v>29</v>
      </c>
      <c r="K351" s="114">
        <v>71</v>
      </c>
      <c r="L351" s="114">
        <v>16</v>
      </c>
      <c r="M351" s="114">
        <v>18</v>
      </c>
      <c r="N351" s="114">
        <v>1</v>
      </c>
      <c r="O351" s="114">
        <v>5</v>
      </c>
      <c r="P351" s="114">
        <v>77</v>
      </c>
      <c r="Q351" s="114">
        <v>909</v>
      </c>
      <c r="R351" s="13" t="s">
        <v>25</v>
      </c>
      <c r="S351" s="13" t="s">
        <v>25</v>
      </c>
      <c r="T351" s="13" t="s">
        <v>25</v>
      </c>
    </row>
    <row r="352" spans="1:20" x14ac:dyDescent="0.3">
      <c r="A352" s="14">
        <v>43901.708333333336</v>
      </c>
      <c r="B352" s="13" t="s">
        <v>22</v>
      </c>
      <c r="C352" s="114">
        <v>20</v>
      </c>
      <c r="D352" s="13" t="s">
        <v>55</v>
      </c>
      <c r="E352" s="114">
        <v>3921531192</v>
      </c>
      <c r="F352" s="114">
        <v>9110616306</v>
      </c>
      <c r="G352" s="114">
        <v>10</v>
      </c>
      <c r="H352" s="114">
        <v>0</v>
      </c>
      <c r="I352" s="114">
        <v>10</v>
      </c>
      <c r="J352" s="114">
        <v>27</v>
      </c>
      <c r="K352" s="114">
        <v>37</v>
      </c>
      <c r="L352" s="114">
        <v>17</v>
      </c>
      <c r="M352" s="114">
        <v>17</v>
      </c>
      <c r="N352" s="114">
        <v>0</v>
      </c>
      <c r="O352" s="114">
        <v>0</v>
      </c>
      <c r="P352" s="114">
        <v>37</v>
      </c>
      <c r="Q352" s="114">
        <v>283</v>
      </c>
      <c r="R352" s="13" t="s">
        <v>25</v>
      </c>
      <c r="S352" s="13" t="s">
        <v>25</v>
      </c>
      <c r="T352" s="13" t="s">
        <v>25</v>
      </c>
    </row>
    <row r="353" spans="1:20" x14ac:dyDescent="0.3">
      <c r="A353" s="14">
        <v>43901.708333333336</v>
      </c>
      <c r="B353" s="13" t="s">
        <v>22</v>
      </c>
      <c r="C353" s="114">
        <v>19</v>
      </c>
      <c r="D353" s="13" t="s">
        <v>56</v>
      </c>
      <c r="E353" s="114">
        <v>3811569725</v>
      </c>
      <c r="F353" s="114">
        <v>133623567</v>
      </c>
      <c r="G353" s="114">
        <v>23</v>
      </c>
      <c r="H353" s="114">
        <v>1</v>
      </c>
      <c r="I353" s="114">
        <v>24</v>
      </c>
      <c r="J353" s="114">
        <v>57</v>
      </c>
      <c r="K353" s="114">
        <v>81</v>
      </c>
      <c r="L353" s="114">
        <v>21</v>
      </c>
      <c r="M353" s="114">
        <v>21</v>
      </c>
      <c r="N353" s="114">
        <v>2</v>
      </c>
      <c r="O353" s="114">
        <v>0</v>
      </c>
      <c r="P353" s="114">
        <v>83</v>
      </c>
      <c r="Q353" s="114">
        <v>1194</v>
      </c>
      <c r="R353" s="13" t="s">
        <v>25</v>
      </c>
      <c r="S353" s="13" t="s">
        <v>25</v>
      </c>
      <c r="T353" s="13" t="s">
        <v>25</v>
      </c>
    </row>
    <row r="354" spans="1:20" x14ac:dyDescent="0.3">
      <c r="A354" s="14">
        <v>43901.708333333336</v>
      </c>
      <c r="B354" s="13" t="s">
        <v>22</v>
      </c>
      <c r="C354" s="114">
        <v>9</v>
      </c>
      <c r="D354" s="13" t="s">
        <v>57</v>
      </c>
      <c r="E354" s="114">
        <v>4376923077</v>
      </c>
      <c r="F354" s="114">
        <v>1125588885</v>
      </c>
      <c r="G354" s="114">
        <v>87</v>
      </c>
      <c r="H354" s="114">
        <v>54</v>
      </c>
      <c r="I354" s="114">
        <v>141</v>
      </c>
      <c r="J354" s="114">
        <v>173</v>
      </c>
      <c r="K354" s="114">
        <v>314</v>
      </c>
      <c r="L354" s="114">
        <v>54</v>
      </c>
      <c r="M354" s="114">
        <v>56</v>
      </c>
      <c r="N354" s="114">
        <v>5</v>
      </c>
      <c r="O354" s="114">
        <v>1</v>
      </c>
      <c r="P354" s="114">
        <v>320</v>
      </c>
      <c r="Q354" s="114">
        <v>2804</v>
      </c>
      <c r="R354" s="13" t="s">
        <v>25</v>
      </c>
      <c r="S354" s="13" t="s">
        <v>25</v>
      </c>
      <c r="T354" s="13" t="s">
        <v>25</v>
      </c>
    </row>
    <row r="355" spans="1:20" x14ac:dyDescent="0.3">
      <c r="A355" s="14">
        <v>43901.708333333336</v>
      </c>
      <c r="B355" s="13" t="s">
        <v>22</v>
      </c>
      <c r="C355" s="114">
        <v>4</v>
      </c>
      <c r="D355" s="13" t="s">
        <v>58</v>
      </c>
      <c r="E355" s="114">
        <v>4606893511</v>
      </c>
      <c r="F355" s="114">
        <v>1112123097</v>
      </c>
      <c r="G355" s="114">
        <v>28</v>
      </c>
      <c r="H355" s="114">
        <v>4</v>
      </c>
      <c r="I355" s="114">
        <v>32</v>
      </c>
      <c r="J355" s="114">
        <v>42</v>
      </c>
      <c r="K355" s="114">
        <v>74</v>
      </c>
      <c r="L355" s="114">
        <v>24</v>
      </c>
      <c r="M355" s="114">
        <v>25</v>
      </c>
      <c r="N355" s="114">
        <v>3</v>
      </c>
      <c r="O355" s="114">
        <v>0</v>
      </c>
      <c r="P355" s="114">
        <v>77</v>
      </c>
      <c r="Q355" s="114">
        <v>527</v>
      </c>
      <c r="R355" s="13" t="s">
        <v>25</v>
      </c>
      <c r="S355" s="13" t="s">
        <v>25</v>
      </c>
      <c r="T355" s="13" t="s">
        <v>25</v>
      </c>
    </row>
    <row r="356" spans="1:20" x14ac:dyDescent="0.3">
      <c r="A356" s="14">
        <v>43901.708333333336</v>
      </c>
      <c r="B356" s="13" t="s">
        <v>22</v>
      </c>
      <c r="C356" s="114">
        <v>10</v>
      </c>
      <c r="D356" s="13" t="s">
        <v>59</v>
      </c>
      <c r="E356" s="114">
        <v>4310675841</v>
      </c>
      <c r="F356" s="114">
        <v>1238824698</v>
      </c>
      <c r="G356" s="114">
        <v>7</v>
      </c>
      <c r="H356" s="114">
        <v>5</v>
      </c>
      <c r="I356" s="114">
        <v>12</v>
      </c>
      <c r="J356" s="114">
        <v>32</v>
      </c>
      <c r="K356" s="114">
        <v>44</v>
      </c>
      <c r="L356" s="114">
        <v>7</v>
      </c>
      <c r="M356" s="114">
        <v>9</v>
      </c>
      <c r="N356" s="114">
        <v>2</v>
      </c>
      <c r="O356" s="114">
        <v>0</v>
      </c>
      <c r="P356" s="114">
        <v>46</v>
      </c>
      <c r="Q356" s="114">
        <v>340</v>
      </c>
      <c r="R356" s="13" t="s">
        <v>25</v>
      </c>
      <c r="S356" s="13" t="s">
        <v>25</v>
      </c>
      <c r="T356" s="13" t="s">
        <v>25</v>
      </c>
    </row>
    <row r="357" spans="1:20" x14ac:dyDescent="0.3">
      <c r="A357" s="14">
        <v>43901.708333333336</v>
      </c>
      <c r="B357" s="13" t="s">
        <v>22</v>
      </c>
      <c r="C357" s="114">
        <v>2</v>
      </c>
      <c r="D357" s="13" t="s">
        <v>60</v>
      </c>
      <c r="E357" s="114">
        <v>4573750286</v>
      </c>
      <c r="F357" s="114">
        <v>7320149366</v>
      </c>
      <c r="G357" s="114">
        <v>2</v>
      </c>
      <c r="H357" s="114">
        <v>0</v>
      </c>
      <c r="I357" s="114">
        <v>2</v>
      </c>
      <c r="J357" s="114">
        <v>17</v>
      </c>
      <c r="K357" s="114">
        <v>19</v>
      </c>
      <c r="L357" s="114">
        <v>2</v>
      </c>
      <c r="M357" s="114">
        <v>3</v>
      </c>
      <c r="N357" s="114">
        <v>0</v>
      </c>
      <c r="O357" s="114">
        <v>1</v>
      </c>
      <c r="P357" s="114">
        <v>20</v>
      </c>
      <c r="Q357" s="114">
        <v>99</v>
      </c>
      <c r="R357" s="13" t="s">
        <v>25</v>
      </c>
      <c r="S357" s="13" t="s">
        <v>25</v>
      </c>
      <c r="T357" s="13" t="s">
        <v>25</v>
      </c>
    </row>
    <row r="358" spans="1:20" x14ac:dyDescent="0.3">
      <c r="A358" s="14">
        <v>43901.708333333336</v>
      </c>
      <c r="B358" s="13" t="s">
        <v>22</v>
      </c>
      <c r="C358" s="114">
        <v>5</v>
      </c>
      <c r="D358" s="13" t="s">
        <v>61</v>
      </c>
      <c r="E358" s="114">
        <v>4543490485</v>
      </c>
      <c r="F358" s="114">
        <v>1233845213</v>
      </c>
      <c r="G358" s="114">
        <v>262</v>
      </c>
      <c r="H358" s="114">
        <v>68</v>
      </c>
      <c r="I358" s="114">
        <v>330</v>
      </c>
      <c r="J358" s="114">
        <v>610</v>
      </c>
      <c r="K358" s="114">
        <v>940</v>
      </c>
      <c r="L358" s="114">
        <v>157</v>
      </c>
      <c r="M358" s="114">
        <v>167</v>
      </c>
      <c r="N358" s="114">
        <v>54</v>
      </c>
      <c r="O358" s="114">
        <v>29</v>
      </c>
      <c r="P358" s="114">
        <v>1023</v>
      </c>
      <c r="Q358" s="114">
        <v>21400</v>
      </c>
      <c r="R358" s="13" t="s">
        <v>25</v>
      </c>
      <c r="S358" s="13" t="s">
        <v>25</v>
      </c>
      <c r="T358" s="13" t="s">
        <v>25</v>
      </c>
    </row>
    <row r="359" spans="1:20" x14ac:dyDescent="0.3">
      <c r="A359" s="14">
        <v>43902.708333333336</v>
      </c>
      <c r="B359" s="13" t="s">
        <v>22</v>
      </c>
      <c r="C359" s="114">
        <v>13</v>
      </c>
      <c r="D359" s="13" t="s">
        <v>42</v>
      </c>
      <c r="E359" s="114">
        <v>4235122196</v>
      </c>
      <c r="F359" s="114">
        <v>1339843823</v>
      </c>
      <c r="G359" s="114">
        <v>47</v>
      </c>
      <c r="H359" s="114">
        <v>12</v>
      </c>
      <c r="I359" s="114">
        <v>59</v>
      </c>
      <c r="J359" s="114">
        <v>19</v>
      </c>
      <c r="K359" s="114">
        <v>78</v>
      </c>
      <c r="L359" s="114">
        <v>41</v>
      </c>
      <c r="M359" s="114">
        <v>46</v>
      </c>
      <c r="N359" s="114">
        <v>4</v>
      </c>
      <c r="O359" s="114">
        <v>2</v>
      </c>
      <c r="P359" s="114">
        <v>84</v>
      </c>
      <c r="Q359" s="114">
        <v>867</v>
      </c>
      <c r="R359" s="13" t="s">
        <v>25</v>
      </c>
      <c r="S359" s="13" t="s">
        <v>25</v>
      </c>
      <c r="T359" s="13" t="s">
        <v>25</v>
      </c>
    </row>
    <row r="360" spans="1:20" x14ac:dyDescent="0.3">
      <c r="A360" s="14">
        <v>43902.708333333336</v>
      </c>
      <c r="B360" s="13" t="s">
        <v>22</v>
      </c>
      <c r="C360" s="114">
        <v>17</v>
      </c>
      <c r="D360" s="13" t="s">
        <v>43</v>
      </c>
      <c r="E360" s="114">
        <v>4063947052</v>
      </c>
      <c r="F360" s="114">
        <v>1580514834</v>
      </c>
      <c r="G360" s="114">
        <v>1</v>
      </c>
      <c r="H360" s="114">
        <v>1</v>
      </c>
      <c r="I360" s="114">
        <v>2</v>
      </c>
      <c r="J360" s="114">
        <v>6</v>
      </c>
      <c r="K360" s="114">
        <v>8</v>
      </c>
      <c r="L360" s="114">
        <v>0</v>
      </c>
      <c r="M360" s="114">
        <v>0</v>
      </c>
      <c r="N360" s="114">
        <v>0</v>
      </c>
      <c r="O360" s="114">
        <v>0</v>
      </c>
      <c r="P360" s="114">
        <v>8</v>
      </c>
      <c r="Q360" s="114">
        <v>155</v>
      </c>
      <c r="R360" s="13" t="s">
        <v>25</v>
      </c>
      <c r="S360" s="13" t="s">
        <v>25</v>
      </c>
      <c r="T360" s="13" t="s">
        <v>25</v>
      </c>
    </row>
    <row r="361" spans="1:20" x14ac:dyDescent="0.3">
      <c r="A361" s="14">
        <v>43902.708333333336</v>
      </c>
      <c r="B361" s="13" t="s">
        <v>22</v>
      </c>
      <c r="C361" s="114">
        <v>4</v>
      </c>
      <c r="D361" s="13" t="s">
        <v>44</v>
      </c>
      <c r="E361" s="114">
        <v>4649933453</v>
      </c>
      <c r="F361" s="114">
        <v>1135662422</v>
      </c>
      <c r="G361" s="114">
        <v>21</v>
      </c>
      <c r="H361" s="114">
        <v>4</v>
      </c>
      <c r="I361" s="114">
        <v>25</v>
      </c>
      <c r="J361" s="114">
        <v>78</v>
      </c>
      <c r="K361" s="114">
        <v>103</v>
      </c>
      <c r="L361" s="114">
        <v>28</v>
      </c>
      <c r="M361" s="114">
        <v>29</v>
      </c>
      <c r="N361" s="114">
        <v>0</v>
      </c>
      <c r="O361" s="114">
        <v>1</v>
      </c>
      <c r="P361" s="114">
        <v>104</v>
      </c>
      <c r="Q361" s="114">
        <v>607</v>
      </c>
      <c r="R361" s="13" t="s">
        <v>25</v>
      </c>
      <c r="S361" s="13" t="s">
        <v>25</v>
      </c>
      <c r="T361" s="13" t="s">
        <v>25</v>
      </c>
    </row>
    <row r="362" spans="1:20" x14ac:dyDescent="0.3">
      <c r="A362" s="14">
        <v>43902.708333333336</v>
      </c>
      <c r="B362" s="13" t="s">
        <v>22</v>
      </c>
      <c r="C362" s="114">
        <v>18</v>
      </c>
      <c r="D362" s="13" t="s">
        <v>45</v>
      </c>
      <c r="E362" s="114">
        <v>3890597598</v>
      </c>
      <c r="F362" s="114">
        <v>1659440194</v>
      </c>
      <c r="G362" s="114">
        <v>14</v>
      </c>
      <c r="H362" s="114">
        <v>2</v>
      </c>
      <c r="I362" s="114">
        <v>16</v>
      </c>
      <c r="J362" s="114">
        <v>16</v>
      </c>
      <c r="K362" s="114">
        <v>32</v>
      </c>
      <c r="L362" s="114">
        <v>15</v>
      </c>
      <c r="M362" s="114">
        <v>14</v>
      </c>
      <c r="N362" s="114">
        <v>1</v>
      </c>
      <c r="O362" s="114">
        <v>0</v>
      </c>
      <c r="P362" s="114">
        <v>33</v>
      </c>
      <c r="Q362" s="114">
        <v>483</v>
      </c>
      <c r="R362" s="13" t="s">
        <v>25</v>
      </c>
      <c r="S362" s="13" t="s">
        <v>25</v>
      </c>
      <c r="T362" s="13" t="s">
        <v>25</v>
      </c>
    </row>
    <row r="363" spans="1:20" x14ac:dyDescent="0.3">
      <c r="A363" s="14">
        <v>43902.708333333336</v>
      </c>
      <c r="B363" s="13" t="s">
        <v>22</v>
      </c>
      <c r="C363" s="114">
        <v>15</v>
      </c>
      <c r="D363" s="13" t="s">
        <v>46</v>
      </c>
      <c r="E363" s="114">
        <v>4083956555</v>
      </c>
      <c r="F363" s="114">
        <v>1425084984</v>
      </c>
      <c r="G363" s="114">
        <v>56</v>
      </c>
      <c r="H363" s="114">
        <v>11</v>
      </c>
      <c r="I363" s="114">
        <v>67</v>
      </c>
      <c r="J363" s="114">
        <v>107</v>
      </c>
      <c r="K363" s="114">
        <v>174</v>
      </c>
      <c r="L363" s="114">
        <v>25</v>
      </c>
      <c r="M363" s="114">
        <v>25</v>
      </c>
      <c r="N363" s="114">
        <v>4</v>
      </c>
      <c r="O363" s="114">
        <v>1</v>
      </c>
      <c r="P363" s="114">
        <v>179</v>
      </c>
      <c r="Q363" s="114">
        <v>1551</v>
      </c>
      <c r="R363" s="13" t="s">
        <v>25</v>
      </c>
      <c r="S363" s="13" t="s">
        <v>25</v>
      </c>
      <c r="T363" s="13" t="s">
        <v>25</v>
      </c>
    </row>
    <row r="364" spans="1:20" x14ac:dyDescent="0.3">
      <c r="A364" s="14">
        <v>43902.708333333336</v>
      </c>
      <c r="B364" s="13" t="s">
        <v>22</v>
      </c>
      <c r="C364" s="114">
        <v>8</v>
      </c>
      <c r="D364" s="13" t="s">
        <v>96</v>
      </c>
      <c r="E364" s="114">
        <v>4449436681</v>
      </c>
      <c r="F364" s="114">
        <v>113417208</v>
      </c>
      <c r="G364" s="114">
        <v>814</v>
      </c>
      <c r="H364" s="114">
        <v>112</v>
      </c>
      <c r="I364" s="114">
        <v>926</v>
      </c>
      <c r="J364" s="114">
        <v>832</v>
      </c>
      <c r="K364" s="114">
        <v>1758</v>
      </c>
      <c r="L364" s="114">
        <v>170</v>
      </c>
      <c r="M364" s="114">
        <v>208</v>
      </c>
      <c r="N364" s="114">
        <v>43</v>
      </c>
      <c r="O364" s="114">
        <v>146</v>
      </c>
      <c r="P364" s="114">
        <v>1947</v>
      </c>
      <c r="Q364" s="114">
        <v>7600</v>
      </c>
      <c r="R364" s="13" t="s">
        <v>25</v>
      </c>
      <c r="S364" s="13" t="s">
        <v>25</v>
      </c>
      <c r="T364" s="13" t="s">
        <v>25</v>
      </c>
    </row>
    <row r="365" spans="1:20" x14ac:dyDescent="0.3">
      <c r="A365" s="14">
        <v>43902.708333333336</v>
      </c>
      <c r="B365" s="13" t="s">
        <v>22</v>
      </c>
      <c r="C365" s="114">
        <v>6</v>
      </c>
      <c r="D365" s="13" t="s">
        <v>47</v>
      </c>
      <c r="E365" s="114">
        <v>456494354</v>
      </c>
      <c r="F365" s="114">
        <v>1376813649</v>
      </c>
      <c r="G365" s="114">
        <v>23</v>
      </c>
      <c r="H365" s="114">
        <v>10</v>
      </c>
      <c r="I365" s="114">
        <v>33</v>
      </c>
      <c r="J365" s="114">
        <v>115</v>
      </c>
      <c r="K365" s="114">
        <v>148</v>
      </c>
      <c r="L365" s="114">
        <v>38</v>
      </c>
      <c r="M365" s="114">
        <v>41</v>
      </c>
      <c r="N365" s="114">
        <v>11</v>
      </c>
      <c r="O365" s="114">
        <v>8</v>
      </c>
      <c r="P365" s="114">
        <v>167</v>
      </c>
      <c r="Q365" s="114">
        <v>2604</v>
      </c>
      <c r="R365" s="13" t="s">
        <v>25</v>
      </c>
      <c r="S365" s="13" t="s">
        <v>25</v>
      </c>
      <c r="T365" s="13" t="s">
        <v>25</v>
      </c>
    </row>
    <row r="366" spans="1:20" x14ac:dyDescent="0.3">
      <c r="A366" s="14">
        <v>43902.708333333336</v>
      </c>
      <c r="B366" s="13" t="s">
        <v>22</v>
      </c>
      <c r="C366" s="114">
        <v>12</v>
      </c>
      <c r="D366" s="13" t="s">
        <v>48</v>
      </c>
      <c r="E366" s="114">
        <v>4189277044</v>
      </c>
      <c r="F366" s="114">
        <v>1248366722</v>
      </c>
      <c r="G366" s="114">
        <v>85</v>
      </c>
      <c r="H366" s="114">
        <v>20</v>
      </c>
      <c r="I366" s="114">
        <v>105</v>
      </c>
      <c r="J366" s="114">
        <v>67</v>
      </c>
      <c r="K366" s="114">
        <v>172</v>
      </c>
      <c r="L366" s="114">
        <v>47</v>
      </c>
      <c r="M366" s="114">
        <v>50</v>
      </c>
      <c r="N366" s="114">
        <v>19</v>
      </c>
      <c r="O366" s="114">
        <v>9</v>
      </c>
      <c r="P366" s="114">
        <v>200</v>
      </c>
      <c r="Q366" s="114">
        <v>5592</v>
      </c>
      <c r="R366" s="13" t="s">
        <v>25</v>
      </c>
      <c r="S366" s="13" t="s">
        <v>25</v>
      </c>
      <c r="T366" s="13" t="s">
        <v>25</v>
      </c>
    </row>
    <row r="367" spans="1:20" x14ac:dyDescent="0.3">
      <c r="A367" s="14">
        <v>43902.708333333336</v>
      </c>
      <c r="B367" s="13" t="s">
        <v>22</v>
      </c>
      <c r="C367" s="114">
        <v>7</v>
      </c>
      <c r="D367" s="13" t="s">
        <v>49</v>
      </c>
      <c r="E367" s="114">
        <v>4441149315</v>
      </c>
      <c r="F367" s="114">
        <v>89326992</v>
      </c>
      <c r="G367" s="114">
        <v>100</v>
      </c>
      <c r="H367" s="114">
        <v>36</v>
      </c>
      <c r="I367" s="114">
        <v>136</v>
      </c>
      <c r="J367" s="114">
        <v>107</v>
      </c>
      <c r="K367" s="114">
        <v>243</v>
      </c>
      <c r="L367" s="114">
        <v>62</v>
      </c>
      <c r="M367" s="114">
        <v>80</v>
      </c>
      <c r="N367" s="114">
        <v>20</v>
      </c>
      <c r="O367" s="114">
        <v>11</v>
      </c>
      <c r="P367" s="114">
        <v>274</v>
      </c>
      <c r="Q367" s="114">
        <v>1174</v>
      </c>
      <c r="R367" s="13" t="s">
        <v>25</v>
      </c>
      <c r="S367" s="13" t="s">
        <v>25</v>
      </c>
      <c r="T367" s="13" t="s">
        <v>25</v>
      </c>
    </row>
    <row r="368" spans="1:20" x14ac:dyDescent="0.3">
      <c r="A368" s="14">
        <v>43902.708333333336</v>
      </c>
      <c r="B368" s="13" t="s">
        <v>22</v>
      </c>
      <c r="C368" s="114">
        <v>3</v>
      </c>
      <c r="D368" s="13" t="s">
        <v>50</v>
      </c>
      <c r="E368" s="114">
        <v>4546679409</v>
      </c>
      <c r="F368" s="114">
        <v>9190347404</v>
      </c>
      <c r="G368" s="114">
        <v>4247</v>
      </c>
      <c r="H368" s="114">
        <v>605</v>
      </c>
      <c r="I368" s="114">
        <v>4852</v>
      </c>
      <c r="J368" s="114">
        <v>2044</v>
      </c>
      <c r="K368" s="114">
        <v>6896</v>
      </c>
      <c r="L368" s="114">
        <v>1133</v>
      </c>
      <c r="M368" s="114">
        <v>1445</v>
      </c>
      <c r="N368" s="114">
        <v>1085</v>
      </c>
      <c r="O368" s="114">
        <v>744</v>
      </c>
      <c r="P368" s="114">
        <v>8725</v>
      </c>
      <c r="Q368" s="114">
        <v>29534</v>
      </c>
      <c r="R368" s="13" t="s">
        <v>25</v>
      </c>
      <c r="S368" s="13" t="s">
        <v>25</v>
      </c>
      <c r="T368" s="13" t="s">
        <v>25</v>
      </c>
    </row>
    <row r="369" spans="1:20" x14ac:dyDescent="0.3">
      <c r="A369" s="14">
        <v>43902.708333333336</v>
      </c>
      <c r="B369" s="13" t="s">
        <v>22</v>
      </c>
      <c r="C369" s="114">
        <v>11</v>
      </c>
      <c r="D369" s="13" t="s">
        <v>51</v>
      </c>
      <c r="E369" s="114">
        <v>4361675973</v>
      </c>
      <c r="F369" s="114">
        <v>135188753</v>
      </c>
      <c r="G369" s="114">
        <v>254</v>
      </c>
      <c r="H369" s="114">
        <v>76</v>
      </c>
      <c r="I369" s="114">
        <v>330</v>
      </c>
      <c r="J369" s="114">
        <v>240</v>
      </c>
      <c r="K369" s="114">
        <v>570</v>
      </c>
      <c r="L369" s="114">
        <v>109</v>
      </c>
      <c r="M369" s="114">
        <v>113</v>
      </c>
      <c r="N369" s="114">
        <v>0</v>
      </c>
      <c r="O369" s="114">
        <v>22</v>
      </c>
      <c r="P369" s="114">
        <v>592</v>
      </c>
      <c r="Q369" s="114">
        <v>1907</v>
      </c>
      <c r="R369" s="13" t="s">
        <v>25</v>
      </c>
      <c r="S369" s="13" t="s">
        <v>25</v>
      </c>
      <c r="T369" s="13" t="s">
        <v>25</v>
      </c>
    </row>
    <row r="370" spans="1:20" x14ac:dyDescent="0.3">
      <c r="A370" s="14">
        <v>43902.708333333336</v>
      </c>
      <c r="B370" s="13" t="s">
        <v>22</v>
      </c>
      <c r="C370" s="114">
        <v>14</v>
      </c>
      <c r="D370" s="13" t="s">
        <v>52</v>
      </c>
      <c r="E370" s="114">
        <v>4155774754</v>
      </c>
      <c r="F370" s="114">
        <v>1465916051</v>
      </c>
      <c r="G370" s="114">
        <v>4</v>
      </c>
      <c r="H370" s="114">
        <v>3</v>
      </c>
      <c r="I370" s="114">
        <v>7</v>
      </c>
      <c r="J370" s="114">
        <v>9</v>
      </c>
      <c r="K370" s="114">
        <v>16</v>
      </c>
      <c r="L370" s="114">
        <v>0</v>
      </c>
      <c r="M370" s="114">
        <v>0</v>
      </c>
      <c r="N370" s="114">
        <v>0</v>
      </c>
      <c r="O370" s="114">
        <v>0</v>
      </c>
      <c r="P370" s="114">
        <v>16</v>
      </c>
      <c r="Q370" s="114">
        <v>238</v>
      </c>
      <c r="R370" s="13" t="s">
        <v>25</v>
      </c>
      <c r="S370" s="13" t="s">
        <v>25</v>
      </c>
      <c r="T370" s="13" t="s">
        <v>25</v>
      </c>
    </row>
    <row r="371" spans="1:20" x14ac:dyDescent="0.3">
      <c r="A371" s="14">
        <v>43902.708333333336</v>
      </c>
      <c r="B371" s="13" t="s">
        <v>22</v>
      </c>
      <c r="C371" s="114">
        <v>1</v>
      </c>
      <c r="D371" s="13" t="s">
        <v>53</v>
      </c>
      <c r="E371" s="114">
        <v>450732745</v>
      </c>
      <c r="F371" s="114">
        <v>7680687483</v>
      </c>
      <c r="G371" s="114">
        <v>368</v>
      </c>
      <c r="H371" s="114">
        <v>97</v>
      </c>
      <c r="I371" s="114">
        <v>465</v>
      </c>
      <c r="J371" s="114">
        <v>89</v>
      </c>
      <c r="K371" s="114">
        <v>554</v>
      </c>
      <c r="L371" s="114">
        <v>74</v>
      </c>
      <c r="M371" s="114">
        <v>79</v>
      </c>
      <c r="N371" s="114">
        <v>0</v>
      </c>
      <c r="O371" s="114">
        <v>26</v>
      </c>
      <c r="P371" s="114">
        <v>580</v>
      </c>
      <c r="Q371" s="114">
        <v>2879</v>
      </c>
      <c r="R371" s="13" t="s">
        <v>25</v>
      </c>
      <c r="S371" s="13" t="s">
        <v>25</v>
      </c>
      <c r="T371" s="13" t="s">
        <v>25</v>
      </c>
    </row>
    <row r="372" spans="1:20" x14ac:dyDescent="0.3">
      <c r="A372" s="14">
        <v>43902.708333333336</v>
      </c>
      <c r="B372" s="13" t="s">
        <v>22</v>
      </c>
      <c r="C372" s="114">
        <v>16</v>
      </c>
      <c r="D372" s="13" t="s">
        <v>54</v>
      </c>
      <c r="E372" s="114">
        <v>4112559576</v>
      </c>
      <c r="F372" s="114">
        <v>1686736689</v>
      </c>
      <c r="G372" s="114">
        <v>58</v>
      </c>
      <c r="H372" s="114">
        <v>2</v>
      </c>
      <c r="I372" s="114">
        <v>60</v>
      </c>
      <c r="J372" s="114">
        <v>38</v>
      </c>
      <c r="K372" s="114">
        <v>98</v>
      </c>
      <c r="L372" s="114">
        <v>27</v>
      </c>
      <c r="M372" s="114">
        <v>27</v>
      </c>
      <c r="N372" s="114">
        <v>1</v>
      </c>
      <c r="O372" s="114">
        <v>5</v>
      </c>
      <c r="P372" s="114">
        <v>104</v>
      </c>
      <c r="Q372" s="114">
        <v>1269</v>
      </c>
      <c r="R372" s="13" t="s">
        <v>25</v>
      </c>
      <c r="S372" s="13" t="s">
        <v>25</v>
      </c>
      <c r="T372" s="13" t="s">
        <v>25</v>
      </c>
    </row>
    <row r="373" spans="1:20" x14ac:dyDescent="0.3">
      <c r="A373" s="14">
        <v>43902.708333333336</v>
      </c>
      <c r="B373" s="13" t="s">
        <v>22</v>
      </c>
      <c r="C373" s="114">
        <v>20</v>
      </c>
      <c r="D373" s="13" t="s">
        <v>55</v>
      </c>
      <c r="E373" s="114">
        <v>3921531192</v>
      </c>
      <c r="F373" s="114">
        <v>9110616306</v>
      </c>
      <c r="G373" s="114">
        <v>12</v>
      </c>
      <c r="H373" s="114">
        <v>0</v>
      </c>
      <c r="I373" s="114">
        <v>12</v>
      </c>
      <c r="J373" s="114">
        <v>27</v>
      </c>
      <c r="K373" s="114">
        <v>39</v>
      </c>
      <c r="L373" s="114">
        <v>2</v>
      </c>
      <c r="M373" s="114">
        <v>2</v>
      </c>
      <c r="N373" s="114">
        <v>0</v>
      </c>
      <c r="O373" s="114">
        <v>0</v>
      </c>
      <c r="P373" s="114">
        <v>39</v>
      </c>
      <c r="Q373" s="114">
        <v>302</v>
      </c>
      <c r="R373" s="13" t="s">
        <v>25</v>
      </c>
      <c r="S373" s="13" t="s">
        <v>25</v>
      </c>
      <c r="T373" s="13" t="s">
        <v>25</v>
      </c>
    </row>
    <row r="374" spans="1:20" x14ac:dyDescent="0.3">
      <c r="A374" s="14">
        <v>43902.708333333336</v>
      </c>
      <c r="B374" s="13" t="s">
        <v>22</v>
      </c>
      <c r="C374" s="114">
        <v>19</v>
      </c>
      <c r="D374" s="13" t="s">
        <v>56</v>
      </c>
      <c r="E374" s="114">
        <v>3811569725</v>
      </c>
      <c r="F374" s="114">
        <v>133623567</v>
      </c>
      <c r="G374" s="114">
        <v>28</v>
      </c>
      <c r="H374" s="114">
        <v>5</v>
      </c>
      <c r="I374" s="114">
        <v>33</v>
      </c>
      <c r="J374" s="114">
        <v>78</v>
      </c>
      <c r="K374" s="114">
        <v>111</v>
      </c>
      <c r="L374" s="114">
        <v>30</v>
      </c>
      <c r="M374" s="114">
        <v>32</v>
      </c>
      <c r="N374" s="114">
        <v>2</v>
      </c>
      <c r="O374" s="114">
        <v>2</v>
      </c>
      <c r="P374" s="114">
        <v>115</v>
      </c>
      <c r="Q374" s="114">
        <v>1477</v>
      </c>
      <c r="R374" s="13" t="s">
        <v>25</v>
      </c>
      <c r="S374" s="13" t="s">
        <v>25</v>
      </c>
      <c r="T374" s="13" t="s">
        <v>25</v>
      </c>
    </row>
    <row r="375" spans="1:20" x14ac:dyDescent="0.3">
      <c r="A375" s="14">
        <v>43902.708333333336</v>
      </c>
      <c r="B375" s="13" t="s">
        <v>22</v>
      </c>
      <c r="C375" s="114">
        <v>9</v>
      </c>
      <c r="D375" s="13" t="s">
        <v>57</v>
      </c>
      <c r="E375" s="114">
        <v>4376923077</v>
      </c>
      <c r="F375" s="114">
        <v>1125588885</v>
      </c>
      <c r="G375" s="114">
        <v>100</v>
      </c>
      <c r="H375" s="114">
        <v>59</v>
      </c>
      <c r="I375" s="114">
        <v>159</v>
      </c>
      <c r="J375" s="114">
        <v>193</v>
      </c>
      <c r="K375" s="114">
        <v>352</v>
      </c>
      <c r="L375" s="114">
        <v>38</v>
      </c>
      <c r="M375" s="114">
        <v>44</v>
      </c>
      <c r="N375" s="114">
        <v>7</v>
      </c>
      <c r="O375" s="114">
        <v>5</v>
      </c>
      <c r="P375" s="114">
        <v>364</v>
      </c>
      <c r="Q375" s="114">
        <v>3165</v>
      </c>
      <c r="R375" s="13" t="s">
        <v>25</v>
      </c>
      <c r="S375" s="13" t="s">
        <v>25</v>
      </c>
      <c r="T375" s="13" t="s">
        <v>25</v>
      </c>
    </row>
    <row r="376" spans="1:20" x14ac:dyDescent="0.3">
      <c r="A376" s="14">
        <v>43902.708333333336</v>
      </c>
      <c r="B376" s="13" t="s">
        <v>22</v>
      </c>
      <c r="C376" s="114">
        <v>4</v>
      </c>
      <c r="D376" s="13" t="s">
        <v>58</v>
      </c>
      <c r="E376" s="114">
        <v>4606893511</v>
      </c>
      <c r="F376" s="114">
        <v>1112123097</v>
      </c>
      <c r="G376" s="114">
        <v>43</v>
      </c>
      <c r="H376" s="114">
        <v>5</v>
      </c>
      <c r="I376" s="114">
        <v>48</v>
      </c>
      <c r="J376" s="114">
        <v>54</v>
      </c>
      <c r="K376" s="114">
        <v>102</v>
      </c>
      <c r="L376" s="114">
        <v>28</v>
      </c>
      <c r="M376" s="114">
        <v>30</v>
      </c>
      <c r="N376" s="114">
        <v>4</v>
      </c>
      <c r="O376" s="114">
        <v>1</v>
      </c>
      <c r="P376" s="114">
        <v>107</v>
      </c>
      <c r="Q376" s="114">
        <v>593</v>
      </c>
      <c r="R376" s="13" t="s">
        <v>25</v>
      </c>
      <c r="S376" s="13" t="s">
        <v>25</v>
      </c>
      <c r="T376" s="13" t="s">
        <v>25</v>
      </c>
    </row>
    <row r="377" spans="1:20" x14ac:dyDescent="0.3">
      <c r="A377" s="14">
        <v>43902.708333333336</v>
      </c>
      <c r="B377" s="13" t="s">
        <v>22</v>
      </c>
      <c r="C377" s="114">
        <v>10</v>
      </c>
      <c r="D377" s="13" t="s">
        <v>59</v>
      </c>
      <c r="E377" s="114">
        <v>4310675841</v>
      </c>
      <c r="F377" s="114">
        <v>1238824698</v>
      </c>
      <c r="G377" s="114">
        <v>8</v>
      </c>
      <c r="H377" s="114">
        <v>8</v>
      </c>
      <c r="I377" s="114">
        <v>16</v>
      </c>
      <c r="J377" s="114">
        <v>46</v>
      </c>
      <c r="K377" s="114">
        <v>62</v>
      </c>
      <c r="L377" s="114">
        <v>18</v>
      </c>
      <c r="M377" s="114">
        <v>18</v>
      </c>
      <c r="N377" s="114">
        <v>2</v>
      </c>
      <c r="O377" s="114">
        <v>0</v>
      </c>
      <c r="P377" s="114">
        <v>64</v>
      </c>
      <c r="Q377" s="114">
        <v>458</v>
      </c>
      <c r="R377" s="13" t="s">
        <v>25</v>
      </c>
      <c r="S377" s="13" t="s">
        <v>25</v>
      </c>
      <c r="T377" s="13" t="s">
        <v>25</v>
      </c>
    </row>
    <row r="378" spans="1:20" x14ac:dyDescent="0.3">
      <c r="A378" s="14">
        <v>43902.708333333336</v>
      </c>
      <c r="B378" s="13" t="s">
        <v>22</v>
      </c>
      <c r="C378" s="114">
        <v>2</v>
      </c>
      <c r="D378" s="13" t="s">
        <v>60</v>
      </c>
      <c r="E378" s="114">
        <v>4573750286</v>
      </c>
      <c r="F378" s="114">
        <v>7320149366</v>
      </c>
      <c r="G378" s="114">
        <v>7</v>
      </c>
      <c r="H378" s="114">
        <v>0</v>
      </c>
      <c r="I378" s="114">
        <v>7</v>
      </c>
      <c r="J378" s="114">
        <v>19</v>
      </c>
      <c r="K378" s="114">
        <v>26</v>
      </c>
      <c r="L378" s="114">
        <v>7</v>
      </c>
      <c r="M378" s="114">
        <v>7</v>
      </c>
      <c r="N378" s="114">
        <v>0</v>
      </c>
      <c r="O378" s="114">
        <v>1</v>
      </c>
      <c r="P378" s="114">
        <v>27</v>
      </c>
      <c r="Q378" s="114">
        <v>118</v>
      </c>
      <c r="R378" s="13" t="s">
        <v>25</v>
      </c>
      <c r="S378" s="13" t="s">
        <v>25</v>
      </c>
      <c r="T378" s="13" t="s">
        <v>25</v>
      </c>
    </row>
    <row r="379" spans="1:20" x14ac:dyDescent="0.3">
      <c r="A379" s="14">
        <v>43902.708333333336</v>
      </c>
      <c r="B379" s="13" t="s">
        <v>22</v>
      </c>
      <c r="C379" s="114">
        <v>5</v>
      </c>
      <c r="D379" s="13" t="s">
        <v>61</v>
      </c>
      <c r="E379" s="114">
        <v>4543490485</v>
      </c>
      <c r="F379" s="114">
        <v>1233845213</v>
      </c>
      <c r="G379" s="114">
        <v>360</v>
      </c>
      <c r="H379" s="114">
        <v>85</v>
      </c>
      <c r="I379" s="114">
        <v>445</v>
      </c>
      <c r="J379" s="114">
        <v>852</v>
      </c>
      <c r="K379" s="114">
        <v>1297</v>
      </c>
      <c r="L379" s="114">
        <v>357</v>
      </c>
      <c r="M379" s="114">
        <v>361</v>
      </c>
      <c r="N379" s="114">
        <v>55</v>
      </c>
      <c r="O379" s="114">
        <v>32</v>
      </c>
      <c r="P379" s="114">
        <v>1384</v>
      </c>
      <c r="Q379" s="114">
        <v>23438</v>
      </c>
      <c r="R379" s="13" t="s">
        <v>25</v>
      </c>
      <c r="S379" s="13" t="s">
        <v>25</v>
      </c>
      <c r="T379" s="13" t="s">
        <v>25</v>
      </c>
    </row>
    <row r="380" spans="1:20" x14ac:dyDescent="0.3">
      <c r="A380" s="14">
        <v>43903.708333333336</v>
      </c>
      <c r="B380" s="13" t="s">
        <v>22</v>
      </c>
      <c r="C380" s="114">
        <v>13</v>
      </c>
      <c r="D380" s="13" t="s">
        <v>42</v>
      </c>
      <c r="E380" s="114">
        <v>4235122196</v>
      </c>
      <c r="F380" s="114">
        <v>1339843823</v>
      </c>
      <c r="G380" s="114">
        <v>42</v>
      </c>
      <c r="H380" s="114">
        <v>14</v>
      </c>
      <c r="I380" s="114">
        <v>56</v>
      </c>
      <c r="J380" s="114">
        <v>27</v>
      </c>
      <c r="K380" s="114">
        <v>83</v>
      </c>
      <c r="L380" s="114">
        <v>5</v>
      </c>
      <c r="M380" s="114">
        <v>5</v>
      </c>
      <c r="N380" s="114">
        <v>4</v>
      </c>
      <c r="O380" s="114">
        <v>2</v>
      </c>
      <c r="P380" s="114">
        <v>89</v>
      </c>
      <c r="Q380" s="114">
        <v>958</v>
      </c>
      <c r="R380" s="13" t="s">
        <v>25</v>
      </c>
      <c r="S380" s="13" t="s">
        <v>25</v>
      </c>
      <c r="T380" s="13" t="s">
        <v>25</v>
      </c>
    </row>
    <row r="381" spans="1:20" x14ac:dyDescent="0.3">
      <c r="A381" s="14">
        <v>43903.708333333336</v>
      </c>
      <c r="B381" s="13" t="s">
        <v>22</v>
      </c>
      <c r="C381" s="114">
        <v>17</v>
      </c>
      <c r="D381" s="13" t="s">
        <v>43</v>
      </c>
      <c r="E381" s="114">
        <v>4063947052</v>
      </c>
      <c r="F381" s="114">
        <v>1580514834</v>
      </c>
      <c r="G381" s="114">
        <v>1</v>
      </c>
      <c r="H381" s="114">
        <v>1</v>
      </c>
      <c r="I381" s="114">
        <v>2</v>
      </c>
      <c r="J381" s="114">
        <v>8</v>
      </c>
      <c r="K381" s="114">
        <v>10</v>
      </c>
      <c r="L381" s="114">
        <v>2</v>
      </c>
      <c r="M381" s="114">
        <v>2</v>
      </c>
      <c r="N381" s="114">
        <v>0</v>
      </c>
      <c r="O381" s="114">
        <v>0</v>
      </c>
      <c r="P381" s="114">
        <v>10</v>
      </c>
      <c r="Q381" s="114">
        <v>155</v>
      </c>
      <c r="R381" s="13" t="s">
        <v>25</v>
      </c>
      <c r="S381" s="13" t="s">
        <v>25</v>
      </c>
      <c r="T381" s="13" t="s">
        <v>25</v>
      </c>
    </row>
    <row r="382" spans="1:20" x14ac:dyDescent="0.3">
      <c r="A382" s="14">
        <v>43903.708333333336</v>
      </c>
      <c r="B382" s="13" t="s">
        <v>22</v>
      </c>
      <c r="C382" s="114">
        <v>4</v>
      </c>
      <c r="D382" s="13" t="s">
        <v>44</v>
      </c>
      <c r="E382" s="114">
        <v>4649933453</v>
      </c>
      <c r="F382" s="114">
        <v>1135662422</v>
      </c>
      <c r="G382" s="114">
        <v>20</v>
      </c>
      <c r="H382" s="114">
        <v>5</v>
      </c>
      <c r="I382" s="114">
        <v>25</v>
      </c>
      <c r="J382" s="114">
        <v>98</v>
      </c>
      <c r="K382" s="114">
        <v>123</v>
      </c>
      <c r="L382" s="114">
        <v>20</v>
      </c>
      <c r="M382" s="114">
        <v>21</v>
      </c>
      <c r="N382" s="114">
        <v>0</v>
      </c>
      <c r="O382" s="114">
        <v>2</v>
      </c>
      <c r="P382" s="114">
        <v>125</v>
      </c>
      <c r="Q382" s="114">
        <v>811</v>
      </c>
      <c r="R382" s="13" t="s">
        <v>25</v>
      </c>
      <c r="S382" s="13" t="s">
        <v>25</v>
      </c>
      <c r="T382" s="13" t="s">
        <v>25</v>
      </c>
    </row>
    <row r="383" spans="1:20" x14ac:dyDescent="0.3">
      <c r="A383" s="14">
        <v>43903.708333333336</v>
      </c>
      <c r="B383" s="13" t="s">
        <v>22</v>
      </c>
      <c r="C383" s="114">
        <v>18</v>
      </c>
      <c r="D383" s="13" t="s">
        <v>45</v>
      </c>
      <c r="E383" s="114">
        <v>3890597598</v>
      </c>
      <c r="F383" s="114">
        <v>1659440194</v>
      </c>
      <c r="G383" s="114">
        <v>18</v>
      </c>
      <c r="H383" s="114">
        <v>3</v>
      </c>
      <c r="I383" s="114">
        <v>21</v>
      </c>
      <c r="J383" s="114">
        <v>16</v>
      </c>
      <c r="K383" s="114">
        <v>37</v>
      </c>
      <c r="L383" s="114">
        <v>5</v>
      </c>
      <c r="M383" s="114">
        <v>5</v>
      </c>
      <c r="N383" s="114">
        <v>1</v>
      </c>
      <c r="O383" s="114">
        <v>0</v>
      </c>
      <c r="P383" s="114">
        <v>38</v>
      </c>
      <c r="Q383" s="114">
        <v>504</v>
      </c>
      <c r="R383" s="13" t="s">
        <v>25</v>
      </c>
      <c r="S383" s="13" t="s">
        <v>25</v>
      </c>
      <c r="T383" s="13" t="s">
        <v>25</v>
      </c>
    </row>
    <row r="384" spans="1:20" x14ac:dyDescent="0.3">
      <c r="A384" s="14">
        <v>43903.708333333336</v>
      </c>
      <c r="B384" s="13" t="s">
        <v>22</v>
      </c>
      <c r="C384" s="114">
        <v>15</v>
      </c>
      <c r="D384" s="13" t="s">
        <v>46</v>
      </c>
      <c r="E384" s="114">
        <v>4083956555</v>
      </c>
      <c r="F384" s="114">
        <v>1425084984</v>
      </c>
      <c r="G384" s="114">
        <v>60</v>
      </c>
      <c r="H384" s="114">
        <v>19</v>
      </c>
      <c r="I384" s="114">
        <v>79</v>
      </c>
      <c r="J384" s="114">
        <v>134</v>
      </c>
      <c r="K384" s="114">
        <v>213</v>
      </c>
      <c r="L384" s="114">
        <v>39</v>
      </c>
      <c r="M384" s="114">
        <v>41</v>
      </c>
      <c r="N384" s="114">
        <v>5</v>
      </c>
      <c r="O384" s="114">
        <v>2</v>
      </c>
      <c r="P384" s="114">
        <v>220</v>
      </c>
      <c r="Q384" s="114">
        <v>1671</v>
      </c>
      <c r="R384" s="13" t="s">
        <v>25</v>
      </c>
      <c r="S384" s="13" t="s">
        <v>25</v>
      </c>
      <c r="T384" s="13" t="s">
        <v>25</v>
      </c>
    </row>
    <row r="385" spans="1:20" x14ac:dyDescent="0.3">
      <c r="A385" s="14">
        <v>43903.708333333336</v>
      </c>
      <c r="B385" s="13" t="s">
        <v>22</v>
      </c>
      <c r="C385" s="114">
        <v>8</v>
      </c>
      <c r="D385" s="13" t="s">
        <v>96</v>
      </c>
      <c r="E385" s="114">
        <v>4449436681</v>
      </c>
      <c r="F385" s="114">
        <v>113417208</v>
      </c>
      <c r="G385" s="114">
        <v>942</v>
      </c>
      <c r="H385" s="114">
        <v>128</v>
      </c>
      <c r="I385" s="114">
        <v>1070</v>
      </c>
      <c r="J385" s="114">
        <v>941</v>
      </c>
      <c r="K385" s="114">
        <v>2011</v>
      </c>
      <c r="L385" s="114">
        <v>253</v>
      </c>
      <c r="M385" s="114">
        <v>316</v>
      </c>
      <c r="N385" s="114">
        <v>51</v>
      </c>
      <c r="O385" s="114">
        <v>201</v>
      </c>
      <c r="P385" s="114">
        <v>2263</v>
      </c>
      <c r="Q385" s="114">
        <v>8787</v>
      </c>
      <c r="R385" s="13" t="s">
        <v>25</v>
      </c>
      <c r="S385" s="13" t="s">
        <v>25</v>
      </c>
      <c r="T385" s="13" t="s">
        <v>25</v>
      </c>
    </row>
    <row r="386" spans="1:20" x14ac:dyDescent="0.3">
      <c r="A386" s="14">
        <v>43903.708333333336</v>
      </c>
      <c r="B386" s="13" t="s">
        <v>22</v>
      </c>
      <c r="C386" s="114">
        <v>6</v>
      </c>
      <c r="D386" s="13" t="s">
        <v>47</v>
      </c>
      <c r="E386" s="114">
        <v>456494354</v>
      </c>
      <c r="F386" s="114">
        <v>1376813649</v>
      </c>
      <c r="G386" s="114">
        <v>59</v>
      </c>
      <c r="H386" s="114">
        <v>8</v>
      </c>
      <c r="I386" s="114">
        <v>67</v>
      </c>
      <c r="J386" s="114">
        <v>169</v>
      </c>
      <c r="K386" s="114">
        <v>236</v>
      </c>
      <c r="L386" s="114">
        <v>88</v>
      </c>
      <c r="M386" s="114">
        <v>90</v>
      </c>
      <c r="N386" s="114">
        <v>11</v>
      </c>
      <c r="O386" s="114">
        <v>10</v>
      </c>
      <c r="P386" s="114">
        <v>257</v>
      </c>
      <c r="Q386" s="114">
        <v>3149</v>
      </c>
      <c r="R386" s="13" t="s">
        <v>25</v>
      </c>
      <c r="S386" s="13" t="s">
        <v>25</v>
      </c>
      <c r="T386" s="13" t="s">
        <v>25</v>
      </c>
    </row>
    <row r="387" spans="1:20" x14ac:dyDescent="0.3">
      <c r="A387" s="14">
        <v>43903.708333333336</v>
      </c>
      <c r="B387" s="13" t="s">
        <v>22</v>
      </c>
      <c r="C387" s="114">
        <v>12</v>
      </c>
      <c r="D387" s="13" t="s">
        <v>48</v>
      </c>
      <c r="E387" s="114">
        <v>4189277044</v>
      </c>
      <c r="F387" s="114">
        <v>1248366722</v>
      </c>
      <c r="G387" s="114">
        <v>122</v>
      </c>
      <c r="H387" s="114">
        <v>24</v>
      </c>
      <c r="I387" s="114">
        <v>146</v>
      </c>
      <c r="J387" s="114">
        <v>96</v>
      </c>
      <c r="K387" s="114">
        <v>242</v>
      </c>
      <c r="L387" s="114">
        <v>70</v>
      </c>
      <c r="M387" s="114">
        <v>77</v>
      </c>
      <c r="N387" s="114">
        <v>24</v>
      </c>
      <c r="O387" s="114">
        <v>11</v>
      </c>
      <c r="P387" s="114">
        <v>277</v>
      </c>
      <c r="Q387" s="114">
        <v>6491</v>
      </c>
      <c r="R387" s="13" t="s">
        <v>25</v>
      </c>
      <c r="S387" s="13" t="s">
        <v>25</v>
      </c>
      <c r="T387" s="13" t="s">
        <v>25</v>
      </c>
    </row>
    <row r="388" spans="1:20" x14ac:dyDescent="0.3">
      <c r="A388" s="14">
        <v>43903.708333333336</v>
      </c>
      <c r="B388" s="13" t="s">
        <v>22</v>
      </c>
      <c r="C388" s="114">
        <v>7</v>
      </c>
      <c r="D388" s="13" t="s">
        <v>49</v>
      </c>
      <c r="E388" s="114">
        <v>4441149315</v>
      </c>
      <c r="F388" s="114">
        <v>89326992</v>
      </c>
      <c r="G388" s="114">
        <v>128</v>
      </c>
      <c r="H388" s="114">
        <v>44</v>
      </c>
      <c r="I388" s="114">
        <v>172</v>
      </c>
      <c r="J388" s="114">
        <v>132</v>
      </c>
      <c r="K388" s="114">
        <v>304</v>
      </c>
      <c r="L388" s="114">
        <v>61</v>
      </c>
      <c r="M388" s="114">
        <v>71</v>
      </c>
      <c r="N388" s="114">
        <v>24</v>
      </c>
      <c r="O388" s="114">
        <v>17</v>
      </c>
      <c r="P388" s="114">
        <v>345</v>
      </c>
      <c r="Q388" s="114">
        <v>1442</v>
      </c>
      <c r="R388" s="13" t="s">
        <v>25</v>
      </c>
      <c r="S388" s="13" t="s">
        <v>25</v>
      </c>
      <c r="T388" s="13" t="s">
        <v>25</v>
      </c>
    </row>
    <row r="389" spans="1:20" x14ac:dyDescent="0.3">
      <c r="A389" s="14">
        <v>43903.708333333336</v>
      </c>
      <c r="B389" s="13" t="s">
        <v>22</v>
      </c>
      <c r="C389" s="114">
        <v>3</v>
      </c>
      <c r="D389" s="13" t="s">
        <v>50</v>
      </c>
      <c r="E389" s="114">
        <v>4546679409</v>
      </c>
      <c r="F389" s="114">
        <v>9190347404</v>
      </c>
      <c r="G389" s="114">
        <v>4435</v>
      </c>
      <c r="H389" s="114">
        <v>650</v>
      </c>
      <c r="I389" s="114">
        <v>5085</v>
      </c>
      <c r="J389" s="114">
        <v>2647</v>
      </c>
      <c r="K389" s="114">
        <v>7732</v>
      </c>
      <c r="L389" s="114">
        <v>836</v>
      </c>
      <c r="M389" s="114">
        <v>1095</v>
      </c>
      <c r="N389" s="114">
        <v>1198</v>
      </c>
      <c r="O389" s="114">
        <v>890</v>
      </c>
      <c r="P389" s="114">
        <v>9820</v>
      </c>
      <c r="Q389" s="114">
        <v>32700</v>
      </c>
      <c r="R389" s="13" t="s">
        <v>25</v>
      </c>
      <c r="S389" s="13" t="s">
        <v>25</v>
      </c>
      <c r="T389" s="13" t="s">
        <v>25</v>
      </c>
    </row>
    <row r="390" spans="1:20" x14ac:dyDescent="0.3">
      <c r="A390" s="14">
        <v>43903.708333333336</v>
      </c>
      <c r="B390" s="13" t="s">
        <v>22</v>
      </c>
      <c r="C390" s="114">
        <v>11</v>
      </c>
      <c r="D390" s="13" t="s">
        <v>51</v>
      </c>
      <c r="E390" s="114">
        <v>4361675973</v>
      </c>
      <c r="F390" s="114">
        <v>135188753</v>
      </c>
      <c r="G390" s="114">
        <v>337</v>
      </c>
      <c r="H390" s="114">
        <v>85</v>
      </c>
      <c r="I390" s="114">
        <v>422</v>
      </c>
      <c r="J390" s="114">
        <v>276</v>
      </c>
      <c r="K390" s="114">
        <v>698</v>
      </c>
      <c r="L390" s="114">
        <v>128</v>
      </c>
      <c r="M390" s="114">
        <v>133</v>
      </c>
      <c r="N390" s="114">
        <v>0</v>
      </c>
      <c r="O390" s="114">
        <v>27</v>
      </c>
      <c r="P390" s="114">
        <v>725</v>
      </c>
      <c r="Q390" s="114">
        <v>2218</v>
      </c>
      <c r="R390" s="13" t="s">
        <v>25</v>
      </c>
      <c r="S390" s="13" t="s">
        <v>25</v>
      </c>
      <c r="T390" s="13" t="s">
        <v>25</v>
      </c>
    </row>
    <row r="391" spans="1:20" x14ac:dyDescent="0.3">
      <c r="A391" s="14">
        <v>43903.708333333336</v>
      </c>
      <c r="B391" s="13" t="s">
        <v>22</v>
      </c>
      <c r="C391" s="114">
        <v>14</v>
      </c>
      <c r="D391" s="13" t="s">
        <v>52</v>
      </c>
      <c r="E391" s="114">
        <v>4155774754</v>
      </c>
      <c r="F391" s="114">
        <v>1465916051</v>
      </c>
      <c r="G391" s="114">
        <v>5</v>
      </c>
      <c r="H391" s="114">
        <v>3</v>
      </c>
      <c r="I391" s="114">
        <v>8</v>
      </c>
      <c r="J391" s="114">
        <v>9</v>
      </c>
      <c r="K391" s="114">
        <v>17</v>
      </c>
      <c r="L391" s="114">
        <v>1</v>
      </c>
      <c r="M391" s="114">
        <v>1</v>
      </c>
      <c r="N391" s="114">
        <v>0</v>
      </c>
      <c r="O391" s="114">
        <v>0</v>
      </c>
      <c r="P391" s="114">
        <v>17</v>
      </c>
      <c r="Q391" s="114">
        <v>243</v>
      </c>
      <c r="R391" s="13" t="s">
        <v>25</v>
      </c>
      <c r="S391" s="13" t="s">
        <v>25</v>
      </c>
      <c r="T391" s="13" t="s">
        <v>25</v>
      </c>
    </row>
    <row r="392" spans="1:20" x14ac:dyDescent="0.3">
      <c r="A392" s="14">
        <v>43903.708333333336</v>
      </c>
      <c r="B392" s="13" t="s">
        <v>22</v>
      </c>
      <c r="C392" s="114">
        <v>1</v>
      </c>
      <c r="D392" s="13" t="s">
        <v>53</v>
      </c>
      <c r="E392" s="114">
        <v>450732745</v>
      </c>
      <c r="F392" s="114">
        <v>7680687483</v>
      </c>
      <c r="G392" s="114">
        <v>556</v>
      </c>
      <c r="H392" s="114">
        <v>135</v>
      </c>
      <c r="I392" s="114">
        <v>691</v>
      </c>
      <c r="J392" s="114">
        <v>103</v>
      </c>
      <c r="K392" s="114">
        <v>794</v>
      </c>
      <c r="L392" s="114">
        <v>240</v>
      </c>
      <c r="M392" s="114">
        <v>260</v>
      </c>
      <c r="N392" s="114">
        <v>0</v>
      </c>
      <c r="O392" s="114">
        <v>46</v>
      </c>
      <c r="P392" s="114">
        <v>840</v>
      </c>
      <c r="Q392" s="114">
        <v>3105</v>
      </c>
      <c r="R392" s="13" t="s">
        <v>25</v>
      </c>
      <c r="S392" s="13" t="s">
        <v>25</v>
      </c>
      <c r="T392" s="13" t="s">
        <v>25</v>
      </c>
    </row>
    <row r="393" spans="1:20" x14ac:dyDescent="0.3">
      <c r="A393" s="14">
        <v>43903.708333333336</v>
      </c>
      <c r="B393" s="13" t="s">
        <v>22</v>
      </c>
      <c r="C393" s="114">
        <v>16</v>
      </c>
      <c r="D393" s="13" t="s">
        <v>54</v>
      </c>
      <c r="E393" s="114">
        <v>4112559576</v>
      </c>
      <c r="F393" s="114">
        <v>1686736689</v>
      </c>
      <c r="G393" s="114">
        <v>77</v>
      </c>
      <c r="H393" s="114">
        <v>2</v>
      </c>
      <c r="I393" s="114">
        <v>79</v>
      </c>
      <c r="J393" s="114">
        <v>42</v>
      </c>
      <c r="K393" s="114">
        <v>121</v>
      </c>
      <c r="L393" s="114">
        <v>23</v>
      </c>
      <c r="M393" s="114">
        <v>25</v>
      </c>
      <c r="N393" s="114">
        <v>3</v>
      </c>
      <c r="O393" s="114">
        <v>5</v>
      </c>
      <c r="P393" s="114">
        <v>129</v>
      </c>
      <c r="Q393" s="114">
        <v>1449</v>
      </c>
      <c r="R393" s="13" t="s">
        <v>25</v>
      </c>
      <c r="S393" s="13" t="s">
        <v>25</v>
      </c>
      <c r="T393" s="13" t="s">
        <v>25</v>
      </c>
    </row>
    <row r="394" spans="1:20" x14ac:dyDescent="0.3">
      <c r="A394" s="14">
        <v>43903.708333333336</v>
      </c>
      <c r="B394" s="13" t="s">
        <v>22</v>
      </c>
      <c r="C394" s="114">
        <v>20</v>
      </c>
      <c r="D394" s="13" t="s">
        <v>55</v>
      </c>
      <c r="E394" s="114">
        <v>3921531192</v>
      </c>
      <c r="F394" s="114">
        <v>9110616306</v>
      </c>
      <c r="G394" s="114">
        <v>12</v>
      </c>
      <c r="H394" s="114">
        <v>0</v>
      </c>
      <c r="I394" s="114">
        <v>12</v>
      </c>
      <c r="J394" s="114">
        <v>31</v>
      </c>
      <c r="K394" s="114">
        <v>43</v>
      </c>
      <c r="L394" s="114">
        <v>4</v>
      </c>
      <c r="M394" s="114">
        <v>4</v>
      </c>
      <c r="N394" s="114">
        <v>0</v>
      </c>
      <c r="O394" s="114">
        <v>0</v>
      </c>
      <c r="P394" s="114">
        <v>43</v>
      </c>
      <c r="Q394" s="114">
        <v>504</v>
      </c>
      <c r="R394" s="13" t="s">
        <v>25</v>
      </c>
      <c r="S394" s="13" t="s">
        <v>25</v>
      </c>
      <c r="T394" s="13" t="s">
        <v>25</v>
      </c>
    </row>
    <row r="395" spans="1:20" x14ac:dyDescent="0.3">
      <c r="A395" s="14">
        <v>43903.708333333336</v>
      </c>
      <c r="B395" s="13" t="s">
        <v>22</v>
      </c>
      <c r="C395" s="114">
        <v>19</v>
      </c>
      <c r="D395" s="13" t="s">
        <v>56</v>
      </c>
      <c r="E395" s="114">
        <v>3811569725</v>
      </c>
      <c r="F395" s="114">
        <v>133623567</v>
      </c>
      <c r="G395" s="114">
        <v>37</v>
      </c>
      <c r="H395" s="114">
        <v>7</v>
      </c>
      <c r="I395" s="114">
        <v>44</v>
      </c>
      <c r="J395" s="114">
        <v>82</v>
      </c>
      <c r="K395" s="114">
        <v>126</v>
      </c>
      <c r="L395" s="114">
        <v>15</v>
      </c>
      <c r="M395" s="114">
        <v>15</v>
      </c>
      <c r="N395" s="114">
        <v>2</v>
      </c>
      <c r="O395" s="114">
        <v>2</v>
      </c>
      <c r="P395" s="114">
        <v>130</v>
      </c>
      <c r="Q395" s="114">
        <v>1950</v>
      </c>
      <c r="R395" s="13" t="s">
        <v>25</v>
      </c>
      <c r="S395" s="13" t="s">
        <v>25</v>
      </c>
      <c r="T395" s="13" t="s">
        <v>25</v>
      </c>
    </row>
    <row r="396" spans="1:20" x14ac:dyDescent="0.3">
      <c r="A396" s="14">
        <v>43903.708333333336</v>
      </c>
      <c r="B396" s="13" t="s">
        <v>22</v>
      </c>
      <c r="C396" s="114">
        <v>9</v>
      </c>
      <c r="D396" s="13" t="s">
        <v>57</v>
      </c>
      <c r="E396" s="114">
        <v>4376923077</v>
      </c>
      <c r="F396" s="114">
        <v>1125588885</v>
      </c>
      <c r="G396" s="114">
        <v>134</v>
      </c>
      <c r="H396" s="114">
        <v>77</v>
      </c>
      <c r="I396" s="114">
        <v>211</v>
      </c>
      <c r="J396" s="114">
        <v>244</v>
      </c>
      <c r="K396" s="114">
        <v>455</v>
      </c>
      <c r="L396" s="114">
        <v>103</v>
      </c>
      <c r="M396" s="114">
        <v>106</v>
      </c>
      <c r="N396" s="114">
        <v>10</v>
      </c>
      <c r="O396" s="114">
        <v>5</v>
      </c>
      <c r="P396" s="114">
        <v>470</v>
      </c>
      <c r="Q396" s="114">
        <v>4049</v>
      </c>
      <c r="R396" s="13" t="s">
        <v>25</v>
      </c>
      <c r="S396" s="13" t="s">
        <v>25</v>
      </c>
      <c r="T396" s="13" t="s">
        <v>25</v>
      </c>
    </row>
    <row r="397" spans="1:20" x14ac:dyDescent="0.3">
      <c r="A397" s="14">
        <v>43903.708333333336</v>
      </c>
      <c r="B397" s="13" t="s">
        <v>22</v>
      </c>
      <c r="C397" s="114">
        <v>4</v>
      </c>
      <c r="D397" s="13" t="s">
        <v>58</v>
      </c>
      <c r="E397" s="114">
        <v>4606893511</v>
      </c>
      <c r="F397" s="114">
        <v>1112123097</v>
      </c>
      <c r="G397" s="114">
        <v>58</v>
      </c>
      <c r="H397" s="114">
        <v>6</v>
      </c>
      <c r="I397" s="114">
        <v>64</v>
      </c>
      <c r="J397" s="114">
        <v>93</v>
      </c>
      <c r="K397" s="114">
        <v>157</v>
      </c>
      <c r="L397" s="114">
        <v>55</v>
      </c>
      <c r="M397" s="114">
        <v>56</v>
      </c>
      <c r="N397" s="114">
        <v>4</v>
      </c>
      <c r="O397" s="114">
        <v>2</v>
      </c>
      <c r="P397" s="114">
        <v>163</v>
      </c>
      <c r="Q397" s="114">
        <v>846</v>
      </c>
      <c r="R397" s="13" t="s">
        <v>25</v>
      </c>
      <c r="S397" s="13" t="s">
        <v>25</v>
      </c>
      <c r="T397" s="13" t="s">
        <v>25</v>
      </c>
    </row>
    <row r="398" spans="1:20" x14ac:dyDescent="0.3">
      <c r="A398" s="14">
        <v>43903.708333333336</v>
      </c>
      <c r="B398" s="13" t="s">
        <v>22</v>
      </c>
      <c r="C398" s="114">
        <v>10</v>
      </c>
      <c r="D398" s="13" t="s">
        <v>59</v>
      </c>
      <c r="E398" s="114">
        <v>4310675841</v>
      </c>
      <c r="F398" s="114">
        <v>1238824698</v>
      </c>
      <c r="G398" s="114">
        <v>11</v>
      </c>
      <c r="H398" s="114">
        <v>10</v>
      </c>
      <c r="I398" s="114">
        <v>21</v>
      </c>
      <c r="J398" s="114">
        <v>52</v>
      </c>
      <c r="K398" s="114">
        <v>73</v>
      </c>
      <c r="L398" s="114">
        <v>11</v>
      </c>
      <c r="M398" s="114">
        <v>12</v>
      </c>
      <c r="N398" s="114">
        <v>2</v>
      </c>
      <c r="O398" s="114">
        <v>1</v>
      </c>
      <c r="P398" s="114">
        <v>76</v>
      </c>
      <c r="Q398" s="114">
        <v>576</v>
      </c>
      <c r="R398" s="13" t="s">
        <v>25</v>
      </c>
      <c r="S398" s="13" t="s">
        <v>25</v>
      </c>
      <c r="T398" s="13" t="s">
        <v>25</v>
      </c>
    </row>
    <row r="399" spans="1:20" x14ac:dyDescent="0.3">
      <c r="A399" s="14">
        <v>43903.708333333336</v>
      </c>
      <c r="B399" s="13" t="s">
        <v>22</v>
      </c>
      <c r="C399" s="114">
        <v>2</v>
      </c>
      <c r="D399" s="13" t="s">
        <v>60</v>
      </c>
      <c r="E399" s="114">
        <v>4573750286</v>
      </c>
      <c r="F399" s="114">
        <v>7320149366</v>
      </c>
      <c r="G399" s="114">
        <v>6</v>
      </c>
      <c r="H399" s="114">
        <v>0</v>
      </c>
      <c r="I399" s="114">
        <v>6</v>
      </c>
      <c r="J399" s="114">
        <v>21</v>
      </c>
      <c r="K399" s="114">
        <v>27</v>
      </c>
      <c r="L399" s="114">
        <v>1</v>
      </c>
      <c r="M399" s="114">
        <v>1</v>
      </c>
      <c r="N399" s="114">
        <v>0</v>
      </c>
      <c r="O399" s="114">
        <v>1</v>
      </c>
      <c r="P399" s="114">
        <v>28</v>
      </c>
      <c r="Q399" s="114">
        <v>189</v>
      </c>
      <c r="R399" s="13" t="s">
        <v>25</v>
      </c>
      <c r="S399" s="13" t="s">
        <v>25</v>
      </c>
      <c r="T399" s="13" t="s">
        <v>25</v>
      </c>
    </row>
    <row r="400" spans="1:20" x14ac:dyDescent="0.3">
      <c r="A400" s="14">
        <v>43903.708333333336</v>
      </c>
      <c r="B400" s="13" t="s">
        <v>22</v>
      </c>
      <c r="C400" s="114">
        <v>5</v>
      </c>
      <c r="D400" s="13" t="s">
        <v>61</v>
      </c>
      <c r="E400" s="114">
        <v>4543490485</v>
      </c>
      <c r="F400" s="114">
        <v>1233845213</v>
      </c>
      <c r="G400" s="114">
        <v>366</v>
      </c>
      <c r="H400" s="114">
        <v>107</v>
      </c>
      <c r="I400" s="114">
        <v>473</v>
      </c>
      <c r="J400" s="114">
        <v>980</v>
      </c>
      <c r="K400" s="114">
        <v>1453</v>
      </c>
      <c r="L400" s="114">
        <v>156</v>
      </c>
      <c r="M400" s="114">
        <v>211</v>
      </c>
      <c r="N400" s="114">
        <v>100</v>
      </c>
      <c r="O400" s="114">
        <v>42</v>
      </c>
      <c r="P400" s="114">
        <v>1595</v>
      </c>
      <c r="Q400" s="114">
        <v>25691</v>
      </c>
      <c r="R400" s="13" t="s">
        <v>25</v>
      </c>
      <c r="S400" s="13" t="s">
        <v>25</v>
      </c>
      <c r="T400" s="13" t="s">
        <v>25</v>
      </c>
    </row>
    <row r="401" spans="1:20" x14ac:dyDescent="0.3">
      <c r="A401" s="14">
        <v>43904.708333333336</v>
      </c>
      <c r="B401" s="13" t="s">
        <v>22</v>
      </c>
      <c r="C401" s="114">
        <v>13</v>
      </c>
      <c r="D401" s="13" t="s">
        <v>42</v>
      </c>
      <c r="E401" s="114">
        <v>4235122196</v>
      </c>
      <c r="F401" s="114">
        <v>1339843823</v>
      </c>
      <c r="G401" s="114">
        <v>51</v>
      </c>
      <c r="H401" s="114">
        <v>14</v>
      </c>
      <c r="I401" s="114">
        <v>65</v>
      </c>
      <c r="J401" s="114">
        <v>41</v>
      </c>
      <c r="K401" s="114">
        <v>106</v>
      </c>
      <c r="L401" s="114">
        <v>23</v>
      </c>
      <c r="M401" s="114">
        <v>23</v>
      </c>
      <c r="N401" s="114">
        <v>4</v>
      </c>
      <c r="O401" s="114">
        <v>2</v>
      </c>
      <c r="P401" s="114">
        <v>112</v>
      </c>
      <c r="Q401" s="114">
        <v>1232</v>
      </c>
      <c r="R401" s="13" t="s">
        <v>25</v>
      </c>
      <c r="S401" s="13" t="s">
        <v>25</v>
      </c>
      <c r="T401" s="13" t="s">
        <v>25</v>
      </c>
    </row>
    <row r="402" spans="1:20" x14ac:dyDescent="0.3">
      <c r="A402" s="14">
        <v>43904.708333333336</v>
      </c>
      <c r="B402" s="13" t="s">
        <v>22</v>
      </c>
      <c r="C402" s="114">
        <v>17</v>
      </c>
      <c r="D402" s="13" t="s">
        <v>43</v>
      </c>
      <c r="E402" s="114">
        <v>4063947052</v>
      </c>
      <c r="F402" s="114">
        <v>1580514834</v>
      </c>
      <c r="G402" s="114">
        <v>0</v>
      </c>
      <c r="H402" s="114">
        <v>2</v>
      </c>
      <c r="I402" s="114">
        <v>2</v>
      </c>
      <c r="J402" s="114">
        <v>8</v>
      </c>
      <c r="K402" s="114">
        <v>10</v>
      </c>
      <c r="L402" s="114">
        <v>0</v>
      </c>
      <c r="M402" s="114">
        <v>0</v>
      </c>
      <c r="N402" s="114">
        <v>0</v>
      </c>
      <c r="O402" s="114">
        <v>0</v>
      </c>
      <c r="P402" s="114">
        <v>10</v>
      </c>
      <c r="Q402" s="114">
        <v>155</v>
      </c>
      <c r="R402" s="13" t="s">
        <v>25</v>
      </c>
      <c r="S402" s="13" t="s">
        <v>25</v>
      </c>
      <c r="T402" s="13" t="s">
        <v>25</v>
      </c>
    </row>
    <row r="403" spans="1:20" x14ac:dyDescent="0.3">
      <c r="A403" s="14">
        <v>43904.708333333336</v>
      </c>
      <c r="B403" s="13" t="s">
        <v>22</v>
      </c>
      <c r="C403" s="114">
        <v>4</v>
      </c>
      <c r="D403" s="13" t="s">
        <v>44</v>
      </c>
      <c r="E403" s="114">
        <v>4649933453</v>
      </c>
      <c r="F403" s="114">
        <v>1135662422</v>
      </c>
      <c r="G403" s="114">
        <v>26</v>
      </c>
      <c r="H403" s="114">
        <v>7</v>
      </c>
      <c r="I403" s="114">
        <v>33</v>
      </c>
      <c r="J403" s="114">
        <v>137</v>
      </c>
      <c r="K403" s="114">
        <v>170</v>
      </c>
      <c r="L403" s="114">
        <v>47</v>
      </c>
      <c r="M403" s="114">
        <v>48</v>
      </c>
      <c r="N403" s="114">
        <v>0</v>
      </c>
      <c r="O403" s="114">
        <v>3</v>
      </c>
      <c r="P403" s="114">
        <v>173</v>
      </c>
      <c r="Q403" s="114">
        <v>1135</v>
      </c>
      <c r="R403" s="13" t="s">
        <v>25</v>
      </c>
      <c r="S403" s="13" t="s">
        <v>25</v>
      </c>
      <c r="T403" s="13" t="s">
        <v>25</v>
      </c>
    </row>
    <row r="404" spans="1:20" x14ac:dyDescent="0.3">
      <c r="A404" s="14">
        <v>43904.708333333336</v>
      </c>
      <c r="B404" s="13" t="s">
        <v>22</v>
      </c>
      <c r="C404" s="114">
        <v>18</v>
      </c>
      <c r="D404" s="13" t="s">
        <v>45</v>
      </c>
      <c r="E404" s="114">
        <v>3890597598</v>
      </c>
      <c r="F404" s="114">
        <v>1659440194</v>
      </c>
      <c r="G404" s="114">
        <v>22</v>
      </c>
      <c r="H404" s="114">
        <v>4</v>
      </c>
      <c r="I404" s="114">
        <v>26</v>
      </c>
      <c r="J404" s="114">
        <v>33</v>
      </c>
      <c r="K404" s="114">
        <v>59</v>
      </c>
      <c r="L404" s="114">
        <v>22</v>
      </c>
      <c r="M404" s="114">
        <v>22</v>
      </c>
      <c r="N404" s="114">
        <v>1</v>
      </c>
      <c r="O404" s="114">
        <v>0</v>
      </c>
      <c r="P404" s="114">
        <v>60</v>
      </c>
      <c r="Q404" s="114">
        <v>711</v>
      </c>
      <c r="R404" s="13" t="s">
        <v>25</v>
      </c>
      <c r="S404" s="13" t="s">
        <v>25</v>
      </c>
      <c r="T404" s="13" t="s">
        <v>25</v>
      </c>
    </row>
    <row r="405" spans="1:20" x14ac:dyDescent="0.3">
      <c r="A405" s="14">
        <v>43904.708333333336</v>
      </c>
      <c r="B405" s="13" t="s">
        <v>22</v>
      </c>
      <c r="C405" s="114">
        <v>15</v>
      </c>
      <c r="D405" s="13" t="s">
        <v>46</v>
      </c>
      <c r="E405" s="114">
        <v>4083956555</v>
      </c>
      <c r="F405" s="114">
        <v>1425084984</v>
      </c>
      <c r="G405" s="114">
        <v>72</v>
      </c>
      <c r="H405" s="114">
        <v>17</v>
      </c>
      <c r="I405" s="114">
        <v>89</v>
      </c>
      <c r="J405" s="114">
        <v>154</v>
      </c>
      <c r="K405" s="114">
        <v>243</v>
      </c>
      <c r="L405" s="114">
        <v>30</v>
      </c>
      <c r="M405" s="114">
        <v>52</v>
      </c>
      <c r="N405" s="114">
        <v>23</v>
      </c>
      <c r="O405" s="114">
        <v>6</v>
      </c>
      <c r="P405" s="114">
        <v>272</v>
      </c>
      <c r="Q405" s="114">
        <v>1936</v>
      </c>
      <c r="R405" s="13" t="s">
        <v>25</v>
      </c>
      <c r="S405" s="13" t="s">
        <v>25</v>
      </c>
      <c r="T405" s="13" t="s">
        <v>25</v>
      </c>
    </row>
    <row r="406" spans="1:20" x14ac:dyDescent="0.3">
      <c r="A406" s="14">
        <v>43904.708333333336</v>
      </c>
      <c r="B406" s="13" t="s">
        <v>22</v>
      </c>
      <c r="C406" s="114">
        <v>8</v>
      </c>
      <c r="D406" s="13" t="s">
        <v>96</v>
      </c>
      <c r="E406" s="114">
        <v>4449436681</v>
      </c>
      <c r="F406" s="114">
        <v>113417208</v>
      </c>
      <c r="G406" s="114">
        <v>1076</v>
      </c>
      <c r="H406" s="114">
        <v>152</v>
      </c>
      <c r="I406" s="114">
        <v>1228</v>
      </c>
      <c r="J406" s="114">
        <v>1121</v>
      </c>
      <c r="K406" s="114">
        <v>2349</v>
      </c>
      <c r="L406" s="114">
        <v>338</v>
      </c>
      <c r="M406" s="114">
        <v>381</v>
      </c>
      <c r="N406" s="114">
        <v>54</v>
      </c>
      <c r="O406" s="114">
        <v>241</v>
      </c>
      <c r="P406" s="114">
        <v>2644</v>
      </c>
      <c r="Q406" s="114">
        <v>10043</v>
      </c>
      <c r="R406" s="13" t="s">
        <v>25</v>
      </c>
      <c r="S406" s="13" t="s">
        <v>25</v>
      </c>
      <c r="T406" s="13" t="s">
        <v>25</v>
      </c>
    </row>
    <row r="407" spans="1:20" x14ac:dyDescent="0.3">
      <c r="A407" s="14">
        <v>43904.708333333336</v>
      </c>
      <c r="B407" s="13" t="s">
        <v>22</v>
      </c>
      <c r="C407" s="114">
        <v>6</v>
      </c>
      <c r="D407" s="13" t="s">
        <v>47</v>
      </c>
      <c r="E407" s="114">
        <v>456494354</v>
      </c>
      <c r="F407" s="114">
        <v>1376813649</v>
      </c>
      <c r="G407" s="114">
        <v>67</v>
      </c>
      <c r="H407" s="114">
        <v>11</v>
      </c>
      <c r="I407" s="114">
        <v>78</v>
      </c>
      <c r="J407" s="114">
        <v>193</v>
      </c>
      <c r="K407" s="114">
        <v>271</v>
      </c>
      <c r="L407" s="114">
        <v>35</v>
      </c>
      <c r="M407" s="114">
        <v>44</v>
      </c>
      <c r="N407" s="114">
        <v>17</v>
      </c>
      <c r="O407" s="114">
        <v>13</v>
      </c>
      <c r="P407" s="114">
        <v>301</v>
      </c>
      <c r="Q407" s="114">
        <v>3376</v>
      </c>
      <c r="R407" s="13" t="s">
        <v>25</v>
      </c>
      <c r="S407" s="13" t="s">
        <v>25</v>
      </c>
      <c r="T407" s="13" t="s">
        <v>25</v>
      </c>
    </row>
    <row r="408" spans="1:20" x14ac:dyDescent="0.3">
      <c r="A408" s="14">
        <v>43904.708333333336</v>
      </c>
      <c r="B408" s="13" t="s">
        <v>22</v>
      </c>
      <c r="C408" s="114">
        <v>12</v>
      </c>
      <c r="D408" s="13" t="s">
        <v>48</v>
      </c>
      <c r="E408" s="114">
        <v>4189277044</v>
      </c>
      <c r="F408" s="114">
        <v>1248366722</v>
      </c>
      <c r="G408" s="114">
        <v>181</v>
      </c>
      <c r="H408" s="114">
        <v>25</v>
      </c>
      <c r="I408" s="114">
        <v>206</v>
      </c>
      <c r="J408" s="114">
        <v>114</v>
      </c>
      <c r="K408" s="114">
        <v>320</v>
      </c>
      <c r="L408" s="114">
        <v>78</v>
      </c>
      <c r="M408" s="114">
        <v>80</v>
      </c>
      <c r="N408" s="114">
        <v>24</v>
      </c>
      <c r="O408" s="114">
        <v>13</v>
      </c>
      <c r="P408" s="114">
        <v>357</v>
      </c>
      <c r="Q408" s="114">
        <v>7335</v>
      </c>
      <c r="R408" s="13" t="s">
        <v>25</v>
      </c>
      <c r="S408" s="13" t="s">
        <v>25</v>
      </c>
      <c r="T408" s="13" t="s">
        <v>25</v>
      </c>
    </row>
    <row r="409" spans="1:20" x14ac:dyDescent="0.3">
      <c r="A409" s="14">
        <v>43904.708333333336</v>
      </c>
      <c r="B409" s="13" t="s">
        <v>22</v>
      </c>
      <c r="C409" s="114">
        <v>7</v>
      </c>
      <c r="D409" s="13" t="s">
        <v>49</v>
      </c>
      <c r="E409" s="114">
        <v>4441149315</v>
      </c>
      <c r="F409" s="114">
        <v>89326992</v>
      </c>
      <c r="G409" s="114">
        <v>213</v>
      </c>
      <c r="H409" s="114">
        <v>62</v>
      </c>
      <c r="I409" s="114">
        <v>275</v>
      </c>
      <c r="J409" s="114">
        <v>109</v>
      </c>
      <c r="K409" s="114">
        <v>384</v>
      </c>
      <c r="L409" s="114">
        <v>80</v>
      </c>
      <c r="M409" s="114">
        <v>118</v>
      </c>
      <c r="N409" s="114">
        <v>52</v>
      </c>
      <c r="O409" s="114">
        <v>27</v>
      </c>
      <c r="P409" s="114">
        <v>463</v>
      </c>
      <c r="Q409" s="114">
        <v>1750</v>
      </c>
      <c r="R409" s="13" t="s">
        <v>25</v>
      </c>
      <c r="S409" s="13" t="s">
        <v>25</v>
      </c>
      <c r="T409" s="13" t="s">
        <v>25</v>
      </c>
    </row>
    <row r="410" spans="1:20" x14ac:dyDescent="0.3">
      <c r="A410" s="14">
        <v>43904.708333333336</v>
      </c>
      <c r="B410" s="13" t="s">
        <v>22</v>
      </c>
      <c r="C410" s="114">
        <v>3</v>
      </c>
      <c r="D410" s="13" t="s">
        <v>50</v>
      </c>
      <c r="E410" s="114">
        <v>4546679409</v>
      </c>
      <c r="F410" s="114">
        <v>9190347404</v>
      </c>
      <c r="G410" s="114">
        <v>4898</v>
      </c>
      <c r="H410" s="114">
        <v>732</v>
      </c>
      <c r="I410" s="114">
        <v>5630</v>
      </c>
      <c r="J410" s="114">
        <v>3429</v>
      </c>
      <c r="K410" s="114">
        <v>9059</v>
      </c>
      <c r="L410" s="114">
        <v>1327</v>
      </c>
      <c r="M410" s="114">
        <v>1865</v>
      </c>
      <c r="N410" s="114">
        <v>1660</v>
      </c>
      <c r="O410" s="114">
        <v>966</v>
      </c>
      <c r="P410" s="114">
        <v>11685</v>
      </c>
      <c r="Q410" s="114">
        <v>37138</v>
      </c>
      <c r="R410" s="13" t="s">
        <v>25</v>
      </c>
      <c r="S410" s="13" t="s">
        <v>25</v>
      </c>
      <c r="T410" s="13" t="s">
        <v>25</v>
      </c>
    </row>
    <row r="411" spans="1:20" x14ac:dyDescent="0.3">
      <c r="A411" s="14">
        <v>43904.708333333336</v>
      </c>
      <c r="B411" s="13" t="s">
        <v>22</v>
      </c>
      <c r="C411" s="114">
        <v>11</v>
      </c>
      <c r="D411" s="13" t="s">
        <v>51</v>
      </c>
      <c r="E411" s="114">
        <v>4361675973</v>
      </c>
      <c r="F411" s="114">
        <v>135188753</v>
      </c>
      <c r="G411" s="114">
        <v>449</v>
      </c>
      <c r="H411" s="114">
        <v>93</v>
      </c>
      <c r="I411" s="114">
        <v>542</v>
      </c>
      <c r="J411" s="114">
        <v>321</v>
      </c>
      <c r="K411" s="114">
        <v>863</v>
      </c>
      <c r="L411" s="114">
        <v>165</v>
      </c>
      <c r="M411" s="114">
        <v>174</v>
      </c>
      <c r="N411" s="114">
        <v>0</v>
      </c>
      <c r="O411" s="114">
        <v>36</v>
      </c>
      <c r="P411" s="114">
        <v>899</v>
      </c>
      <c r="Q411" s="114">
        <v>2561</v>
      </c>
      <c r="R411" s="13" t="s">
        <v>25</v>
      </c>
      <c r="S411" s="13" t="s">
        <v>25</v>
      </c>
      <c r="T411" s="13" t="s">
        <v>25</v>
      </c>
    </row>
    <row r="412" spans="1:20" x14ac:dyDescent="0.3">
      <c r="A412" s="14">
        <v>43904.708333333336</v>
      </c>
      <c r="B412" s="13" t="s">
        <v>22</v>
      </c>
      <c r="C412" s="114">
        <v>14</v>
      </c>
      <c r="D412" s="13" t="s">
        <v>52</v>
      </c>
      <c r="E412" s="114">
        <v>4155774754</v>
      </c>
      <c r="F412" s="114">
        <v>1465916051</v>
      </c>
      <c r="G412" s="114">
        <v>5</v>
      </c>
      <c r="H412" s="114">
        <v>3</v>
      </c>
      <c r="I412" s="114">
        <v>8</v>
      </c>
      <c r="J412" s="114">
        <v>9</v>
      </c>
      <c r="K412" s="114">
        <v>17</v>
      </c>
      <c r="L412" s="114">
        <v>0</v>
      </c>
      <c r="M412" s="114">
        <v>0</v>
      </c>
      <c r="N412" s="114">
        <v>0</v>
      </c>
      <c r="O412" s="114">
        <v>0</v>
      </c>
      <c r="P412" s="114">
        <v>17</v>
      </c>
      <c r="Q412" s="114">
        <v>247</v>
      </c>
      <c r="R412" s="13" t="s">
        <v>25</v>
      </c>
      <c r="S412" s="13" t="s">
        <v>25</v>
      </c>
      <c r="T412" s="13" t="s">
        <v>25</v>
      </c>
    </row>
    <row r="413" spans="1:20" x14ac:dyDescent="0.3">
      <c r="A413" s="14">
        <v>43904.708333333336</v>
      </c>
      <c r="B413" s="13" t="s">
        <v>22</v>
      </c>
      <c r="C413" s="114">
        <v>1</v>
      </c>
      <c r="D413" s="13" t="s">
        <v>53</v>
      </c>
      <c r="E413" s="114">
        <v>450732745</v>
      </c>
      <c r="F413" s="114">
        <v>7680687483</v>
      </c>
      <c r="G413" s="114">
        <v>538</v>
      </c>
      <c r="H413" s="114">
        <v>150</v>
      </c>
      <c r="I413" s="114">
        <v>688</v>
      </c>
      <c r="J413" s="114">
        <v>126</v>
      </c>
      <c r="K413" s="114">
        <v>814</v>
      </c>
      <c r="L413" s="114">
        <v>20</v>
      </c>
      <c r="M413" s="114">
        <v>33</v>
      </c>
      <c r="N413" s="114">
        <v>0</v>
      </c>
      <c r="O413" s="114">
        <v>59</v>
      </c>
      <c r="P413" s="114">
        <v>873</v>
      </c>
      <c r="Q413" s="114">
        <v>3680</v>
      </c>
      <c r="R413" s="13" t="s">
        <v>25</v>
      </c>
      <c r="S413" s="13" t="s">
        <v>25</v>
      </c>
      <c r="T413" s="13" t="s">
        <v>25</v>
      </c>
    </row>
    <row r="414" spans="1:20" x14ac:dyDescent="0.3">
      <c r="A414" s="14">
        <v>43904.708333333336</v>
      </c>
      <c r="B414" s="13" t="s">
        <v>22</v>
      </c>
      <c r="C414" s="114">
        <v>16</v>
      </c>
      <c r="D414" s="13" t="s">
        <v>54</v>
      </c>
      <c r="E414" s="114">
        <v>4112559576</v>
      </c>
      <c r="F414" s="114">
        <v>1686736689</v>
      </c>
      <c r="G414" s="114">
        <v>91</v>
      </c>
      <c r="H414" s="114">
        <v>6</v>
      </c>
      <c r="I414" s="114">
        <v>97</v>
      </c>
      <c r="J414" s="114">
        <v>59</v>
      </c>
      <c r="K414" s="114">
        <v>156</v>
      </c>
      <c r="L414" s="114">
        <v>35</v>
      </c>
      <c r="M414" s="114">
        <v>37</v>
      </c>
      <c r="N414" s="114">
        <v>2</v>
      </c>
      <c r="O414" s="114">
        <v>8</v>
      </c>
      <c r="P414" s="114">
        <v>166</v>
      </c>
      <c r="Q414" s="114">
        <v>1681</v>
      </c>
      <c r="R414" s="13" t="s">
        <v>25</v>
      </c>
      <c r="S414" s="13" t="s">
        <v>25</v>
      </c>
      <c r="T414" s="13" t="s">
        <v>25</v>
      </c>
    </row>
    <row r="415" spans="1:20" x14ac:dyDescent="0.3">
      <c r="A415" s="14">
        <v>43904.708333333336</v>
      </c>
      <c r="B415" s="13" t="s">
        <v>22</v>
      </c>
      <c r="C415" s="114">
        <v>20</v>
      </c>
      <c r="D415" s="13" t="s">
        <v>55</v>
      </c>
      <c r="E415" s="114">
        <v>3921531192</v>
      </c>
      <c r="F415" s="114">
        <v>9110616306</v>
      </c>
      <c r="G415" s="114">
        <v>14</v>
      </c>
      <c r="H415" s="114">
        <v>0</v>
      </c>
      <c r="I415" s="114">
        <v>14</v>
      </c>
      <c r="J415" s="114">
        <v>33</v>
      </c>
      <c r="K415" s="114">
        <v>47</v>
      </c>
      <c r="L415" s="114">
        <v>4</v>
      </c>
      <c r="M415" s="114">
        <v>4</v>
      </c>
      <c r="N415" s="114">
        <v>0</v>
      </c>
      <c r="O415" s="114">
        <v>0</v>
      </c>
      <c r="P415" s="114">
        <v>47</v>
      </c>
      <c r="Q415" s="114">
        <v>530</v>
      </c>
      <c r="R415" s="13" t="s">
        <v>25</v>
      </c>
      <c r="S415" s="13" t="s">
        <v>25</v>
      </c>
      <c r="T415" s="13" t="s">
        <v>25</v>
      </c>
    </row>
    <row r="416" spans="1:20" x14ac:dyDescent="0.3">
      <c r="A416" s="14">
        <v>43904.708333333336</v>
      </c>
      <c r="B416" s="13" t="s">
        <v>22</v>
      </c>
      <c r="C416" s="114">
        <v>19</v>
      </c>
      <c r="D416" s="13" t="s">
        <v>56</v>
      </c>
      <c r="E416" s="114">
        <v>3811569725</v>
      </c>
      <c r="F416" s="114">
        <v>133623567</v>
      </c>
      <c r="G416" s="114">
        <v>42</v>
      </c>
      <c r="H416" s="114">
        <v>11</v>
      </c>
      <c r="I416" s="114">
        <v>53</v>
      </c>
      <c r="J416" s="114">
        <v>97</v>
      </c>
      <c r="K416" s="114">
        <v>150</v>
      </c>
      <c r="L416" s="114">
        <v>24</v>
      </c>
      <c r="M416" s="114">
        <v>26</v>
      </c>
      <c r="N416" s="114">
        <v>4</v>
      </c>
      <c r="O416" s="114">
        <v>2</v>
      </c>
      <c r="P416" s="114">
        <v>156</v>
      </c>
      <c r="Q416" s="114">
        <v>2100</v>
      </c>
      <c r="R416" s="13" t="s">
        <v>25</v>
      </c>
      <c r="S416" s="13" t="s">
        <v>25</v>
      </c>
      <c r="T416" s="13" t="s">
        <v>25</v>
      </c>
    </row>
    <row r="417" spans="1:20" x14ac:dyDescent="0.3">
      <c r="A417" s="14">
        <v>43904.708333333336</v>
      </c>
      <c r="B417" s="13" t="s">
        <v>22</v>
      </c>
      <c r="C417" s="114">
        <v>9</v>
      </c>
      <c r="D417" s="13" t="s">
        <v>57</v>
      </c>
      <c r="E417" s="114">
        <v>4376923077</v>
      </c>
      <c r="F417" s="114">
        <v>1125588885</v>
      </c>
      <c r="G417" s="114">
        <v>160</v>
      </c>
      <c r="H417" s="114">
        <v>87</v>
      </c>
      <c r="I417" s="114">
        <v>247</v>
      </c>
      <c r="J417" s="114">
        <v>367</v>
      </c>
      <c r="K417" s="114">
        <v>614</v>
      </c>
      <c r="L417" s="114">
        <v>159</v>
      </c>
      <c r="M417" s="114">
        <v>160</v>
      </c>
      <c r="N417" s="114">
        <v>10</v>
      </c>
      <c r="O417" s="114">
        <v>6</v>
      </c>
      <c r="P417" s="114">
        <v>630</v>
      </c>
      <c r="Q417" s="114">
        <v>4595</v>
      </c>
      <c r="R417" s="13" t="s">
        <v>25</v>
      </c>
      <c r="S417" s="13" t="s">
        <v>25</v>
      </c>
      <c r="T417" s="13" t="s">
        <v>25</v>
      </c>
    </row>
    <row r="418" spans="1:20" x14ac:dyDescent="0.3">
      <c r="A418" s="14">
        <v>43904.708333333336</v>
      </c>
      <c r="B418" s="13" t="s">
        <v>22</v>
      </c>
      <c r="C418" s="114">
        <v>4</v>
      </c>
      <c r="D418" s="13" t="s">
        <v>58</v>
      </c>
      <c r="E418" s="114">
        <v>4606893511</v>
      </c>
      <c r="F418" s="114">
        <v>1112123097</v>
      </c>
      <c r="G418" s="114">
        <v>68</v>
      </c>
      <c r="H418" s="114">
        <v>12</v>
      </c>
      <c r="I418" s="114">
        <v>80</v>
      </c>
      <c r="J418" s="114">
        <v>119</v>
      </c>
      <c r="K418" s="114">
        <v>199</v>
      </c>
      <c r="L418" s="114">
        <v>42</v>
      </c>
      <c r="M418" s="114">
        <v>43</v>
      </c>
      <c r="N418" s="114">
        <v>5</v>
      </c>
      <c r="O418" s="114">
        <v>2</v>
      </c>
      <c r="P418" s="114">
        <v>206</v>
      </c>
      <c r="Q418" s="114">
        <v>1006</v>
      </c>
      <c r="R418" s="13" t="s">
        <v>25</v>
      </c>
      <c r="S418" s="13" t="s">
        <v>25</v>
      </c>
      <c r="T418" s="13" t="s">
        <v>25</v>
      </c>
    </row>
    <row r="419" spans="1:20" x14ac:dyDescent="0.3">
      <c r="A419" s="14">
        <v>43904.708333333336</v>
      </c>
      <c r="B419" s="13" t="s">
        <v>22</v>
      </c>
      <c r="C419" s="114">
        <v>10</v>
      </c>
      <c r="D419" s="13" t="s">
        <v>59</v>
      </c>
      <c r="E419" s="114">
        <v>4310675841</v>
      </c>
      <c r="F419" s="114">
        <v>1238824698</v>
      </c>
      <c r="G419" s="114">
        <v>21</v>
      </c>
      <c r="H419" s="114">
        <v>11</v>
      </c>
      <c r="I419" s="114">
        <v>32</v>
      </c>
      <c r="J419" s="114">
        <v>71</v>
      </c>
      <c r="K419" s="114">
        <v>103</v>
      </c>
      <c r="L419" s="114">
        <v>30</v>
      </c>
      <c r="M419" s="114">
        <v>31</v>
      </c>
      <c r="N419" s="114">
        <v>3</v>
      </c>
      <c r="O419" s="114">
        <v>1</v>
      </c>
      <c r="P419" s="114">
        <v>107</v>
      </c>
      <c r="Q419" s="114">
        <v>748</v>
      </c>
      <c r="R419" s="13" t="s">
        <v>25</v>
      </c>
      <c r="S419" s="13" t="s">
        <v>25</v>
      </c>
      <c r="T419" s="13" t="s">
        <v>25</v>
      </c>
    </row>
    <row r="420" spans="1:20" x14ac:dyDescent="0.3">
      <c r="A420" s="14">
        <v>43904.708333333336</v>
      </c>
      <c r="B420" s="13" t="s">
        <v>22</v>
      </c>
      <c r="C420" s="114">
        <v>2</v>
      </c>
      <c r="D420" s="13" t="s">
        <v>60</v>
      </c>
      <c r="E420" s="114">
        <v>4573750286</v>
      </c>
      <c r="F420" s="114">
        <v>7320149366</v>
      </c>
      <c r="G420" s="114">
        <v>12</v>
      </c>
      <c r="H420" s="114">
        <v>0</v>
      </c>
      <c r="I420" s="114">
        <v>12</v>
      </c>
      <c r="J420" s="114">
        <v>29</v>
      </c>
      <c r="K420" s="114">
        <v>41</v>
      </c>
      <c r="L420" s="114">
        <v>14</v>
      </c>
      <c r="M420" s="114">
        <v>14</v>
      </c>
      <c r="N420" s="114">
        <v>0</v>
      </c>
      <c r="O420" s="114">
        <v>1</v>
      </c>
      <c r="P420" s="114">
        <v>42</v>
      </c>
      <c r="Q420" s="114">
        <v>231</v>
      </c>
      <c r="R420" s="13" t="s">
        <v>25</v>
      </c>
      <c r="S420" s="13" t="s">
        <v>25</v>
      </c>
      <c r="T420" s="13" t="s">
        <v>25</v>
      </c>
    </row>
    <row r="421" spans="1:20" x14ac:dyDescent="0.3">
      <c r="A421" s="14">
        <v>43904.708333333336</v>
      </c>
      <c r="B421" s="13" t="s">
        <v>22</v>
      </c>
      <c r="C421" s="114">
        <v>5</v>
      </c>
      <c r="D421" s="13" t="s">
        <v>61</v>
      </c>
      <c r="E421" s="114">
        <v>4543490485</v>
      </c>
      <c r="F421" s="114">
        <v>1233845213</v>
      </c>
      <c r="G421" s="114">
        <v>366</v>
      </c>
      <c r="H421" s="114">
        <v>119</v>
      </c>
      <c r="I421" s="114">
        <v>485</v>
      </c>
      <c r="J421" s="114">
        <v>1290</v>
      </c>
      <c r="K421" s="114">
        <v>1775</v>
      </c>
      <c r="L421" s="114">
        <v>322</v>
      </c>
      <c r="M421" s="114">
        <v>342</v>
      </c>
      <c r="N421" s="114">
        <v>107</v>
      </c>
      <c r="O421" s="114">
        <v>55</v>
      </c>
      <c r="P421" s="114">
        <v>1937</v>
      </c>
      <c r="Q421" s="114">
        <v>26980</v>
      </c>
      <c r="R421" s="13" t="s">
        <v>25</v>
      </c>
      <c r="S421" s="13" t="s">
        <v>25</v>
      </c>
      <c r="T421" s="13" t="s">
        <v>25</v>
      </c>
    </row>
    <row r="422" spans="1:20" x14ac:dyDescent="0.3">
      <c r="A422" s="14">
        <v>43905.708333333336</v>
      </c>
      <c r="B422" s="13" t="s">
        <v>22</v>
      </c>
      <c r="C422" s="114">
        <v>13</v>
      </c>
      <c r="D422" s="13" t="s">
        <v>42</v>
      </c>
      <c r="E422" s="114">
        <v>4235122196</v>
      </c>
      <c r="F422" s="114">
        <v>1339843823</v>
      </c>
      <c r="G422" s="114">
        <v>72</v>
      </c>
      <c r="H422" s="114">
        <v>28</v>
      </c>
      <c r="I422" s="114">
        <v>100</v>
      </c>
      <c r="J422" s="114">
        <v>28</v>
      </c>
      <c r="K422" s="114">
        <v>128</v>
      </c>
      <c r="L422" s="114">
        <v>22</v>
      </c>
      <c r="M422" s="114">
        <v>25</v>
      </c>
      <c r="N422" s="114">
        <v>6</v>
      </c>
      <c r="O422" s="114">
        <v>3</v>
      </c>
      <c r="P422" s="114">
        <v>137</v>
      </c>
      <c r="Q422" s="114">
        <v>1419</v>
      </c>
      <c r="R422" s="13" t="s">
        <v>25</v>
      </c>
      <c r="S422" s="13" t="s">
        <v>25</v>
      </c>
      <c r="T422" s="13" t="s">
        <v>25</v>
      </c>
    </row>
    <row r="423" spans="1:20" x14ac:dyDescent="0.3">
      <c r="A423" s="14">
        <v>43905.708333333336</v>
      </c>
      <c r="B423" s="13" t="s">
        <v>22</v>
      </c>
      <c r="C423" s="114">
        <v>17</v>
      </c>
      <c r="D423" s="13" t="s">
        <v>43</v>
      </c>
      <c r="E423" s="114">
        <v>4063947052</v>
      </c>
      <c r="F423" s="114">
        <v>1580514834</v>
      </c>
      <c r="G423" s="114">
        <v>0</v>
      </c>
      <c r="H423" s="114">
        <v>2</v>
      </c>
      <c r="I423" s="114">
        <v>2</v>
      </c>
      <c r="J423" s="114">
        <v>9</v>
      </c>
      <c r="K423" s="114">
        <v>11</v>
      </c>
      <c r="L423" s="114">
        <v>1</v>
      </c>
      <c r="M423" s="114">
        <v>1</v>
      </c>
      <c r="N423" s="114">
        <v>0</v>
      </c>
      <c r="O423" s="114">
        <v>0</v>
      </c>
      <c r="P423" s="114">
        <v>11</v>
      </c>
      <c r="Q423" s="114">
        <v>208</v>
      </c>
      <c r="R423" s="13" t="s">
        <v>25</v>
      </c>
      <c r="S423" s="13" t="s">
        <v>25</v>
      </c>
      <c r="T423" s="13" t="s">
        <v>25</v>
      </c>
    </row>
    <row r="424" spans="1:20" x14ac:dyDescent="0.3">
      <c r="A424" s="14">
        <v>43905.708333333336</v>
      </c>
      <c r="B424" s="13" t="s">
        <v>22</v>
      </c>
      <c r="C424" s="114">
        <v>4</v>
      </c>
      <c r="D424" s="13" t="s">
        <v>44</v>
      </c>
      <c r="E424" s="114">
        <v>4649933453</v>
      </c>
      <c r="F424" s="114">
        <v>1135662422</v>
      </c>
      <c r="G424" s="114">
        <v>50</v>
      </c>
      <c r="H424" s="114">
        <v>4</v>
      </c>
      <c r="I424" s="114">
        <v>54</v>
      </c>
      <c r="J424" s="114">
        <v>145</v>
      </c>
      <c r="K424" s="114">
        <v>199</v>
      </c>
      <c r="L424" s="114">
        <v>29</v>
      </c>
      <c r="M424" s="114">
        <v>31</v>
      </c>
      <c r="N424" s="114">
        <v>0</v>
      </c>
      <c r="O424" s="114">
        <v>5</v>
      </c>
      <c r="P424" s="114">
        <v>204</v>
      </c>
      <c r="Q424" s="114">
        <v>1497</v>
      </c>
      <c r="R424" s="13" t="s">
        <v>25</v>
      </c>
      <c r="S424" s="13" t="s">
        <v>25</v>
      </c>
      <c r="T424" s="13" t="s">
        <v>25</v>
      </c>
    </row>
    <row r="425" spans="1:20" x14ac:dyDescent="0.3">
      <c r="A425" s="14">
        <v>43905.708333333336</v>
      </c>
      <c r="B425" s="13" t="s">
        <v>22</v>
      </c>
      <c r="C425" s="114">
        <v>18</v>
      </c>
      <c r="D425" s="13" t="s">
        <v>45</v>
      </c>
      <c r="E425" s="114">
        <v>3890597598</v>
      </c>
      <c r="F425" s="114">
        <v>1659440194</v>
      </c>
      <c r="G425" s="114">
        <v>32</v>
      </c>
      <c r="H425" s="114">
        <v>6</v>
      </c>
      <c r="I425" s="114">
        <v>38</v>
      </c>
      <c r="J425" s="114">
        <v>28</v>
      </c>
      <c r="K425" s="114">
        <v>66</v>
      </c>
      <c r="L425" s="114">
        <v>7</v>
      </c>
      <c r="M425" s="114">
        <v>8</v>
      </c>
      <c r="N425" s="114">
        <v>1</v>
      </c>
      <c r="O425" s="114">
        <v>1</v>
      </c>
      <c r="P425" s="114">
        <v>68</v>
      </c>
      <c r="Q425" s="114">
        <v>884</v>
      </c>
      <c r="R425" s="13" t="s">
        <v>25</v>
      </c>
      <c r="S425" s="13" t="s">
        <v>25</v>
      </c>
      <c r="T425" s="13" t="s">
        <v>25</v>
      </c>
    </row>
    <row r="426" spans="1:20" x14ac:dyDescent="0.3">
      <c r="A426" s="14">
        <v>43905.708333333336</v>
      </c>
      <c r="B426" s="13" t="s">
        <v>22</v>
      </c>
      <c r="C426" s="114">
        <v>15</v>
      </c>
      <c r="D426" s="13" t="s">
        <v>46</v>
      </c>
      <c r="E426" s="114">
        <v>4083956555</v>
      </c>
      <c r="F426" s="114">
        <v>1425084984</v>
      </c>
      <c r="G426" s="114">
        <v>73</v>
      </c>
      <c r="H426" s="114">
        <v>22</v>
      </c>
      <c r="I426" s="114">
        <v>95</v>
      </c>
      <c r="J426" s="114">
        <v>201</v>
      </c>
      <c r="K426" s="114">
        <v>296</v>
      </c>
      <c r="L426" s="114">
        <v>53</v>
      </c>
      <c r="M426" s="114">
        <v>61</v>
      </c>
      <c r="N426" s="114">
        <v>28</v>
      </c>
      <c r="O426" s="114">
        <v>9</v>
      </c>
      <c r="P426" s="114">
        <v>333</v>
      </c>
      <c r="Q426" s="114">
        <v>2213</v>
      </c>
      <c r="R426" s="13" t="s">
        <v>25</v>
      </c>
      <c r="S426" s="13" t="s">
        <v>25</v>
      </c>
      <c r="T426" s="13" t="s">
        <v>25</v>
      </c>
    </row>
    <row r="427" spans="1:20" x14ac:dyDescent="0.3">
      <c r="A427" s="14">
        <v>43905.708333333336</v>
      </c>
      <c r="B427" s="13" t="s">
        <v>22</v>
      </c>
      <c r="C427" s="114">
        <v>8</v>
      </c>
      <c r="D427" s="13" t="s">
        <v>96</v>
      </c>
      <c r="E427" s="114">
        <v>4449436681</v>
      </c>
      <c r="F427" s="114">
        <v>113417208</v>
      </c>
      <c r="G427" s="114">
        <v>1215</v>
      </c>
      <c r="H427" s="114">
        <v>169</v>
      </c>
      <c r="I427" s="114">
        <v>1384</v>
      </c>
      <c r="J427" s="114">
        <v>1357</v>
      </c>
      <c r="K427" s="114">
        <v>2741</v>
      </c>
      <c r="L427" s="114">
        <v>392</v>
      </c>
      <c r="M427" s="114">
        <v>449</v>
      </c>
      <c r="N427" s="114">
        <v>68</v>
      </c>
      <c r="O427" s="114">
        <v>284</v>
      </c>
      <c r="P427" s="114">
        <v>3093</v>
      </c>
      <c r="Q427" s="114">
        <v>12054</v>
      </c>
      <c r="R427" s="13" t="s">
        <v>25</v>
      </c>
      <c r="S427" s="13" t="s">
        <v>25</v>
      </c>
      <c r="T427" s="13" t="s">
        <v>25</v>
      </c>
    </row>
    <row r="428" spans="1:20" x14ac:dyDescent="0.3">
      <c r="A428" s="14">
        <v>43905.708333333336</v>
      </c>
      <c r="B428" s="13" t="s">
        <v>22</v>
      </c>
      <c r="C428" s="114">
        <v>6</v>
      </c>
      <c r="D428" s="13" t="s">
        <v>47</v>
      </c>
      <c r="E428" s="114">
        <v>456494354</v>
      </c>
      <c r="F428" s="114">
        <v>1376813649</v>
      </c>
      <c r="G428" s="114">
        <v>98</v>
      </c>
      <c r="H428" s="114">
        <v>12</v>
      </c>
      <c r="I428" s="114">
        <v>110</v>
      </c>
      <c r="J428" s="114">
        <v>206</v>
      </c>
      <c r="K428" s="114">
        <v>316</v>
      </c>
      <c r="L428" s="114">
        <v>45</v>
      </c>
      <c r="M428" s="114">
        <v>46</v>
      </c>
      <c r="N428" s="114">
        <v>17</v>
      </c>
      <c r="O428" s="114">
        <v>14</v>
      </c>
      <c r="P428" s="114">
        <v>347</v>
      </c>
      <c r="Q428" s="114">
        <v>3407</v>
      </c>
      <c r="R428" s="13" t="s">
        <v>25</v>
      </c>
      <c r="S428" s="13" t="s">
        <v>25</v>
      </c>
      <c r="T428" s="13" t="s">
        <v>25</v>
      </c>
    </row>
    <row r="429" spans="1:20" x14ac:dyDescent="0.3">
      <c r="A429" s="14">
        <v>43905.708333333336</v>
      </c>
      <c r="B429" s="13" t="s">
        <v>22</v>
      </c>
      <c r="C429" s="114">
        <v>12</v>
      </c>
      <c r="D429" s="13" t="s">
        <v>48</v>
      </c>
      <c r="E429" s="114">
        <v>4189277044</v>
      </c>
      <c r="F429" s="114">
        <v>1248366722</v>
      </c>
      <c r="G429" s="114">
        <v>223</v>
      </c>
      <c r="H429" s="114">
        <v>31</v>
      </c>
      <c r="I429" s="114">
        <v>254</v>
      </c>
      <c r="J429" s="114">
        <v>142</v>
      </c>
      <c r="K429" s="114">
        <v>396</v>
      </c>
      <c r="L429" s="114">
        <v>76</v>
      </c>
      <c r="M429" s="114">
        <v>79</v>
      </c>
      <c r="N429" s="114">
        <v>24</v>
      </c>
      <c r="O429" s="114">
        <v>16</v>
      </c>
      <c r="P429" s="114">
        <v>436</v>
      </c>
      <c r="Q429" s="114">
        <v>8345</v>
      </c>
      <c r="R429" s="13" t="s">
        <v>25</v>
      </c>
      <c r="S429" s="13" t="s">
        <v>25</v>
      </c>
      <c r="T429" s="13" t="s">
        <v>25</v>
      </c>
    </row>
    <row r="430" spans="1:20" x14ac:dyDescent="0.3">
      <c r="A430" s="14">
        <v>43905.708333333336</v>
      </c>
      <c r="B430" s="13" t="s">
        <v>22</v>
      </c>
      <c r="C430" s="114">
        <v>7</v>
      </c>
      <c r="D430" s="13" t="s">
        <v>49</v>
      </c>
      <c r="E430" s="114">
        <v>4441149315</v>
      </c>
      <c r="F430" s="114">
        <v>89326992</v>
      </c>
      <c r="G430" s="114">
        <v>253</v>
      </c>
      <c r="H430" s="114">
        <v>66</v>
      </c>
      <c r="I430" s="114">
        <v>319</v>
      </c>
      <c r="J430" s="114">
        <v>174</v>
      </c>
      <c r="K430" s="114">
        <v>493</v>
      </c>
      <c r="L430" s="114">
        <v>109</v>
      </c>
      <c r="M430" s="114">
        <v>96</v>
      </c>
      <c r="N430" s="114">
        <v>33</v>
      </c>
      <c r="O430" s="114">
        <v>33</v>
      </c>
      <c r="P430" s="114">
        <v>559</v>
      </c>
      <c r="Q430" s="114">
        <v>1973</v>
      </c>
      <c r="R430" s="13" t="s">
        <v>25</v>
      </c>
      <c r="S430" s="13" t="s">
        <v>25</v>
      </c>
      <c r="T430" s="13" t="s">
        <v>25</v>
      </c>
    </row>
    <row r="431" spans="1:20" x14ac:dyDescent="0.3">
      <c r="A431" s="14">
        <v>43905.708333333336</v>
      </c>
      <c r="B431" s="13" t="s">
        <v>22</v>
      </c>
      <c r="C431" s="114">
        <v>3</v>
      </c>
      <c r="D431" s="13" t="s">
        <v>50</v>
      </c>
      <c r="E431" s="114">
        <v>4546679409</v>
      </c>
      <c r="F431" s="114">
        <v>9190347404</v>
      </c>
      <c r="G431" s="114">
        <v>5500</v>
      </c>
      <c r="H431" s="114">
        <v>767</v>
      </c>
      <c r="I431" s="114">
        <v>6267</v>
      </c>
      <c r="J431" s="114">
        <v>3776</v>
      </c>
      <c r="K431" s="114">
        <v>10043</v>
      </c>
      <c r="L431" s="114">
        <v>984</v>
      </c>
      <c r="M431" s="114">
        <v>1587</v>
      </c>
      <c r="N431" s="114">
        <v>2011</v>
      </c>
      <c r="O431" s="114">
        <v>1218</v>
      </c>
      <c r="P431" s="114">
        <v>13272</v>
      </c>
      <c r="Q431" s="114">
        <v>40369</v>
      </c>
      <c r="R431" s="13" t="s">
        <v>25</v>
      </c>
      <c r="S431" s="13" t="s">
        <v>25</v>
      </c>
      <c r="T431" s="13" t="s">
        <v>25</v>
      </c>
    </row>
    <row r="432" spans="1:20" x14ac:dyDescent="0.3">
      <c r="A432" s="14">
        <v>43905.708333333336</v>
      </c>
      <c r="B432" s="13" t="s">
        <v>22</v>
      </c>
      <c r="C432" s="114">
        <v>11</v>
      </c>
      <c r="D432" s="13" t="s">
        <v>51</v>
      </c>
      <c r="E432" s="114">
        <v>4361675973</v>
      </c>
      <c r="F432" s="114">
        <v>135188753</v>
      </c>
      <c r="G432" s="114">
        <v>521</v>
      </c>
      <c r="H432" s="114">
        <v>98</v>
      </c>
      <c r="I432" s="114">
        <v>619</v>
      </c>
      <c r="J432" s="114">
        <v>468</v>
      </c>
      <c r="K432" s="114">
        <v>1087</v>
      </c>
      <c r="L432" s="114">
        <v>224</v>
      </c>
      <c r="M432" s="114">
        <v>234</v>
      </c>
      <c r="N432" s="114">
        <v>0</v>
      </c>
      <c r="O432" s="114">
        <v>46</v>
      </c>
      <c r="P432" s="114">
        <v>1133</v>
      </c>
      <c r="Q432" s="114">
        <v>2946</v>
      </c>
      <c r="R432" s="13" t="s">
        <v>25</v>
      </c>
      <c r="S432" s="13" t="s">
        <v>25</v>
      </c>
      <c r="T432" s="13" t="s">
        <v>25</v>
      </c>
    </row>
    <row r="433" spans="1:20" x14ac:dyDescent="0.3">
      <c r="A433" s="14">
        <v>43905.708333333336</v>
      </c>
      <c r="B433" s="13" t="s">
        <v>22</v>
      </c>
      <c r="C433" s="114">
        <v>14</v>
      </c>
      <c r="D433" s="13" t="s">
        <v>52</v>
      </c>
      <c r="E433" s="114">
        <v>4155774754</v>
      </c>
      <c r="F433" s="114">
        <v>1465916051</v>
      </c>
      <c r="G433" s="114">
        <v>3</v>
      </c>
      <c r="H433" s="114">
        <v>4</v>
      </c>
      <c r="I433" s="114">
        <v>7</v>
      </c>
      <c r="J433" s="114">
        <v>10</v>
      </c>
      <c r="K433" s="114">
        <v>17</v>
      </c>
      <c r="L433" s="114">
        <v>0</v>
      </c>
      <c r="M433" s="114">
        <v>0</v>
      </c>
      <c r="N433" s="114">
        <v>0</v>
      </c>
      <c r="O433" s="114">
        <v>0</v>
      </c>
      <c r="P433" s="114">
        <v>17</v>
      </c>
      <c r="Q433" s="114">
        <v>248</v>
      </c>
      <c r="R433" s="13" t="s">
        <v>25</v>
      </c>
      <c r="S433" s="13" t="s">
        <v>25</v>
      </c>
      <c r="T433" s="13" t="s">
        <v>25</v>
      </c>
    </row>
    <row r="434" spans="1:20" x14ac:dyDescent="0.3">
      <c r="A434" s="14">
        <v>43905.708333333336</v>
      </c>
      <c r="B434" s="13" t="s">
        <v>22</v>
      </c>
      <c r="C434" s="114">
        <v>1</v>
      </c>
      <c r="D434" s="13" t="s">
        <v>53</v>
      </c>
      <c r="E434" s="114">
        <v>450732745</v>
      </c>
      <c r="F434" s="114">
        <v>7680687483</v>
      </c>
      <c r="G434" s="114">
        <v>726</v>
      </c>
      <c r="H434" s="114">
        <v>171</v>
      </c>
      <c r="I434" s="114">
        <v>897</v>
      </c>
      <c r="J434" s="114">
        <v>133</v>
      </c>
      <c r="K434" s="114">
        <v>1030</v>
      </c>
      <c r="L434" s="114">
        <v>216</v>
      </c>
      <c r="M434" s="114">
        <v>238</v>
      </c>
      <c r="N434" s="114">
        <v>0</v>
      </c>
      <c r="O434" s="114">
        <v>81</v>
      </c>
      <c r="P434" s="114">
        <v>1111</v>
      </c>
      <c r="Q434" s="114">
        <v>4375</v>
      </c>
      <c r="R434" s="13" t="s">
        <v>25</v>
      </c>
      <c r="S434" s="13" t="s">
        <v>25</v>
      </c>
      <c r="T434" s="13" t="s">
        <v>25</v>
      </c>
    </row>
    <row r="435" spans="1:20" x14ac:dyDescent="0.3">
      <c r="A435" s="14">
        <v>43905.708333333336</v>
      </c>
      <c r="B435" s="13" t="s">
        <v>22</v>
      </c>
      <c r="C435" s="114">
        <v>16</v>
      </c>
      <c r="D435" s="13" t="s">
        <v>54</v>
      </c>
      <c r="E435" s="114">
        <v>4112559576</v>
      </c>
      <c r="F435" s="114">
        <v>1686736689</v>
      </c>
      <c r="G435" s="114">
        <v>116</v>
      </c>
      <c r="H435" s="114">
        <v>6</v>
      </c>
      <c r="I435" s="114">
        <v>122</v>
      </c>
      <c r="J435" s="114">
        <v>90</v>
      </c>
      <c r="K435" s="114">
        <v>212</v>
      </c>
      <c r="L435" s="114">
        <v>56</v>
      </c>
      <c r="M435" s="114">
        <v>64</v>
      </c>
      <c r="N435" s="114">
        <v>2</v>
      </c>
      <c r="O435" s="114">
        <v>16</v>
      </c>
      <c r="P435" s="114">
        <v>230</v>
      </c>
      <c r="Q435" s="114">
        <v>2017</v>
      </c>
      <c r="R435" s="13" t="s">
        <v>25</v>
      </c>
      <c r="S435" s="13" t="s">
        <v>25</v>
      </c>
      <c r="T435" s="13" t="s">
        <v>25</v>
      </c>
    </row>
    <row r="436" spans="1:20" x14ac:dyDescent="0.3">
      <c r="A436" s="14">
        <v>43905.708333333336</v>
      </c>
      <c r="B436" s="13" t="s">
        <v>22</v>
      </c>
      <c r="C436" s="114">
        <v>20</v>
      </c>
      <c r="D436" s="13" t="s">
        <v>55</v>
      </c>
      <c r="E436" s="114">
        <v>3921531192</v>
      </c>
      <c r="F436" s="114">
        <v>9110616306</v>
      </c>
      <c r="G436" s="114">
        <v>16</v>
      </c>
      <c r="H436" s="114">
        <v>0</v>
      </c>
      <c r="I436" s="114">
        <v>16</v>
      </c>
      <c r="J436" s="114">
        <v>59</v>
      </c>
      <c r="K436" s="114">
        <v>75</v>
      </c>
      <c r="L436" s="114">
        <v>28</v>
      </c>
      <c r="M436" s="114">
        <v>30</v>
      </c>
      <c r="N436" s="114">
        <v>0</v>
      </c>
      <c r="O436" s="114">
        <v>2</v>
      </c>
      <c r="P436" s="114">
        <v>77</v>
      </c>
      <c r="Q436" s="114">
        <v>613</v>
      </c>
      <c r="R436" s="13" t="s">
        <v>25</v>
      </c>
      <c r="S436" s="13" t="s">
        <v>25</v>
      </c>
      <c r="T436" s="13" t="s">
        <v>25</v>
      </c>
    </row>
    <row r="437" spans="1:20" x14ac:dyDescent="0.3">
      <c r="A437" s="14">
        <v>43905.708333333336</v>
      </c>
      <c r="B437" s="13" t="s">
        <v>22</v>
      </c>
      <c r="C437" s="114">
        <v>19</v>
      </c>
      <c r="D437" s="13" t="s">
        <v>56</v>
      </c>
      <c r="E437" s="114">
        <v>3811569725</v>
      </c>
      <c r="F437" s="114">
        <v>133623567</v>
      </c>
      <c r="G437" s="114">
        <v>56</v>
      </c>
      <c r="H437" s="114">
        <v>15</v>
      </c>
      <c r="I437" s="114">
        <v>71</v>
      </c>
      <c r="J437" s="114">
        <v>108</v>
      </c>
      <c r="K437" s="114">
        <v>179</v>
      </c>
      <c r="L437" s="114">
        <v>29</v>
      </c>
      <c r="M437" s="114">
        <v>32</v>
      </c>
      <c r="N437" s="114">
        <v>7</v>
      </c>
      <c r="O437" s="114">
        <v>2</v>
      </c>
      <c r="P437" s="114">
        <v>188</v>
      </c>
      <c r="Q437" s="114">
        <v>2452</v>
      </c>
      <c r="R437" s="13" t="s">
        <v>25</v>
      </c>
      <c r="S437" s="13" t="s">
        <v>25</v>
      </c>
      <c r="T437" s="13" t="s">
        <v>25</v>
      </c>
    </row>
    <row r="438" spans="1:20" x14ac:dyDescent="0.3">
      <c r="A438" s="14">
        <v>43905.708333333336</v>
      </c>
      <c r="B438" s="13" t="s">
        <v>22</v>
      </c>
      <c r="C438" s="114">
        <v>9</v>
      </c>
      <c r="D438" s="13" t="s">
        <v>57</v>
      </c>
      <c r="E438" s="114">
        <v>4376923077</v>
      </c>
      <c r="F438" s="114">
        <v>1125588885</v>
      </c>
      <c r="G438" s="114">
        <v>175</v>
      </c>
      <c r="H438" s="114">
        <v>107</v>
      </c>
      <c r="I438" s="114">
        <v>282</v>
      </c>
      <c r="J438" s="114">
        <v>481</v>
      </c>
      <c r="K438" s="114">
        <v>763</v>
      </c>
      <c r="L438" s="114">
        <v>149</v>
      </c>
      <c r="M438" s="114">
        <v>151</v>
      </c>
      <c r="N438" s="114">
        <v>10</v>
      </c>
      <c r="O438" s="114">
        <v>8</v>
      </c>
      <c r="P438" s="114">
        <v>781</v>
      </c>
      <c r="Q438" s="114">
        <v>5132</v>
      </c>
      <c r="R438" s="13" t="s">
        <v>25</v>
      </c>
      <c r="S438" s="13" t="s">
        <v>25</v>
      </c>
      <c r="T438" s="13" t="s">
        <v>25</v>
      </c>
    </row>
    <row r="439" spans="1:20" x14ac:dyDescent="0.3">
      <c r="A439" s="14">
        <v>43905.708333333336</v>
      </c>
      <c r="B439" s="13" t="s">
        <v>22</v>
      </c>
      <c r="C439" s="114">
        <v>4</v>
      </c>
      <c r="D439" s="13" t="s">
        <v>58</v>
      </c>
      <c r="E439" s="114">
        <v>4606893511</v>
      </c>
      <c r="F439" s="114">
        <v>1112123097</v>
      </c>
      <c r="G439" s="114">
        <v>73</v>
      </c>
      <c r="H439" s="114">
        <v>19</v>
      </c>
      <c r="I439" s="114">
        <v>92</v>
      </c>
      <c r="J439" s="114">
        <v>275</v>
      </c>
      <c r="K439" s="114">
        <v>367</v>
      </c>
      <c r="L439" s="114">
        <v>168</v>
      </c>
      <c r="M439" s="114">
        <v>172</v>
      </c>
      <c r="N439" s="114">
        <v>5</v>
      </c>
      <c r="O439" s="114">
        <v>6</v>
      </c>
      <c r="P439" s="114">
        <v>378</v>
      </c>
      <c r="Q439" s="114">
        <v>1006</v>
      </c>
      <c r="R439" s="13" t="s">
        <v>25</v>
      </c>
      <c r="S439" s="13" t="s">
        <v>25</v>
      </c>
      <c r="T439" s="13" t="s">
        <v>25</v>
      </c>
    </row>
    <row r="440" spans="1:20" x14ac:dyDescent="0.3">
      <c r="A440" s="14">
        <v>43905.708333333336</v>
      </c>
      <c r="B440" s="13" t="s">
        <v>22</v>
      </c>
      <c r="C440" s="114">
        <v>10</v>
      </c>
      <c r="D440" s="13" t="s">
        <v>59</v>
      </c>
      <c r="E440" s="114">
        <v>4310675841</v>
      </c>
      <c r="F440" s="114">
        <v>1238824698</v>
      </c>
      <c r="G440" s="114">
        <v>25</v>
      </c>
      <c r="H440" s="114">
        <v>13</v>
      </c>
      <c r="I440" s="114">
        <v>38</v>
      </c>
      <c r="J440" s="114">
        <v>101</v>
      </c>
      <c r="K440" s="114">
        <v>139</v>
      </c>
      <c r="L440" s="114">
        <v>36</v>
      </c>
      <c r="M440" s="114">
        <v>36</v>
      </c>
      <c r="N440" s="114">
        <v>3</v>
      </c>
      <c r="O440" s="114">
        <v>1</v>
      </c>
      <c r="P440" s="114">
        <v>143</v>
      </c>
      <c r="Q440" s="114">
        <v>965</v>
      </c>
      <c r="R440" s="13" t="s">
        <v>25</v>
      </c>
      <c r="S440" s="13" t="s">
        <v>25</v>
      </c>
      <c r="T440" s="13" t="s">
        <v>25</v>
      </c>
    </row>
    <row r="441" spans="1:20" x14ac:dyDescent="0.3">
      <c r="A441" s="14">
        <v>43905.708333333336</v>
      </c>
      <c r="B441" s="13" t="s">
        <v>22</v>
      </c>
      <c r="C441" s="114">
        <v>2</v>
      </c>
      <c r="D441" s="13" t="s">
        <v>60</v>
      </c>
      <c r="E441" s="114">
        <v>4573750286</v>
      </c>
      <c r="F441" s="114">
        <v>7320149366</v>
      </c>
      <c r="G441" s="114">
        <v>10</v>
      </c>
      <c r="H441" s="114">
        <v>3</v>
      </c>
      <c r="I441" s="114">
        <v>13</v>
      </c>
      <c r="J441" s="114">
        <v>43</v>
      </c>
      <c r="K441" s="114">
        <v>56</v>
      </c>
      <c r="L441" s="114">
        <v>15</v>
      </c>
      <c r="M441" s="114">
        <v>15</v>
      </c>
      <c r="N441" s="114">
        <v>0</v>
      </c>
      <c r="O441" s="114">
        <v>1</v>
      </c>
      <c r="P441" s="114">
        <v>57</v>
      </c>
      <c r="Q441" s="114">
        <v>230</v>
      </c>
      <c r="R441" s="13" t="s">
        <v>25</v>
      </c>
      <c r="S441" s="13" t="s">
        <v>25</v>
      </c>
      <c r="T441" s="13" t="s">
        <v>25</v>
      </c>
    </row>
    <row r="442" spans="1:20" x14ac:dyDescent="0.3">
      <c r="A442" s="14">
        <v>43905.708333333336</v>
      </c>
      <c r="B442" s="13" t="s">
        <v>22</v>
      </c>
      <c r="C442" s="114">
        <v>5</v>
      </c>
      <c r="D442" s="13" t="s">
        <v>61</v>
      </c>
      <c r="E442" s="114">
        <v>4543490485</v>
      </c>
      <c r="F442" s="114">
        <v>1233845213</v>
      </c>
      <c r="G442" s="114">
        <v>426</v>
      </c>
      <c r="H442" s="114">
        <v>129</v>
      </c>
      <c r="I442" s="114">
        <v>555</v>
      </c>
      <c r="J442" s="114">
        <v>1434</v>
      </c>
      <c r="K442" s="114">
        <v>1989</v>
      </c>
      <c r="L442" s="114">
        <v>214</v>
      </c>
      <c r="M442" s="114">
        <v>235</v>
      </c>
      <c r="N442" s="114">
        <v>120</v>
      </c>
      <c r="O442" s="114">
        <v>63</v>
      </c>
      <c r="P442" s="114">
        <v>2172</v>
      </c>
      <c r="Q442" s="114">
        <v>32546</v>
      </c>
      <c r="R442" s="13" t="s">
        <v>25</v>
      </c>
      <c r="S442" s="13" t="s">
        <v>25</v>
      </c>
      <c r="T442" s="13" t="s">
        <v>25</v>
      </c>
    </row>
    <row r="443" spans="1:20" x14ac:dyDescent="0.3">
      <c r="A443" s="14">
        <v>43906.708333333336</v>
      </c>
      <c r="B443" s="13" t="s">
        <v>22</v>
      </c>
      <c r="C443" s="114">
        <v>13</v>
      </c>
      <c r="D443" s="13" t="s">
        <v>42</v>
      </c>
      <c r="E443" s="114">
        <v>4235122196</v>
      </c>
      <c r="F443" s="114">
        <v>1339843823</v>
      </c>
      <c r="G443" s="114">
        <v>71</v>
      </c>
      <c r="H443" s="114">
        <v>37</v>
      </c>
      <c r="I443" s="114">
        <v>108</v>
      </c>
      <c r="J443" s="114">
        <v>57</v>
      </c>
      <c r="K443" s="114">
        <v>165</v>
      </c>
      <c r="L443" s="114">
        <v>37</v>
      </c>
      <c r="M443" s="114">
        <v>39</v>
      </c>
      <c r="N443" s="114">
        <v>7</v>
      </c>
      <c r="O443" s="114">
        <v>4</v>
      </c>
      <c r="P443" s="114">
        <v>176</v>
      </c>
      <c r="Q443" s="114">
        <v>1533</v>
      </c>
      <c r="R443" s="13" t="s">
        <v>25</v>
      </c>
      <c r="S443" s="13" t="s">
        <v>25</v>
      </c>
      <c r="T443" s="13" t="s">
        <v>25</v>
      </c>
    </row>
    <row r="444" spans="1:20" x14ac:dyDescent="0.3">
      <c r="A444" s="14">
        <v>43906.708333333336</v>
      </c>
      <c r="B444" s="13" t="s">
        <v>22</v>
      </c>
      <c r="C444" s="114">
        <v>17</v>
      </c>
      <c r="D444" s="13" t="s">
        <v>43</v>
      </c>
      <c r="E444" s="114">
        <v>4063947052</v>
      </c>
      <c r="F444" s="114">
        <v>1580514834</v>
      </c>
      <c r="G444" s="114">
        <v>1</v>
      </c>
      <c r="H444" s="114">
        <v>2</v>
      </c>
      <c r="I444" s="114">
        <v>3</v>
      </c>
      <c r="J444" s="114">
        <v>9</v>
      </c>
      <c r="K444" s="114">
        <v>12</v>
      </c>
      <c r="L444" s="114">
        <v>1</v>
      </c>
      <c r="M444" s="114">
        <v>1</v>
      </c>
      <c r="N444" s="114">
        <v>0</v>
      </c>
      <c r="O444" s="114">
        <v>0</v>
      </c>
      <c r="P444" s="114">
        <v>12</v>
      </c>
      <c r="Q444" s="114">
        <v>230</v>
      </c>
      <c r="R444" s="13" t="s">
        <v>25</v>
      </c>
      <c r="S444" s="13" t="s">
        <v>25</v>
      </c>
      <c r="T444" s="13" t="s">
        <v>25</v>
      </c>
    </row>
    <row r="445" spans="1:20" x14ac:dyDescent="0.3">
      <c r="A445" s="14">
        <v>43906.708333333336</v>
      </c>
      <c r="B445" s="13" t="s">
        <v>22</v>
      </c>
      <c r="C445" s="114">
        <v>4</v>
      </c>
      <c r="D445" s="13" t="s">
        <v>44</v>
      </c>
      <c r="E445" s="114">
        <v>4649933453</v>
      </c>
      <c r="F445" s="114">
        <v>1135662422</v>
      </c>
      <c r="G445" s="114">
        <v>53</v>
      </c>
      <c r="H445" s="114">
        <v>11</v>
      </c>
      <c r="I445" s="114">
        <v>64</v>
      </c>
      <c r="J445" s="114">
        <v>171</v>
      </c>
      <c r="K445" s="114">
        <v>235</v>
      </c>
      <c r="L445" s="114">
        <v>36</v>
      </c>
      <c r="M445" s="114">
        <v>37</v>
      </c>
      <c r="N445" s="114">
        <v>0</v>
      </c>
      <c r="O445" s="114">
        <v>6</v>
      </c>
      <c r="P445" s="114">
        <v>241</v>
      </c>
      <c r="Q445" s="114">
        <v>1740</v>
      </c>
      <c r="R445" s="13" t="s">
        <v>25</v>
      </c>
      <c r="S445" s="13" t="s">
        <v>25</v>
      </c>
      <c r="T445" s="13" t="s">
        <v>25</v>
      </c>
    </row>
    <row r="446" spans="1:20" x14ac:dyDescent="0.3">
      <c r="A446" s="14">
        <v>43906.708333333336</v>
      </c>
      <c r="B446" s="13" t="s">
        <v>22</v>
      </c>
      <c r="C446" s="114">
        <v>18</v>
      </c>
      <c r="D446" s="13" t="s">
        <v>45</v>
      </c>
      <c r="E446" s="114">
        <v>3890597598</v>
      </c>
      <c r="F446" s="114">
        <v>1659440194</v>
      </c>
      <c r="G446" s="114">
        <v>36</v>
      </c>
      <c r="H446" s="114">
        <v>7</v>
      </c>
      <c r="I446" s="114">
        <v>43</v>
      </c>
      <c r="J446" s="114">
        <v>44</v>
      </c>
      <c r="K446" s="114">
        <v>87</v>
      </c>
      <c r="L446" s="114">
        <v>21</v>
      </c>
      <c r="M446" s="114">
        <v>21</v>
      </c>
      <c r="N446" s="114">
        <v>1</v>
      </c>
      <c r="O446" s="114">
        <v>1</v>
      </c>
      <c r="P446" s="114">
        <v>89</v>
      </c>
      <c r="Q446" s="114">
        <v>1030</v>
      </c>
      <c r="R446" s="13" t="s">
        <v>25</v>
      </c>
      <c r="S446" s="13" t="s">
        <v>25</v>
      </c>
      <c r="T446" s="13" t="s">
        <v>25</v>
      </c>
    </row>
    <row r="447" spans="1:20" x14ac:dyDescent="0.3">
      <c r="A447" s="14">
        <v>43906.708333333336</v>
      </c>
      <c r="B447" s="13" t="s">
        <v>22</v>
      </c>
      <c r="C447" s="114">
        <v>15</v>
      </c>
      <c r="D447" s="13" t="s">
        <v>46</v>
      </c>
      <c r="E447" s="114">
        <v>4083956555</v>
      </c>
      <c r="F447" s="114">
        <v>1425084984</v>
      </c>
      <c r="G447" s="114">
        <v>103</v>
      </c>
      <c r="H447" s="114">
        <v>22</v>
      </c>
      <c r="I447" s="114">
        <v>125</v>
      </c>
      <c r="J447" s="114">
        <v>238</v>
      </c>
      <c r="K447" s="114">
        <v>363</v>
      </c>
      <c r="L447" s="114">
        <v>67</v>
      </c>
      <c r="M447" s="114">
        <v>67</v>
      </c>
      <c r="N447" s="114">
        <v>28</v>
      </c>
      <c r="O447" s="114">
        <v>9</v>
      </c>
      <c r="P447" s="114">
        <v>400</v>
      </c>
      <c r="Q447" s="114">
        <v>2517</v>
      </c>
      <c r="R447" s="13" t="s">
        <v>25</v>
      </c>
      <c r="S447" s="13" t="s">
        <v>25</v>
      </c>
      <c r="T447" s="13" t="s">
        <v>25</v>
      </c>
    </row>
    <row r="448" spans="1:20" x14ac:dyDescent="0.3">
      <c r="A448" s="14">
        <v>43906.708333333336</v>
      </c>
      <c r="B448" s="13" t="s">
        <v>22</v>
      </c>
      <c r="C448" s="114">
        <v>8</v>
      </c>
      <c r="D448" s="13" t="s">
        <v>96</v>
      </c>
      <c r="E448" s="114">
        <v>4449436681</v>
      </c>
      <c r="F448" s="114">
        <v>113417208</v>
      </c>
      <c r="G448" s="114">
        <v>1362</v>
      </c>
      <c r="H448" s="114">
        <v>197</v>
      </c>
      <c r="I448" s="114">
        <v>1559</v>
      </c>
      <c r="J448" s="114">
        <v>1529</v>
      </c>
      <c r="K448" s="114">
        <v>3088</v>
      </c>
      <c r="L448" s="114">
        <v>347</v>
      </c>
      <c r="M448" s="114">
        <v>429</v>
      </c>
      <c r="N448" s="114">
        <v>88</v>
      </c>
      <c r="O448" s="114">
        <v>346</v>
      </c>
      <c r="P448" s="114">
        <v>3522</v>
      </c>
      <c r="Q448" s="114">
        <v>13096</v>
      </c>
      <c r="R448" s="13" t="s">
        <v>25</v>
      </c>
      <c r="S448" s="13" t="s">
        <v>25</v>
      </c>
      <c r="T448" s="13" t="s">
        <v>25</v>
      </c>
    </row>
    <row r="449" spans="1:20" x14ac:dyDescent="0.3">
      <c r="A449" s="14">
        <v>43906.708333333336</v>
      </c>
      <c r="B449" s="13" t="s">
        <v>22</v>
      </c>
      <c r="C449" s="114">
        <v>6</v>
      </c>
      <c r="D449" s="13" t="s">
        <v>47</v>
      </c>
      <c r="E449" s="114">
        <v>456494354</v>
      </c>
      <c r="F449" s="114">
        <v>1376813649</v>
      </c>
      <c r="G449" s="114">
        <v>96</v>
      </c>
      <c r="H449" s="114">
        <v>19</v>
      </c>
      <c r="I449" s="114">
        <v>115</v>
      </c>
      <c r="J449" s="114">
        <v>231</v>
      </c>
      <c r="K449" s="114">
        <v>346</v>
      </c>
      <c r="L449" s="114">
        <v>30</v>
      </c>
      <c r="M449" s="114">
        <v>39</v>
      </c>
      <c r="N449" s="114">
        <v>18</v>
      </c>
      <c r="O449" s="114">
        <v>22</v>
      </c>
      <c r="P449" s="114">
        <v>386</v>
      </c>
      <c r="Q449" s="114">
        <v>4851</v>
      </c>
      <c r="R449" s="13" t="s">
        <v>25</v>
      </c>
      <c r="S449" s="13" t="s">
        <v>25</v>
      </c>
      <c r="T449" s="13" t="s">
        <v>25</v>
      </c>
    </row>
    <row r="450" spans="1:20" x14ac:dyDescent="0.3">
      <c r="A450" s="14">
        <v>43906.708333333336</v>
      </c>
      <c r="B450" s="13" t="s">
        <v>22</v>
      </c>
      <c r="C450" s="114">
        <v>12</v>
      </c>
      <c r="D450" s="13" t="s">
        <v>48</v>
      </c>
      <c r="E450" s="114">
        <v>4189277044</v>
      </c>
      <c r="F450" s="114">
        <v>1248366722</v>
      </c>
      <c r="G450" s="114">
        <v>267</v>
      </c>
      <c r="H450" s="114">
        <v>31</v>
      </c>
      <c r="I450" s="114">
        <v>298</v>
      </c>
      <c r="J450" s="114">
        <v>174</v>
      </c>
      <c r="K450" s="114">
        <v>472</v>
      </c>
      <c r="L450" s="114">
        <v>76</v>
      </c>
      <c r="M450" s="114">
        <v>87</v>
      </c>
      <c r="N450" s="114">
        <v>32</v>
      </c>
      <c r="O450" s="114">
        <v>19</v>
      </c>
      <c r="P450" s="114">
        <v>523</v>
      </c>
      <c r="Q450" s="114">
        <v>9330</v>
      </c>
      <c r="R450" s="13" t="s">
        <v>25</v>
      </c>
      <c r="S450" s="13" t="s">
        <v>25</v>
      </c>
      <c r="T450" s="13" t="s">
        <v>25</v>
      </c>
    </row>
    <row r="451" spans="1:20" x14ac:dyDescent="0.3">
      <c r="A451" s="14">
        <v>43906.708333333336</v>
      </c>
      <c r="B451" s="13" t="s">
        <v>22</v>
      </c>
      <c r="C451" s="114">
        <v>7</v>
      </c>
      <c r="D451" s="13" t="s">
        <v>49</v>
      </c>
      <c r="E451" s="114">
        <v>4441149315</v>
      </c>
      <c r="F451" s="114">
        <v>89326992</v>
      </c>
      <c r="G451" s="114">
        <v>255</v>
      </c>
      <c r="H451" s="114">
        <v>73</v>
      </c>
      <c r="I451" s="114">
        <v>328</v>
      </c>
      <c r="J451" s="114">
        <v>247</v>
      </c>
      <c r="K451" s="114">
        <v>575</v>
      </c>
      <c r="L451" s="114">
        <v>82</v>
      </c>
      <c r="M451" s="114">
        <v>108</v>
      </c>
      <c r="N451" s="114">
        <v>42</v>
      </c>
      <c r="O451" s="114">
        <v>50</v>
      </c>
      <c r="P451" s="114">
        <v>667</v>
      </c>
      <c r="Q451" s="114">
        <v>2189</v>
      </c>
      <c r="R451" s="13" t="s">
        <v>25</v>
      </c>
      <c r="S451" s="13" t="s">
        <v>25</v>
      </c>
      <c r="T451" s="13" t="s">
        <v>25</v>
      </c>
    </row>
    <row r="452" spans="1:20" x14ac:dyDescent="0.3">
      <c r="A452" s="14">
        <v>43906.708333333336</v>
      </c>
      <c r="B452" s="13" t="s">
        <v>22</v>
      </c>
      <c r="C452" s="114">
        <v>3</v>
      </c>
      <c r="D452" s="13" t="s">
        <v>50</v>
      </c>
      <c r="E452" s="114">
        <v>4546679409</v>
      </c>
      <c r="F452" s="114">
        <v>9190347404</v>
      </c>
      <c r="G452" s="114">
        <v>6171</v>
      </c>
      <c r="H452" s="114">
        <v>823</v>
      </c>
      <c r="I452" s="114">
        <v>6994</v>
      </c>
      <c r="J452" s="114">
        <v>3867</v>
      </c>
      <c r="K452" s="114">
        <v>10861</v>
      </c>
      <c r="L452" s="114">
        <v>818</v>
      </c>
      <c r="M452" s="114">
        <v>1377</v>
      </c>
      <c r="N452" s="114">
        <v>2368</v>
      </c>
      <c r="O452" s="114">
        <v>1420</v>
      </c>
      <c r="P452" s="114">
        <v>14649</v>
      </c>
      <c r="Q452" s="114">
        <v>43565</v>
      </c>
      <c r="R452" s="13" t="s">
        <v>25</v>
      </c>
      <c r="S452" s="13" t="s">
        <v>25</v>
      </c>
      <c r="T452" s="13" t="s">
        <v>25</v>
      </c>
    </row>
    <row r="453" spans="1:20" x14ac:dyDescent="0.3">
      <c r="A453" s="14">
        <v>43906.708333333336</v>
      </c>
      <c r="B453" s="13" t="s">
        <v>22</v>
      </c>
      <c r="C453" s="114">
        <v>11</v>
      </c>
      <c r="D453" s="13" t="s">
        <v>51</v>
      </c>
      <c r="E453" s="114">
        <v>4361675973</v>
      </c>
      <c r="F453" s="114">
        <v>135188753</v>
      </c>
      <c r="G453" s="114">
        <v>528</v>
      </c>
      <c r="H453" s="114">
        <v>110</v>
      </c>
      <c r="I453" s="114">
        <v>638</v>
      </c>
      <c r="J453" s="114">
        <v>547</v>
      </c>
      <c r="K453" s="114">
        <v>1185</v>
      </c>
      <c r="L453" s="114">
        <v>98</v>
      </c>
      <c r="M453" s="114">
        <v>109</v>
      </c>
      <c r="N453" s="114">
        <v>0</v>
      </c>
      <c r="O453" s="114">
        <v>57</v>
      </c>
      <c r="P453" s="114">
        <v>1242</v>
      </c>
      <c r="Q453" s="114">
        <v>3225</v>
      </c>
      <c r="R453" s="13" t="s">
        <v>25</v>
      </c>
      <c r="S453" s="13" t="s">
        <v>25</v>
      </c>
      <c r="T453" s="13" t="s">
        <v>25</v>
      </c>
    </row>
    <row r="454" spans="1:20" x14ac:dyDescent="0.3">
      <c r="A454" s="14">
        <v>43906.708333333336</v>
      </c>
      <c r="B454" s="13" t="s">
        <v>22</v>
      </c>
      <c r="C454" s="114">
        <v>14</v>
      </c>
      <c r="D454" s="13" t="s">
        <v>52</v>
      </c>
      <c r="E454" s="114">
        <v>4155774754</v>
      </c>
      <c r="F454" s="114">
        <v>1465916051</v>
      </c>
      <c r="G454" s="114">
        <v>3</v>
      </c>
      <c r="H454" s="114">
        <v>5</v>
      </c>
      <c r="I454" s="114">
        <v>8</v>
      </c>
      <c r="J454" s="114">
        <v>7</v>
      </c>
      <c r="K454" s="114">
        <v>15</v>
      </c>
      <c r="L454" s="114">
        <v>-2</v>
      </c>
      <c r="M454" s="114">
        <v>4</v>
      </c>
      <c r="N454" s="114">
        <v>5</v>
      </c>
      <c r="O454" s="114">
        <v>1</v>
      </c>
      <c r="P454" s="114">
        <v>21</v>
      </c>
      <c r="Q454" s="114">
        <v>253</v>
      </c>
      <c r="R454" s="13" t="s">
        <v>25</v>
      </c>
      <c r="S454" s="13" t="s">
        <v>25</v>
      </c>
      <c r="T454" s="13" t="s">
        <v>25</v>
      </c>
    </row>
    <row r="455" spans="1:20" x14ac:dyDescent="0.3">
      <c r="A455" s="14">
        <v>43906.708333333336</v>
      </c>
      <c r="B455" s="13" t="s">
        <v>22</v>
      </c>
      <c r="C455" s="114">
        <v>1</v>
      </c>
      <c r="D455" s="13" t="s">
        <v>53</v>
      </c>
      <c r="E455" s="114">
        <v>450732745</v>
      </c>
      <c r="F455" s="114">
        <v>7680687483</v>
      </c>
      <c r="G455" s="114">
        <v>1045</v>
      </c>
      <c r="H455" s="114">
        <v>186</v>
      </c>
      <c r="I455" s="114">
        <v>1231</v>
      </c>
      <c r="J455" s="114">
        <v>174</v>
      </c>
      <c r="K455" s="114">
        <v>1405</v>
      </c>
      <c r="L455" s="114">
        <v>375</v>
      </c>
      <c r="M455" s="114">
        <v>405</v>
      </c>
      <c r="N455" s="114">
        <v>0</v>
      </c>
      <c r="O455" s="114">
        <v>111</v>
      </c>
      <c r="P455" s="114">
        <v>1516</v>
      </c>
      <c r="Q455" s="114">
        <v>5588</v>
      </c>
      <c r="R455" s="13" t="s">
        <v>25</v>
      </c>
      <c r="S455" s="13" t="s">
        <v>25</v>
      </c>
      <c r="T455" s="13" t="s">
        <v>25</v>
      </c>
    </row>
    <row r="456" spans="1:20" x14ac:dyDescent="0.3">
      <c r="A456" s="14">
        <v>43906.708333333336</v>
      </c>
      <c r="B456" s="13" t="s">
        <v>22</v>
      </c>
      <c r="C456" s="114">
        <v>16</v>
      </c>
      <c r="D456" s="13" t="s">
        <v>54</v>
      </c>
      <c r="E456" s="114">
        <v>4112559576</v>
      </c>
      <c r="F456" s="114">
        <v>1686736689</v>
      </c>
      <c r="G456" s="114">
        <v>116</v>
      </c>
      <c r="H456" s="114">
        <v>6</v>
      </c>
      <c r="I456" s="114">
        <v>122</v>
      </c>
      <c r="J456" s="114">
        <v>90</v>
      </c>
      <c r="K456" s="114">
        <v>212</v>
      </c>
      <c r="L456" s="114">
        <v>0</v>
      </c>
      <c r="M456" s="114">
        <v>0</v>
      </c>
      <c r="N456" s="114">
        <v>2</v>
      </c>
      <c r="O456" s="114">
        <v>16</v>
      </c>
      <c r="P456" s="114">
        <v>230</v>
      </c>
      <c r="Q456" s="114">
        <v>2017</v>
      </c>
      <c r="R456" s="13" t="s">
        <v>25</v>
      </c>
      <c r="S456" s="13" t="s">
        <v>68</v>
      </c>
      <c r="T456" s="13" t="s">
        <v>69</v>
      </c>
    </row>
    <row r="457" spans="1:20" x14ac:dyDescent="0.3">
      <c r="A457" s="14">
        <v>43906.708333333336</v>
      </c>
      <c r="B457" s="13" t="s">
        <v>22</v>
      </c>
      <c r="C457" s="114">
        <v>20</v>
      </c>
      <c r="D457" s="13" t="s">
        <v>55</v>
      </c>
      <c r="E457" s="114">
        <v>3921531192</v>
      </c>
      <c r="F457" s="114">
        <v>9110616306</v>
      </c>
      <c r="G457" s="114">
        <v>39</v>
      </c>
      <c r="H457" s="114">
        <v>0</v>
      </c>
      <c r="I457" s="114">
        <v>39</v>
      </c>
      <c r="J457" s="114">
        <v>66</v>
      </c>
      <c r="K457" s="114">
        <v>105</v>
      </c>
      <c r="L457" s="114">
        <v>30</v>
      </c>
      <c r="M457" s="114">
        <v>30</v>
      </c>
      <c r="N457" s="114">
        <v>0</v>
      </c>
      <c r="O457" s="114">
        <v>2</v>
      </c>
      <c r="P457" s="114">
        <v>107</v>
      </c>
      <c r="Q457" s="114">
        <v>797</v>
      </c>
      <c r="R457" s="13" t="s">
        <v>25</v>
      </c>
      <c r="S457" s="13" t="s">
        <v>25</v>
      </c>
      <c r="T457" s="13" t="s">
        <v>25</v>
      </c>
    </row>
    <row r="458" spans="1:20" x14ac:dyDescent="0.3">
      <c r="A458" s="14">
        <v>43906.708333333336</v>
      </c>
      <c r="B458" s="13" t="s">
        <v>22</v>
      </c>
      <c r="C458" s="114">
        <v>19</v>
      </c>
      <c r="D458" s="13" t="s">
        <v>56</v>
      </c>
      <c r="E458" s="114">
        <v>3811569725</v>
      </c>
      <c r="F458" s="114">
        <v>133623567</v>
      </c>
      <c r="G458" s="114">
        <v>75</v>
      </c>
      <c r="H458" s="114">
        <v>20</v>
      </c>
      <c r="I458" s="114">
        <v>95</v>
      </c>
      <c r="J458" s="114">
        <v>108</v>
      </c>
      <c r="K458" s="114">
        <v>203</v>
      </c>
      <c r="L458" s="114">
        <v>24</v>
      </c>
      <c r="M458" s="114">
        <v>25</v>
      </c>
      <c r="N458" s="114">
        <v>8</v>
      </c>
      <c r="O458" s="114">
        <v>2</v>
      </c>
      <c r="P458" s="114">
        <v>213</v>
      </c>
      <c r="Q458" s="114">
        <v>2653</v>
      </c>
      <c r="R458" s="13" t="s">
        <v>25</v>
      </c>
      <c r="S458" s="13" t="s">
        <v>25</v>
      </c>
      <c r="T458" s="13" t="s">
        <v>25</v>
      </c>
    </row>
    <row r="459" spans="1:20" x14ac:dyDescent="0.3">
      <c r="A459" s="14">
        <v>43906.708333333336</v>
      </c>
      <c r="B459" s="13" t="s">
        <v>22</v>
      </c>
      <c r="C459" s="114">
        <v>9</v>
      </c>
      <c r="D459" s="13" t="s">
        <v>57</v>
      </c>
      <c r="E459" s="114">
        <v>4376923077</v>
      </c>
      <c r="F459" s="114">
        <v>1125588885</v>
      </c>
      <c r="G459" s="114">
        <v>175</v>
      </c>
      <c r="H459" s="114">
        <v>107</v>
      </c>
      <c r="I459" s="114">
        <v>282</v>
      </c>
      <c r="J459" s="114">
        <v>559</v>
      </c>
      <c r="K459" s="114">
        <v>841</v>
      </c>
      <c r="L459" s="114">
        <v>78</v>
      </c>
      <c r="M459" s="114">
        <v>85</v>
      </c>
      <c r="N459" s="114">
        <v>11</v>
      </c>
      <c r="O459" s="114">
        <v>14</v>
      </c>
      <c r="P459" s="114">
        <v>866</v>
      </c>
      <c r="Q459" s="114">
        <v>5910</v>
      </c>
      <c r="R459" s="13" t="s">
        <v>25</v>
      </c>
      <c r="S459" s="13" t="s">
        <v>25</v>
      </c>
      <c r="T459" s="13" t="s">
        <v>25</v>
      </c>
    </row>
    <row r="460" spans="1:20" x14ac:dyDescent="0.3">
      <c r="A460" s="14">
        <v>43906.708333333336</v>
      </c>
      <c r="B460" s="13" t="s">
        <v>22</v>
      </c>
      <c r="C460" s="114">
        <v>4</v>
      </c>
      <c r="D460" s="13" t="s">
        <v>58</v>
      </c>
      <c r="E460" s="114">
        <v>4606893511</v>
      </c>
      <c r="F460" s="114">
        <v>1112123097</v>
      </c>
      <c r="G460" s="114">
        <v>73</v>
      </c>
      <c r="H460" s="114">
        <v>19</v>
      </c>
      <c r="I460" s="114">
        <v>92</v>
      </c>
      <c r="J460" s="114">
        <v>275</v>
      </c>
      <c r="K460" s="114">
        <v>367</v>
      </c>
      <c r="L460" s="114">
        <v>0</v>
      </c>
      <c r="M460" s="114">
        <v>0</v>
      </c>
      <c r="N460" s="114">
        <v>5</v>
      </c>
      <c r="O460" s="114">
        <v>6</v>
      </c>
      <c r="P460" s="114">
        <v>378</v>
      </c>
      <c r="Q460" s="114">
        <v>1006</v>
      </c>
      <c r="R460" s="13" t="s">
        <v>25</v>
      </c>
      <c r="S460" s="13" t="s">
        <v>70</v>
      </c>
      <c r="T460" s="13" t="s">
        <v>71</v>
      </c>
    </row>
    <row r="461" spans="1:20" x14ac:dyDescent="0.3">
      <c r="A461" s="14">
        <v>43906.708333333336</v>
      </c>
      <c r="B461" s="13" t="s">
        <v>22</v>
      </c>
      <c r="C461" s="114">
        <v>10</v>
      </c>
      <c r="D461" s="13" t="s">
        <v>59</v>
      </c>
      <c r="E461" s="114">
        <v>4310675841</v>
      </c>
      <c r="F461" s="114">
        <v>1238824698</v>
      </c>
      <c r="G461" s="114">
        <v>30</v>
      </c>
      <c r="H461" s="114">
        <v>15</v>
      </c>
      <c r="I461" s="114">
        <v>45</v>
      </c>
      <c r="J461" s="114">
        <v>114</v>
      </c>
      <c r="K461" s="114">
        <v>159</v>
      </c>
      <c r="L461" s="114">
        <v>20</v>
      </c>
      <c r="M461" s="114">
        <v>21</v>
      </c>
      <c r="N461" s="114">
        <v>4</v>
      </c>
      <c r="O461" s="114">
        <v>1</v>
      </c>
      <c r="P461" s="114">
        <v>164</v>
      </c>
      <c r="Q461" s="114">
        <v>1093</v>
      </c>
      <c r="R461" s="13" t="s">
        <v>25</v>
      </c>
      <c r="S461" s="13" t="s">
        <v>25</v>
      </c>
      <c r="T461" s="13" t="s">
        <v>25</v>
      </c>
    </row>
    <row r="462" spans="1:20" x14ac:dyDescent="0.3">
      <c r="A462" s="14">
        <v>43906.708333333336</v>
      </c>
      <c r="B462" s="13" t="s">
        <v>22</v>
      </c>
      <c r="C462" s="114">
        <v>2</v>
      </c>
      <c r="D462" s="13" t="s">
        <v>60</v>
      </c>
      <c r="E462" s="114">
        <v>4573750286</v>
      </c>
      <c r="F462" s="114">
        <v>7320149366</v>
      </c>
      <c r="G462" s="114">
        <v>28</v>
      </c>
      <c r="H462" s="114">
        <v>5</v>
      </c>
      <c r="I462" s="114">
        <v>33</v>
      </c>
      <c r="J462" s="114">
        <v>70</v>
      </c>
      <c r="K462" s="114">
        <v>103</v>
      </c>
      <c r="L462" s="114">
        <v>47</v>
      </c>
      <c r="M462" s="114">
        <v>48</v>
      </c>
      <c r="N462" s="114">
        <v>0</v>
      </c>
      <c r="O462" s="114">
        <v>2</v>
      </c>
      <c r="P462" s="114">
        <v>105</v>
      </c>
      <c r="Q462" s="114">
        <v>287</v>
      </c>
      <c r="R462" s="13" t="s">
        <v>25</v>
      </c>
      <c r="S462" s="13" t="s">
        <v>25</v>
      </c>
      <c r="T462" s="13" t="s">
        <v>25</v>
      </c>
    </row>
    <row r="463" spans="1:20" x14ac:dyDescent="0.3">
      <c r="A463" s="14">
        <v>43906.708333333336</v>
      </c>
      <c r="B463" s="13" t="s">
        <v>22</v>
      </c>
      <c r="C463" s="114">
        <v>5</v>
      </c>
      <c r="D463" s="13" t="s">
        <v>61</v>
      </c>
      <c r="E463" s="114">
        <v>4543490485</v>
      </c>
      <c r="F463" s="114">
        <v>1233845213</v>
      </c>
      <c r="G463" s="114">
        <v>498</v>
      </c>
      <c r="H463" s="114">
        <v>156</v>
      </c>
      <c r="I463" s="114">
        <v>654</v>
      </c>
      <c r="J463" s="114">
        <v>1620</v>
      </c>
      <c r="K463" s="114">
        <v>2274</v>
      </c>
      <c r="L463" s="114">
        <v>285</v>
      </c>
      <c r="M463" s="114">
        <v>301</v>
      </c>
      <c r="N463" s="114">
        <v>130</v>
      </c>
      <c r="O463" s="114">
        <v>69</v>
      </c>
      <c r="P463" s="114">
        <v>2473</v>
      </c>
      <c r="Q463" s="114">
        <v>35052</v>
      </c>
      <c r="R463" s="13" t="s">
        <v>25</v>
      </c>
      <c r="S463" s="13" t="s">
        <v>25</v>
      </c>
      <c r="T463" s="13" t="s">
        <v>25</v>
      </c>
    </row>
    <row r="464" spans="1:20" x14ac:dyDescent="0.3">
      <c r="A464" s="14">
        <v>43907.708333333336</v>
      </c>
      <c r="B464" s="13" t="s">
        <v>22</v>
      </c>
      <c r="C464" s="114">
        <v>13</v>
      </c>
      <c r="D464" s="13" t="s">
        <v>42</v>
      </c>
      <c r="E464" s="114">
        <v>4235122196</v>
      </c>
      <c r="F464" s="114">
        <v>1339843823</v>
      </c>
      <c r="G464" s="114">
        <v>94</v>
      </c>
      <c r="H464" s="114">
        <v>32</v>
      </c>
      <c r="I464" s="114">
        <v>126</v>
      </c>
      <c r="J464" s="114">
        <v>90</v>
      </c>
      <c r="K464" s="114">
        <v>216</v>
      </c>
      <c r="L464" s="114">
        <v>51</v>
      </c>
      <c r="M464" s="114">
        <v>53</v>
      </c>
      <c r="N464" s="114">
        <v>7</v>
      </c>
      <c r="O464" s="114">
        <v>6</v>
      </c>
      <c r="P464" s="114">
        <v>229</v>
      </c>
      <c r="Q464" s="114">
        <v>1688</v>
      </c>
      <c r="R464" s="13" t="s">
        <v>25</v>
      </c>
      <c r="S464" s="13" t="s">
        <v>25</v>
      </c>
      <c r="T464" s="13" t="s">
        <v>25</v>
      </c>
    </row>
    <row r="465" spans="1:20" x14ac:dyDescent="0.3">
      <c r="A465" s="14">
        <v>43907.708333333336</v>
      </c>
      <c r="B465" s="13" t="s">
        <v>22</v>
      </c>
      <c r="C465" s="114">
        <v>17</v>
      </c>
      <c r="D465" s="13" t="s">
        <v>43</v>
      </c>
      <c r="E465" s="114">
        <v>4063947052</v>
      </c>
      <c r="F465" s="114">
        <v>1580514834</v>
      </c>
      <c r="G465" s="114">
        <v>5</v>
      </c>
      <c r="H465" s="114">
        <v>2</v>
      </c>
      <c r="I465" s="114">
        <v>7</v>
      </c>
      <c r="J465" s="114">
        <v>13</v>
      </c>
      <c r="K465" s="114">
        <v>20</v>
      </c>
      <c r="L465" s="114">
        <v>8</v>
      </c>
      <c r="M465" s="114">
        <v>8</v>
      </c>
      <c r="N465" s="114">
        <v>0</v>
      </c>
      <c r="O465" s="114">
        <v>0</v>
      </c>
      <c r="P465" s="114">
        <v>20</v>
      </c>
      <c r="Q465" s="114">
        <v>262</v>
      </c>
      <c r="R465" s="13" t="s">
        <v>25</v>
      </c>
      <c r="S465" s="13" t="s">
        <v>25</v>
      </c>
      <c r="T465" s="13" t="s">
        <v>25</v>
      </c>
    </row>
    <row r="466" spans="1:20" x14ac:dyDescent="0.3">
      <c r="A466" s="14">
        <v>43907.708333333336</v>
      </c>
      <c r="B466" s="13" t="s">
        <v>22</v>
      </c>
      <c r="C466" s="114">
        <v>4</v>
      </c>
      <c r="D466" s="13" t="s">
        <v>44</v>
      </c>
      <c r="E466" s="114">
        <v>4649933453</v>
      </c>
      <c r="F466" s="114">
        <v>1135662422</v>
      </c>
      <c r="G466" s="114">
        <v>71</v>
      </c>
      <c r="H466" s="114">
        <v>11</v>
      </c>
      <c r="I466" s="114">
        <v>82</v>
      </c>
      <c r="J466" s="114">
        <v>200</v>
      </c>
      <c r="K466" s="114">
        <v>282</v>
      </c>
      <c r="L466" s="114">
        <v>47</v>
      </c>
      <c r="M466" s="114">
        <v>50</v>
      </c>
      <c r="N466" s="114">
        <v>1</v>
      </c>
      <c r="O466" s="114">
        <v>8</v>
      </c>
      <c r="P466" s="114">
        <v>291</v>
      </c>
      <c r="Q466" s="114">
        <v>2149</v>
      </c>
      <c r="R466" s="13" t="s">
        <v>25</v>
      </c>
      <c r="S466" s="13" t="s">
        <v>25</v>
      </c>
      <c r="T466" s="13" t="s">
        <v>25</v>
      </c>
    </row>
    <row r="467" spans="1:20" x14ac:dyDescent="0.3">
      <c r="A467" s="14">
        <v>43907.708333333336</v>
      </c>
      <c r="B467" s="13" t="s">
        <v>22</v>
      </c>
      <c r="C467" s="114">
        <v>18</v>
      </c>
      <c r="D467" s="13" t="s">
        <v>45</v>
      </c>
      <c r="E467" s="114">
        <v>3890597598</v>
      </c>
      <c r="F467" s="114">
        <v>1659440194</v>
      </c>
      <c r="G467" s="114">
        <v>45</v>
      </c>
      <c r="H467" s="114">
        <v>10</v>
      </c>
      <c r="I467" s="114">
        <v>55</v>
      </c>
      <c r="J467" s="114">
        <v>57</v>
      </c>
      <c r="K467" s="114">
        <v>112</v>
      </c>
      <c r="L467" s="114">
        <v>25</v>
      </c>
      <c r="M467" s="114">
        <v>25</v>
      </c>
      <c r="N467" s="114">
        <v>1</v>
      </c>
      <c r="O467" s="114">
        <v>1</v>
      </c>
      <c r="P467" s="114">
        <v>114</v>
      </c>
      <c r="Q467" s="114">
        <v>1293</v>
      </c>
      <c r="R467" s="13" t="s">
        <v>25</v>
      </c>
      <c r="S467" s="13" t="s">
        <v>25</v>
      </c>
      <c r="T467" s="13" t="s">
        <v>25</v>
      </c>
    </row>
    <row r="468" spans="1:20" x14ac:dyDescent="0.3">
      <c r="A468" s="14">
        <v>43907.708333333336</v>
      </c>
      <c r="B468" s="13" t="s">
        <v>22</v>
      </c>
      <c r="C468" s="114">
        <v>15</v>
      </c>
      <c r="D468" s="13" t="s">
        <v>46</v>
      </c>
      <c r="E468" s="114">
        <v>4083956555</v>
      </c>
      <c r="F468" s="114">
        <v>1425084984</v>
      </c>
      <c r="G468" s="114">
        <v>127</v>
      </c>
      <c r="H468" s="114">
        <v>24</v>
      </c>
      <c r="I468" s="114">
        <v>151</v>
      </c>
      <c r="J468" s="114">
        <v>272</v>
      </c>
      <c r="K468" s="114">
        <v>423</v>
      </c>
      <c r="L468" s="114">
        <v>60</v>
      </c>
      <c r="M468" s="114">
        <v>60</v>
      </c>
      <c r="N468" s="114">
        <v>28</v>
      </c>
      <c r="O468" s="114">
        <v>9</v>
      </c>
      <c r="P468" s="114">
        <v>460</v>
      </c>
      <c r="Q468" s="114">
        <v>2685</v>
      </c>
      <c r="R468" s="13" t="s">
        <v>25</v>
      </c>
      <c r="S468" s="13" t="s">
        <v>25</v>
      </c>
      <c r="T468" s="13" t="s">
        <v>25</v>
      </c>
    </row>
    <row r="469" spans="1:20" x14ac:dyDescent="0.3">
      <c r="A469" s="14">
        <v>43907.708333333336</v>
      </c>
      <c r="B469" s="13" t="s">
        <v>22</v>
      </c>
      <c r="C469" s="114">
        <v>8</v>
      </c>
      <c r="D469" s="13" t="s">
        <v>96</v>
      </c>
      <c r="E469" s="114">
        <v>4449436681</v>
      </c>
      <c r="F469" s="114">
        <v>113417208</v>
      </c>
      <c r="G469" s="114">
        <v>1566</v>
      </c>
      <c r="H469" s="114">
        <v>223</v>
      </c>
      <c r="I469" s="114">
        <v>1789</v>
      </c>
      <c r="J469" s="114">
        <v>1615</v>
      </c>
      <c r="K469" s="114">
        <v>3404</v>
      </c>
      <c r="L469" s="114">
        <v>316</v>
      </c>
      <c r="M469" s="114">
        <v>409</v>
      </c>
      <c r="N469" s="114">
        <v>134</v>
      </c>
      <c r="O469" s="114">
        <v>393</v>
      </c>
      <c r="P469" s="114">
        <v>3931</v>
      </c>
      <c r="Q469" s="114">
        <v>14510</v>
      </c>
      <c r="R469" s="13" t="s">
        <v>25</v>
      </c>
      <c r="S469" s="13" t="s">
        <v>72</v>
      </c>
      <c r="T469" s="13" t="s">
        <v>73</v>
      </c>
    </row>
    <row r="470" spans="1:20" x14ac:dyDescent="0.3">
      <c r="A470" s="14">
        <v>43907.708333333336</v>
      </c>
      <c r="B470" s="13" t="s">
        <v>22</v>
      </c>
      <c r="C470" s="114">
        <v>6</v>
      </c>
      <c r="D470" s="13" t="s">
        <v>47</v>
      </c>
      <c r="E470" s="114">
        <v>456494354</v>
      </c>
      <c r="F470" s="114">
        <v>1376813649</v>
      </c>
      <c r="G470" s="114">
        <v>104</v>
      </c>
      <c r="H470" s="114">
        <v>21</v>
      </c>
      <c r="I470" s="114">
        <v>125</v>
      </c>
      <c r="J470" s="114">
        <v>222</v>
      </c>
      <c r="K470" s="114">
        <v>347</v>
      </c>
      <c r="L470" s="114">
        <v>1</v>
      </c>
      <c r="M470" s="114">
        <v>8</v>
      </c>
      <c r="N470" s="114">
        <v>17</v>
      </c>
      <c r="O470" s="114">
        <v>30</v>
      </c>
      <c r="P470" s="114">
        <v>394</v>
      </c>
      <c r="Q470" s="114">
        <v>4958</v>
      </c>
      <c r="R470" s="13" t="s">
        <v>25</v>
      </c>
      <c r="S470" s="13" t="s">
        <v>25</v>
      </c>
      <c r="T470" s="13" t="s">
        <v>25</v>
      </c>
    </row>
    <row r="471" spans="1:20" x14ac:dyDescent="0.3">
      <c r="A471" s="14">
        <v>43907.708333333336</v>
      </c>
      <c r="B471" s="13" t="s">
        <v>22</v>
      </c>
      <c r="C471" s="114">
        <v>12</v>
      </c>
      <c r="D471" s="13" t="s">
        <v>48</v>
      </c>
      <c r="E471" s="114">
        <v>4189277044</v>
      </c>
      <c r="F471" s="114">
        <v>1248366722</v>
      </c>
      <c r="G471" s="114">
        <v>314</v>
      </c>
      <c r="H471" s="114">
        <v>44</v>
      </c>
      <c r="I471" s="114">
        <v>358</v>
      </c>
      <c r="J471" s="114">
        <v>192</v>
      </c>
      <c r="K471" s="114">
        <v>550</v>
      </c>
      <c r="L471" s="114">
        <v>78</v>
      </c>
      <c r="M471" s="114">
        <v>84</v>
      </c>
      <c r="N471" s="114">
        <v>34</v>
      </c>
      <c r="O471" s="114">
        <v>23</v>
      </c>
      <c r="P471" s="114">
        <v>607</v>
      </c>
      <c r="Q471" s="114">
        <v>9436</v>
      </c>
      <c r="R471" s="13" t="s">
        <v>25</v>
      </c>
      <c r="S471" s="13" t="s">
        <v>25</v>
      </c>
      <c r="T471" s="13" t="s">
        <v>25</v>
      </c>
    </row>
    <row r="472" spans="1:20" x14ac:dyDescent="0.3">
      <c r="A472" s="14">
        <v>43907.708333333336</v>
      </c>
      <c r="B472" s="13" t="s">
        <v>22</v>
      </c>
      <c r="C472" s="114">
        <v>7</v>
      </c>
      <c r="D472" s="13" t="s">
        <v>49</v>
      </c>
      <c r="E472" s="114">
        <v>4441149315</v>
      </c>
      <c r="F472" s="114">
        <v>89326992</v>
      </c>
      <c r="G472" s="114">
        <v>299</v>
      </c>
      <c r="H472" s="114">
        <v>85</v>
      </c>
      <c r="I472" s="114">
        <v>384</v>
      </c>
      <c r="J472" s="114">
        <v>277</v>
      </c>
      <c r="K472" s="114">
        <v>661</v>
      </c>
      <c r="L472" s="114">
        <v>86</v>
      </c>
      <c r="M472" s="114">
        <v>111</v>
      </c>
      <c r="N472" s="114">
        <v>57</v>
      </c>
      <c r="O472" s="114">
        <v>60</v>
      </c>
      <c r="P472" s="114">
        <v>778</v>
      </c>
      <c r="Q472" s="114">
        <v>2509</v>
      </c>
      <c r="R472" s="13" t="s">
        <v>25</v>
      </c>
      <c r="S472" s="13" t="s">
        <v>25</v>
      </c>
      <c r="T472" s="13" t="s">
        <v>25</v>
      </c>
    </row>
    <row r="473" spans="1:20" x14ac:dyDescent="0.3">
      <c r="A473" s="14">
        <v>43907.708333333336</v>
      </c>
      <c r="B473" s="13" t="s">
        <v>22</v>
      </c>
      <c r="C473" s="114">
        <v>3</v>
      </c>
      <c r="D473" s="13" t="s">
        <v>50</v>
      </c>
      <c r="E473" s="114">
        <v>4546679409</v>
      </c>
      <c r="F473" s="114">
        <v>9190347404</v>
      </c>
      <c r="G473" s="114">
        <v>6953</v>
      </c>
      <c r="H473" s="114">
        <v>879</v>
      </c>
      <c r="I473" s="114">
        <v>7832</v>
      </c>
      <c r="J473" s="114">
        <v>4263</v>
      </c>
      <c r="K473" s="114">
        <v>12095</v>
      </c>
      <c r="L473" s="114">
        <v>1234</v>
      </c>
      <c r="M473" s="114">
        <v>1571</v>
      </c>
      <c r="N473" s="114">
        <v>2485</v>
      </c>
      <c r="O473" s="114">
        <v>1640</v>
      </c>
      <c r="P473" s="114">
        <v>16220</v>
      </c>
      <c r="Q473" s="114">
        <v>46449</v>
      </c>
      <c r="R473" s="13" t="s">
        <v>25</v>
      </c>
      <c r="S473" s="13" t="s">
        <v>25</v>
      </c>
      <c r="T473" s="13" t="s">
        <v>25</v>
      </c>
    </row>
    <row r="474" spans="1:20" x14ac:dyDescent="0.3">
      <c r="A474" s="14">
        <v>43907.708333333336</v>
      </c>
      <c r="B474" s="13" t="s">
        <v>22</v>
      </c>
      <c r="C474" s="114">
        <v>11</v>
      </c>
      <c r="D474" s="13" t="s">
        <v>51</v>
      </c>
      <c r="E474" s="114">
        <v>4361675973</v>
      </c>
      <c r="F474" s="114">
        <v>135188753</v>
      </c>
      <c r="G474" s="114">
        <v>599</v>
      </c>
      <c r="H474" s="114">
        <v>109</v>
      </c>
      <c r="I474" s="114">
        <v>708</v>
      </c>
      <c r="J474" s="114">
        <v>594</v>
      </c>
      <c r="K474" s="114">
        <v>1302</v>
      </c>
      <c r="L474" s="114">
        <v>117</v>
      </c>
      <c r="M474" s="114">
        <v>129</v>
      </c>
      <c r="N474" s="114">
        <v>0</v>
      </c>
      <c r="O474" s="114">
        <v>69</v>
      </c>
      <c r="P474" s="114">
        <v>1371</v>
      </c>
      <c r="Q474" s="114">
        <v>3225</v>
      </c>
      <c r="R474" s="13" t="s">
        <v>25</v>
      </c>
      <c r="S474" s="13" t="s">
        <v>25</v>
      </c>
      <c r="T474" s="13" t="s">
        <v>25</v>
      </c>
    </row>
    <row r="475" spans="1:20" x14ac:dyDescent="0.3">
      <c r="A475" s="14">
        <v>43907.708333333336</v>
      </c>
      <c r="B475" s="13" t="s">
        <v>22</v>
      </c>
      <c r="C475" s="114">
        <v>14</v>
      </c>
      <c r="D475" s="13" t="s">
        <v>52</v>
      </c>
      <c r="E475" s="114">
        <v>4155774754</v>
      </c>
      <c r="F475" s="114">
        <v>1465916051</v>
      </c>
      <c r="G475" s="114">
        <v>7</v>
      </c>
      <c r="H475" s="114">
        <v>5</v>
      </c>
      <c r="I475" s="114">
        <v>12</v>
      </c>
      <c r="J475" s="114">
        <v>7</v>
      </c>
      <c r="K475" s="114">
        <v>19</v>
      </c>
      <c r="L475" s="114">
        <v>4</v>
      </c>
      <c r="M475" s="114">
        <v>4</v>
      </c>
      <c r="N475" s="114">
        <v>5</v>
      </c>
      <c r="O475" s="114">
        <v>1</v>
      </c>
      <c r="P475" s="114">
        <v>25</v>
      </c>
      <c r="Q475" s="114">
        <v>301</v>
      </c>
      <c r="R475" s="13" t="s">
        <v>25</v>
      </c>
      <c r="S475" s="13" t="s">
        <v>25</v>
      </c>
      <c r="T475" s="13" t="s">
        <v>25</v>
      </c>
    </row>
    <row r="476" spans="1:20" x14ac:dyDescent="0.3">
      <c r="A476" s="14">
        <v>43907.708333333336</v>
      </c>
      <c r="B476" s="13" t="s">
        <v>22</v>
      </c>
      <c r="C476" s="114">
        <v>1</v>
      </c>
      <c r="D476" s="13" t="s">
        <v>53</v>
      </c>
      <c r="E476" s="114">
        <v>450732745</v>
      </c>
      <c r="F476" s="114">
        <v>7680687483</v>
      </c>
      <c r="G476" s="114">
        <v>1378</v>
      </c>
      <c r="H476" s="114">
        <v>206</v>
      </c>
      <c r="I476" s="114">
        <v>1584</v>
      </c>
      <c r="J476" s="114">
        <v>180</v>
      </c>
      <c r="K476" s="114">
        <v>1764</v>
      </c>
      <c r="L476" s="114">
        <v>359</v>
      </c>
      <c r="M476" s="114">
        <v>381</v>
      </c>
      <c r="N476" s="114">
        <v>0</v>
      </c>
      <c r="O476" s="114">
        <v>133</v>
      </c>
      <c r="P476" s="114">
        <v>1897</v>
      </c>
      <c r="Q476" s="114">
        <v>6543</v>
      </c>
      <c r="R476" s="13" t="s">
        <v>25</v>
      </c>
      <c r="S476" s="13" t="s">
        <v>25</v>
      </c>
      <c r="T476" s="13" t="s">
        <v>25</v>
      </c>
    </row>
    <row r="477" spans="1:20" x14ac:dyDescent="0.3">
      <c r="A477" s="14">
        <v>43907.708333333336</v>
      </c>
      <c r="B477" s="13" t="s">
        <v>22</v>
      </c>
      <c r="C477" s="114">
        <v>16</v>
      </c>
      <c r="D477" s="13" t="s">
        <v>54</v>
      </c>
      <c r="E477" s="114">
        <v>4112559576</v>
      </c>
      <c r="F477" s="114">
        <v>1686736689</v>
      </c>
      <c r="G477" s="114">
        <v>155</v>
      </c>
      <c r="H477" s="114">
        <v>14</v>
      </c>
      <c r="I477" s="114">
        <v>169</v>
      </c>
      <c r="J477" s="114">
        <v>151</v>
      </c>
      <c r="K477" s="114">
        <v>320</v>
      </c>
      <c r="L477" s="114">
        <v>108</v>
      </c>
      <c r="M477" s="114">
        <v>110</v>
      </c>
      <c r="N477" s="114">
        <v>2</v>
      </c>
      <c r="O477" s="114">
        <v>18</v>
      </c>
      <c r="P477" s="114">
        <v>340</v>
      </c>
      <c r="Q477" s="114">
        <v>3077</v>
      </c>
      <c r="R477" s="13" t="s">
        <v>25</v>
      </c>
      <c r="S477" s="13" t="s">
        <v>25</v>
      </c>
      <c r="T477" s="13" t="s">
        <v>25</v>
      </c>
    </row>
    <row r="478" spans="1:20" x14ac:dyDescent="0.3">
      <c r="A478" s="14">
        <v>43907.708333333336</v>
      </c>
      <c r="B478" s="13" t="s">
        <v>22</v>
      </c>
      <c r="C478" s="114">
        <v>20</v>
      </c>
      <c r="D478" s="13" t="s">
        <v>55</v>
      </c>
      <c r="E478" s="114">
        <v>3921531192</v>
      </c>
      <c r="F478" s="114">
        <v>9110616306</v>
      </c>
      <c r="G478" s="114">
        <v>36</v>
      </c>
      <c r="H478" s="114">
        <v>4</v>
      </c>
      <c r="I478" s="114">
        <v>40</v>
      </c>
      <c r="J478" s="114">
        <v>75</v>
      </c>
      <c r="K478" s="114">
        <v>115</v>
      </c>
      <c r="L478" s="114">
        <v>10</v>
      </c>
      <c r="M478" s="114">
        <v>10</v>
      </c>
      <c r="N478" s="114">
        <v>0</v>
      </c>
      <c r="O478" s="114">
        <v>2</v>
      </c>
      <c r="P478" s="114">
        <v>117</v>
      </c>
      <c r="Q478" s="114">
        <v>1003</v>
      </c>
      <c r="R478" s="13" t="s">
        <v>25</v>
      </c>
      <c r="S478" s="13" t="s">
        <v>25</v>
      </c>
      <c r="T478" s="13" t="s">
        <v>25</v>
      </c>
    </row>
    <row r="479" spans="1:20" x14ac:dyDescent="0.3">
      <c r="A479" s="14">
        <v>43907.708333333336</v>
      </c>
      <c r="B479" s="13" t="s">
        <v>22</v>
      </c>
      <c r="C479" s="114">
        <v>19</v>
      </c>
      <c r="D479" s="13" t="s">
        <v>56</v>
      </c>
      <c r="E479" s="114">
        <v>3811569725</v>
      </c>
      <c r="F479" s="114">
        <v>133623567</v>
      </c>
      <c r="G479" s="114">
        <v>86</v>
      </c>
      <c r="H479" s="114">
        <v>28</v>
      </c>
      <c r="I479" s="114">
        <v>114</v>
      </c>
      <c r="J479" s="114">
        <v>112</v>
      </c>
      <c r="K479" s="114">
        <v>226</v>
      </c>
      <c r="L479" s="114">
        <v>23</v>
      </c>
      <c r="M479" s="114">
        <v>24</v>
      </c>
      <c r="N479" s="114">
        <v>8</v>
      </c>
      <c r="O479" s="114">
        <v>3</v>
      </c>
      <c r="P479" s="114">
        <v>237</v>
      </c>
      <c r="Q479" s="114">
        <v>2916</v>
      </c>
      <c r="R479" s="13" t="s">
        <v>25</v>
      </c>
      <c r="S479" s="13" t="s">
        <v>25</v>
      </c>
      <c r="T479" s="13" t="s">
        <v>25</v>
      </c>
    </row>
    <row r="480" spans="1:20" x14ac:dyDescent="0.3">
      <c r="A480" s="14">
        <v>43907.708333333336</v>
      </c>
      <c r="B480" s="13" t="s">
        <v>22</v>
      </c>
      <c r="C480" s="114">
        <v>9</v>
      </c>
      <c r="D480" s="13" t="s">
        <v>57</v>
      </c>
      <c r="E480" s="114">
        <v>4376923077</v>
      </c>
      <c r="F480" s="114">
        <v>1125588885</v>
      </c>
      <c r="G480" s="114">
        <v>329</v>
      </c>
      <c r="H480" s="114">
        <v>143</v>
      </c>
      <c r="I480" s="114">
        <v>472</v>
      </c>
      <c r="J480" s="114">
        <v>552</v>
      </c>
      <c r="K480" s="114">
        <v>1024</v>
      </c>
      <c r="L480" s="114">
        <v>183</v>
      </c>
      <c r="M480" s="114">
        <v>187</v>
      </c>
      <c r="N480" s="114">
        <v>12</v>
      </c>
      <c r="O480" s="114">
        <v>17</v>
      </c>
      <c r="P480" s="114">
        <v>1053</v>
      </c>
      <c r="Q480" s="114">
        <v>6727</v>
      </c>
      <c r="R480" s="13" t="s">
        <v>25</v>
      </c>
      <c r="S480" s="13" t="s">
        <v>25</v>
      </c>
      <c r="T480" s="13" t="s">
        <v>25</v>
      </c>
    </row>
    <row r="481" spans="1:20" x14ac:dyDescent="0.3">
      <c r="A481" s="14">
        <v>43907.708333333336</v>
      </c>
      <c r="B481" s="13" t="s">
        <v>22</v>
      </c>
      <c r="C481" s="114">
        <v>4</v>
      </c>
      <c r="D481" s="13" t="s">
        <v>58</v>
      </c>
      <c r="E481" s="114">
        <v>4606893511</v>
      </c>
      <c r="F481" s="114">
        <v>1112123097</v>
      </c>
      <c r="G481" s="114">
        <v>107</v>
      </c>
      <c r="H481" s="114">
        <v>22</v>
      </c>
      <c r="I481" s="114">
        <v>129</v>
      </c>
      <c r="J481" s="114">
        <v>239</v>
      </c>
      <c r="K481" s="114">
        <v>368</v>
      </c>
      <c r="L481" s="114">
        <v>1</v>
      </c>
      <c r="M481" s="114">
        <v>7</v>
      </c>
      <c r="N481" s="114">
        <v>10</v>
      </c>
      <c r="O481" s="114">
        <v>7</v>
      </c>
      <c r="P481" s="114">
        <v>385</v>
      </c>
      <c r="Q481" s="114">
        <v>1727</v>
      </c>
      <c r="R481" s="13" t="s">
        <v>25</v>
      </c>
      <c r="S481" s="13" t="s">
        <v>25</v>
      </c>
      <c r="T481" s="13" t="s">
        <v>25</v>
      </c>
    </row>
    <row r="482" spans="1:20" x14ac:dyDescent="0.3">
      <c r="A482" s="14">
        <v>43907.708333333336</v>
      </c>
      <c r="B482" s="13" t="s">
        <v>22</v>
      </c>
      <c r="C482" s="114">
        <v>10</v>
      </c>
      <c r="D482" s="13" t="s">
        <v>59</v>
      </c>
      <c r="E482" s="114">
        <v>4310675841</v>
      </c>
      <c r="F482" s="114">
        <v>1238824698</v>
      </c>
      <c r="G482" s="114">
        <v>36</v>
      </c>
      <c r="H482" s="114">
        <v>21</v>
      </c>
      <c r="I482" s="114">
        <v>57</v>
      </c>
      <c r="J482" s="114">
        <v>135</v>
      </c>
      <c r="K482" s="114">
        <v>192</v>
      </c>
      <c r="L482" s="114">
        <v>33</v>
      </c>
      <c r="M482" s="114">
        <v>33</v>
      </c>
      <c r="N482" s="114">
        <v>4</v>
      </c>
      <c r="O482" s="114">
        <v>1</v>
      </c>
      <c r="P482" s="114">
        <v>197</v>
      </c>
      <c r="Q482" s="114">
        <v>1323</v>
      </c>
      <c r="R482" s="13" t="s">
        <v>25</v>
      </c>
      <c r="S482" s="13" t="s">
        <v>25</v>
      </c>
      <c r="T482" s="13" t="s">
        <v>25</v>
      </c>
    </row>
    <row r="483" spans="1:20" x14ac:dyDescent="0.3">
      <c r="A483" s="14">
        <v>43907.708333333336</v>
      </c>
      <c r="B483" s="13" t="s">
        <v>22</v>
      </c>
      <c r="C483" s="114">
        <v>2</v>
      </c>
      <c r="D483" s="13" t="s">
        <v>60</v>
      </c>
      <c r="E483" s="114">
        <v>4573750286</v>
      </c>
      <c r="F483" s="114">
        <v>7320149366</v>
      </c>
      <c r="G483" s="114">
        <v>35</v>
      </c>
      <c r="H483" s="114">
        <v>6</v>
      </c>
      <c r="I483" s="114">
        <v>41</v>
      </c>
      <c r="J483" s="114">
        <v>93</v>
      </c>
      <c r="K483" s="114">
        <v>134</v>
      </c>
      <c r="L483" s="114">
        <v>31</v>
      </c>
      <c r="M483" s="114">
        <v>31</v>
      </c>
      <c r="N483" s="114">
        <v>0</v>
      </c>
      <c r="O483" s="114">
        <v>2</v>
      </c>
      <c r="P483" s="114">
        <v>136</v>
      </c>
      <c r="Q483" s="114">
        <v>398</v>
      </c>
      <c r="R483" s="13" t="s">
        <v>25</v>
      </c>
      <c r="S483" s="13" t="s">
        <v>25</v>
      </c>
      <c r="T483" s="13" t="s">
        <v>25</v>
      </c>
    </row>
    <row r="484" spans="1:20" x14ac:dyDescent="0.3">
      <c r="A484" s="14">
        <v>43907.708333333336</v>
      </c>
      <c r="B484" s="13" t="s">
        <v>22</v>
      </c>
      <c r="C484" s="114">
        <v>5</v>
      </c>
      <c r="D484" s="13" t="s">
        <v>61</v>
      </c>
      <c r="E484" s="114">
        <v>4543490485</v>
      </c>
      <c r="F484" s="114">
        <v>1233845213</v>
      </c>
      <c r="G484" s="114">
        <v>548</v>
      </c>
      <c r="H484" s="114">
        <v>171</v>
      </c>
      <c r="I484" s="114">
        <v>719</v>
      </c>
      <c r="J484" s="114">
        <v>1769</v>
      </c>
      <c r="K484" s="114">
        <v>2488</v>
      </c>
      <c r="L484" s="114">
        <v>214</v>
      </c>
      <c r="M484" s="114">
        <v>231</v>
      </c>
      <c r="N484" s="114">
        <v>136</v>
      </c>
      <c r="O484" s="114">
        <v>80</v>
      </c>
      <c r="P484" s="114">
        <v>2704</v>
      </c>
      <c r="Q484" s="114">
        <v>35478</v>
      </c>
      <c r="R484" s="13" t="s">
        <v>25</v>
      </c>
      <c r="S484" s="13" t="s">
        <v>25</v>
      </c>
      <c r="T484" s="13" t="s">
        <v>25</v>
      </c>
    </row>
    <row r="485" spans="1:20" x14ac:dyDescent="0.3">
      <c r="A485" s="14">
        <v>43908.708333333336</v>
      </c>
      <c r="B485" s="13" t="s">
        <v>22</v>
      </c>
      <c r="C485" s="114">
        <v>13</v>
      </c>
      <c r="D485" s="13" t="s">
        <v>42</v>
      </c>
      <c r="E485" s="114">
        <v>4235122196</v>
      </c>
      <c r="F485" s="114">
        <v>1339843823</v>
      </c>
      <c r="G485" s="114">
        <v>99</v>
      </c>
      <c r="H485" s="114">
        <v>41</v>
      </c>
      <c r="I485" s="114">
        <v>140</v>
      </c>
      <c r="J485" s="114">
        <v>109</v>
      </c>
      <c r="K485" s="114">
        <v>249</v>
      </c>
      <c r="L485" s="114">
        <v>33</v>
      </c>
      <c r="M485" s="114">
        <v>34</v>
      </c>
      <c r="N485" s="114">
        <v>7</v>
      </c>
      <c r="O485" s="114">
        <v>7</v>
      </c>
      <c r="P485" s="114">
        <v>263</v>
      </c>
      <c r="Q485" s="114">
        <v>2054</v>
      </c>
      <c r="R485" s="13" t="s">
        <v>25</v>
      </c>
      <c r="S485" s="13" t="s">
        <v>25</v>
      </c>
      <c r="T485" s="13" t="s">
        <v>25</v>
      </c>
    </row>
    <row r="486" spans="1:20" x14ac:dyDescent="0.3">
      <c r="A486" s="14">
        <v>43908.708333333336</v>
      </c>
      <c r="B486" s="13" t="s">
        <v>22</v>
      </c>
      <c r="C486" s="114">
        <v>17</v>
      </c>
      <c r="D486" s="13" t="s">
        <v>43</v>
      </c>
      <c r="E486" s="114">
        <v>4063947052</v>
      </c>
      <c r="F486" s="114">
        <v>1580514834</v>
      </c>
      <c r="G486" s="114">
        <v>9</v>
      </c>
      <c r="H486" s="114">
        <v>2</v>
      </c>
      <c r="I486" s="114">
        <v>11</v>
      </c>
      <c r="J486" s="114">
        <v>16</v>
      </c>
      <c r="K486" s="114">
        <v>27</v>
      </c>
      <c r="L486" s="114">
        <v>7</v>
      </c>
      <c r="M486" s="114">
        <v>7</v>
      </c>
      <c r="N486" s="114">
        <v>0</v>
      </c>
      <c r="O486" s="114">
        <v>0</v>
      </c>
      <c r="P486" s="114">
        <v>27</v>
      </c>
      <c r="Q486" s="114">
        <v>262</v>
      </c>
      <c r="R486" s="13" t="s">
        <v>25</v>
      </c>
      <c r="S486" s="13" t="s">
        <v>25</v>
      </c>
      <c r="T486" s="13" t="s">
        <v>25</v>
      </c>
    </row>
    <row r="487" spans="1:20" x14ac:dyDescent="0.3">
      <c r="A487" s="14">
        <v>43908.708333333336</v>
      </c>
      <c r="B487" s="13" t="s">
        <v>22</v>
      </c>
      <c r="C487" s="114">
        <v>4</v>
      </c>
      <c r="D487" s="13" t="s">
        <v>44</v>
      </c>
      <c r="E487" s="114">
        <v>4649933453</v>
      </c>
      <c r="F487" s="114">
        <v>1135662422</v>
      </c>
      <c r="G487" s="114">
        <v>79</v>
      </c>
      <c r="H487" s="114">
        <v>18</v>
      </c>
      <c r="I487" s="114">
        <v>97</v>
      </c>
      <c r="J487" s="114">
        <v>269</v>
      </c>
      <c r="K487" s="114">
        <v>366</v>
      </c>
      <c r="L487" s="114">
        <v>84</v>
      </c>
      <c r="M487" s="114">
        <v>85</v>
      </c>
      <c r="N487" s="114">
        <v>1</v>
      </c>
      <c r="O487" s="114">
        <v>9</v>
      </c>
      <c r="P487" s="114">
        <v>376</v>
      </c>
      <c r="Q487" s="114">
        <v>2844</v>
      </c>
      <c r="R487" s="13" t="s">
        <v>25</v>
      </c>
      <c r="S487" s="13" t="s">
        <v>25</v>
      </c>
      <c r="T487" s="13" t="s">
        <v>25</v>
      </c>
    </row>
    <row r="488" spans="1:20" x14ac:dyDescent="0.3">
      <c r="A488" s="14">
        <v>43908.708333333336</v>
      </c>
      <c r="B488" s="13" t="s">
        <v>22</v>
      </c>
      <c r="C488" s="114">
        <v>18</v>
      </c>
      <c r="D488" s="13" t="s">
        <v>45</v>
      </c>
      <c r="E488" s="114">
        <v>3890597598</v>
      </c>
      <c r="F488" s="114">
        <v>1659440194</v>
      </c>
      <c r="G488" s="114">
        <v>45</v>
      </c>
      <c r="H488" s="114">
        <v>11</v>
      </c>
      <c r="I488" s="114">
        <v>56</v>
      </c>
      <c r="J488" s="114">
        <v>70</v>
      </c>
      <c r="K488" s="114">
        <v>126</v>
      </c>
      <c r="L488" s="114">
        <v>14</v>
      </c>
      <c r="M488" s="114">
        <v>15</v>
      </c>
      <c r="N488" s="114">
        <v>2</v>
      </c>
      <c r="O488" s="114">
        <v>1</v>
      </c>
      <c r="P488" s="114">
        <v>129</v>
      </c>
      <c r="Q488" s="114">
        <v>1668</v>
      </c>
      <c r="R488" s="13" t="s">
        <v>25</v>
      </c>
      <c r="S488" s="13" t="s">
        <v>25</v>
      </c>
      <c r="T488" s="13" t="s">
        <v>25</v>
      </c>
    </row>
    <row r="489" spans="1:20" x14ac:dyDescent="0.3">
      <c r="A489" s="14">
        <v>43908.708333333336</v>
      </c>
      <c r="B489" s="13" t="s">
        <v>22</v>
      </c>
      <c r="C489" s="114">
        <v>15</v>
      </c>
      <c r="D489" s="13" t="s">
        <v>46</v>
      </c>
      <c r="E489" s="114">
        <v>4083956555</v>
      </c>
      <c r="F489" s="114">
        <v>1425084984</v>
      </c>
      <c r="G489" s="114">
        <v>127</v>
      </c>
      <c r="H489" s="114">
        <v>24</v>
      </c>
      <c r="I489" s="114">
        <v>151</v>
      </c>
      <c r="J489" s="114">
        <v>272</v>
      </c>
      <c r="K489" s="114">
        <v>423</v>
      </c>
      <c r="L489" s="114">
        <v>0</v>
      </c>
      <c r="M489" s="114">
        <v>0</v>
      </c>
      <c r="N489" s="114">
        <v>28</v>
      </c>
      <c r="O489" s="114">
        <v>9</v>
      </c>
      <c r="P489" s="114">
        <v>460</v>
      </c>
      <c r="Q489" s="114">
        <v>2685</v>
      </c>
      <c r="R489" s="13" t="s">
        <v>25</v>
      </c>
      <c r="S489" s="13" t="s">
        <v>74</v>
      </c>
      <c r="T489" s="13" t="s">
        <v>75</v>
      </c>
    </row>
    <row r="490" spans="1:20" x14ac:dyDescent="0.3">
      <c r="A490" s="14">
        <v>43908.708333333336</v>
      </c>
      <c r="B490" s="13" t="s">
        <v>22</v>
      </c>
      <c r="C490" s="114">
        <v>8</v>
      </c>
      <c r="D490" s="13" t="s">
        <v>96</v>
      </c>
      <c r="E490" s="114">
        <v>4449436681</v>
      </c>
      <c r="F490" s="114">
        <v>113417208</v>
      </c>
      <c r="G490" s="114">
        <v>1784</v>
      </c>
      <c r="H490" s="114">
        <v>247</v>
      </c>
      <c r="I490" s="114">
        <v>2031</v>
      </c>
      <c r="J490" s="114">
        <v>1884</v>
      </c>
      <c r="K490" s="114">
        <v>3915</v>
      </c>
      <c r="L490" s="114">
        <v>511</v>
      </c>
      <c r="M490" s="114">
        <v>594</v>
      </c>
      <c r="N490" s="114">
        <v>152</v>
      </c>
      <c r="O490" s="114">
        <v>458</v>
      </c>
      <c r="P490" s="114">
        <v>4525</v>
      </c>
      <c r="Q490" s="114">
        <v>15461</v>
      </c>
      <c r="R490" s="13" t="s">
        <v>25</v>
      </c>
      <c r="S490" s="13" t="s">
        <v>76</v>
      </c>
      <c r="T490" s="13" t="s">
        <v>77</v>
      </c>
    </row>
    <row r="491" spans="1:20" x14ac:dyDescent="0.3">
      <c r="A491" s="14">
        <v>43908.708333333336</v>
      </c>
      <c r="B491" s="13" t="s">
        <v>22</v>
      </c>
      <c r="C491" s="114">
        <v>6</v>
      </c>
      <c r="D491" s="13" t="s">
        <v>47</v>
      </c>
      <c r="E491" s="114">
        <v>456494354</v>
      </c>
      <c r="F491" s="114">
        <v>1376813649</v>
      </c>
      <c r="G491" s="114">
        <v>128</v>
      </c>
      <c r="H491" s="114">
        <v>27</v>
      </c>
      <c r="I491" s="114">
        <v>155</v>
      </c>
      <c r="J491" s="114">
        <v>261</v>
      </c>
      <c r="K491" s="114">
        <v>416</v>
      </c>
      <c r="L491" s="114">
        <v>69</v>
      </c>
      <c r="M491" s="114">
        <v>68</v>
      </c>
      <c r="N491" s="114">
        <v>15</v>
      </c>
      <c r="O491" s="114">
        <v>31</v>
      </c>
      <c r="P491" s="114">
        <v>462</v>
      </c>
      <c r="Q491" s="114">
        <v>4958</v>
      </c>
      <c r="R491" s="13" t="s">
        <v>25</v>
      </c>
      <c r="S491" s="13" t="s">
        <v>25</v>
      </c>
      <c r="T491" s="13" t="s">
        <v>25</v>
      </c>
    </row>
    <row r="492" spans="1:20" x14ac:dyDescent="0.3">
      <c r="A492" s="14">
        <v>43908.708333333336</v>
      </c>
      <c r="B492" s="13" t="s">
        <v>22</v>
      </c>
      <c r="C492" s="114">
        <v>12</v>
      </c>
      <c r="D492" s="13" t="s">
        <v>48</v>
      </c>
      <c r="E492" s="114">
        <v>4189277044</v>
      </c>
      <c r="F492" s="114">
        <v>1248366722</v>
      </c>
      <c r="G492" s="114">
        <v>374</v>
      </c>
      <c r="H492" s="114">
        <v>44</v>
      </c>
      <c r="I492" s="114">
        <v>418</v>
      </c>
      <c r="J492" s="114">
        <v>232</v>
      </c>
      <c r="K492" s="114">
        <v>650</v>
      </c>
      <c r="L492" s="114">
        <v>100</v>
      </c>
      <c r="M492" s="114">
        <v>117</v>
      </c>
      <c r="N492" s="114">
        <v>42</v>
      </c>
      <c r="O492" s="114">
        <v>32</v>
      </c>
      <c r="P492" s="114">
        <v>724</v>
      </c>
      <c r="Q492" s="114">
        <v>11145</v>
      </c>
      <c r="R492" s="13" t="s">
        <v>25</v>
      </c>
      <c r="S492" s="13" t="s">
        <v>25</v>
      </c>
      <c r="T492" s="13" t="s">
        <v>25</v>
      </c>
    </row>
    <row r="493" spans="1:20" x14ac:dyDescent="0.3">
      <c r="A493" s="14">
        <v>43908.708333333336</v>
      </c>
      <c r="B493" s="13" t="s">
        <v>22</v>
      </c>
      <c r="C493" s="114">
        <v>7</v>
      </c>
      <c r="D493" s="13" t="s">
        <v>49</v>
      </c>
      <c r="E493" s="114">
        <v>4441149315</v>
      </c>
      <c r="F493" s="114">
        <v>89326992</v>
      </c>
      <c r="G493" s="114">
        <v>401</v>
      </c>
      <c r="H493" s="114">
        <v>100</v>
      </c>
      <c r="I493" s="114">
        <v>501</v>
      </c>
      <c r="J493" s="114">
        <v>243</v>
      </c>
      <c r="K493" s="114">
        <v>744</v>
      </c>
      <c r="L493" s="114">
        <v>83</v>
      </c>
      <c r="M493" s="114">
        <v>109</v>
      </c>
      <c r="N493" s="114">
        <v>70</v>
      </c>
      <c r="O493" s="114">
        <v>73</v>
      </c>
      <c r="P493" s="114">
        <v>887</v>
      </c>
      <c r="Q493" s="114">
        <v>2912</v>
      </c>
      <c r="R493" s="13" t="s">
        <v>25</v>
      </c>
      <c r="S493" s="13" t="s">
        <v>25</v>
      </c>
      <c r="T493" s="13" t="s">
        <v>25</v>
      </c>
    </row>
    <row r="494" spans="1:20" x14ac:dyDescent="0.3">
      <c r="A494" s="14">
        <v>43908.708333333336</v>
      </c>
      <c r="B494" s="13" t="s">
        <v>22</v>
      </c>
      <c r="C494" s="114">
        <v>3</v>
      </c>
      <c r="D494" s="13" t="s">
        <v>50</v>
      </c>
      <c r="E494" s="114">
        <v>4546679409</v>
      </c>
      <c r="F494" s="114">
        <v>9190347404</v>
      </c>
      <c r="G494" s="114">
        <v>7285</v>
      </c>
      <c r="H494" s="114">
        <v>924</v>
      </c>
      <c r="I494" s="114">
        <v>8209</v>
      </c>
      <c r="J494" s="114">
        <v>4057</v>
      </c>
      <c r="K494" s="114">
        <v>12266</v>
      </c>
      <c r="L494" s="114">
        <v>171</v>
      </c>
      <c r="M494" s="114">
        <v>1493</v>
      </c>
      <c r="N494" s="114">
        <v>3488</v>
      </c>
      <c r="O494" s="114">
        <v>1959</v>
      </c>
      <c r="P494" s="114">
        <v>17713</v>
      </c>
      <c r="Q494" s="114">
        <v>48983</v>
      </c>
      <c r="R494" s="13" t="s">
        <v>25</v>
      </c>
      <c r="S494" s="13" t="s">
        <v>25</v>
      </c>
      <c r="T494" s="13" t="s">
        <v>25</v>
      </c>
    </row>
    <row r="495" spans="1:20" x14ac:dyDescent="0.3">
      <c r="A495" s="14">
        <v>43908.708333333336</v>
      </c>
      <c r="B495" s="13" t="s">
        <v>22</v>
      </c>
      <c r="C495" s="114">
        <v>11</v>
      </c>
      <c r="D495" s="13" t="s">
        <v>51</v>
      </c>
      <c r="E495" s="114">
        <v>4361675973</v>
      </c>
      <c r="F495" s="114">
        <v>135188753</v>
      </c>
      <c r="G495" s="114">
        <v>638</v>
      </c>
      <c r="H495" s="114">
        <v>119</v>
      </c>
      <c r="I495" s="114">
        <v>757</v>
      </c>
      <c r="J495" s="114">
        <v>719</v>
      </c>
      <c r="K495" s="114">
        <v>1476</v>
      </c>
      <c r="L495" s="114">
        <v>174</v>
      </c>
      <c r="M495" s="114">
        <v>197</v>
      </c>
      <c r="N495" s="114">
        <v>0</v>
      </c>
      <c r="O495" s="114">
        <v>92</v>
      </c>
      <c r="P495" s="114">
        <v>1568</v>
      </c>
      <c r="Q495" s="114">
        <v>4109</v>
      </c>
      <c r="R495" s="13" t="s">
        <v>25</v>
      </c>
      <c r="S495" s="13" t="s">
        <v>25</v>
      </c>
      <c r="T495" s="13" t="s">
        <v>25</v>
      </c>
    </row>
    <row r="496" spans="1:20" x14ac:dyDescent="0.3">
      <c r="A496" s="14">
        <v>43908.708333333336</v>
      </c>
      <c r="B496" s="13" t="s">
        <v>22</v>
      </c>
      <c r="C496" s="114">
        <v>14</v>
      </c>
      <c r="D496" s="13" t="s">
        <v>52</v>
      </c>
      <c r="E496" s="114">
        <v>4155774754</v>
      </c>
      <c r="F496" s="114">
        <v>1465916051</v>
      </c>
      <c r="G496" s="114">
        <v>7</v>
      </c>
      <c r="H496" s="114">
        <v>6</v>
      </c>
      <c r="I496" s="114">
        <v>13</v>
      </c>
      <c r="J496" s="114">
        <v>8</v>
      </c>
      <c r="K496" s="114">
        <v>21</v>
      </c>
      <c r="L496" s="114">
        <v>2</v>
      </c>
      <c r="M496" s="114">
        <v>3</v>
      </c>
      <c r="N496" s="114">
        <v>6</v>
      </c>
      <c r="O496" s="114">
        <v>1</v>
      </c>
      <c r="P496" s="114">
        <v>28</v>
      </c>
      <c r="Q496" s="114">
        <v>361</v>
      </c>
      <c r="R496" s="13" t="s">
        <v>25</v>
      </c>
      <c r="S496" s="13" t="s">
        <v>25</v>
      </c>
      <c r="T496" s="13" t="s">
        <v>25</v>
      </c>
    </row>
    <row r="497" spans="1:20" x14ac:dyDescent="0.3">
      <c r="A497" s="14">
        <v>43908.708333333336</v>
      </c>
      <c r="B497" s="13" t="s">
        <v>22</v>
      </c>
      <c r="C497" s="114">
        <v>1</v>
      </c>
      <c r="D497" s="13" t="s">
        <v>53</v>
      </c>
      <c r="E497" s="114">
        <v>450732745</v>
      </c>
      <c r="F497" s="114">
        <v>7680687483</v>
      </c>
      <c r="G497" s="114">
        <v>1780</v>
      </c>
      <c r="H497" s="114">
        <v>227</v>
      </c>
      <c r="I497" s="114">
        <v>2007</v>
      </c>
      <c r="J497" s="114">
        <v>180</v>
      </c>
      <c r="K497" s="114">
        <v>2187</v>
      </c>
      <c r="L497" s="114">
        <v>423</v>
      </c>
      <c r="M497" s="114">
        <v>444</v>
      </c>
      <c r="N497" s="114">
        <v>0</v>
      </c>
      <c r="O497" s="114">
        <v>154</v>
      </c>
      <c r="P497" s="114">
        <v>2341</v>
      </c>
      <c r="Q497" s="114">
        <v>7516</v>
      </c>
      <c r="R497" s="13" t="s">
        <v>25</v>
      </c>
      <c r="S497" s="13" t="s">
        <v>25</v>
      </c>
      <c r="T497" s="13" t="s">
        <v>25</v>
      </c>
    </row>
    <row r="498" spans="1:20" x14ac:dyDescent="0.3">
      <c r="A498" s="14">
        <v>43908.708333333336</v>
      </c>
      <c r="B498" s="13" t="s">
        <v>22</v>
      </c>
      <c r="C498" s="114">
        <v>16</v>
      </c>
      <c r="D498" s="13" t="s">
        <v>54</v>
      </c>
      <c r="E498" s="114">
        <v>4112559576</v>
      </c>
      <c r="F498" s="114">
        <v>1686736689</v>
      </c>
      <c r="G498" s="114">
        <v>156</v>
      </c>
      <c r="H498" s="114">
        <v>30</v>
      </c>
      <c r="I498" s="114">
        <v>186</v>
      </c>
      <c r="J498" s="114">
        <v>176</v>
      </c>
      <c r="K498" s="114">
        <v>362</v>
      </c>
      <c r="L498" s="114">
        <v>42</v>
      </c>
      <c r="M498" s="114">
        <v>43</v>
      </c>
      <c r="N498" s="114">
        <v>2</v>
      </c>
      <c r="O498" s="114">
        <v>19</v>
      </c>
      <c r="P498" s="114">
        <v>383</v>
      </c>
      <c r="Q498" s="114">
        <v>3433</v>
      </c>
      <c r="R498" s="13" t="s">
        <v>25</v>
      </c>
      <c r="S498" s="13" t="s">
        <v>25</v>
      </c>
      <c r="T498" s="13" t="s">
        <v>25</v>
      </c>
    </row>
    <row r="499" spans="1:20" x14ac:dyDescent="0.3">
      <c r="A499" s="14">
        <v>43908.708333333336</v>
      </c>
      <c r="B499" s="13" t="s">
        <v>22</v>
      </c>
      <c r="C499" s="114">
        <v>20</v>
      </c>
      <c r="D499" s="13" t="s">
        <v>55</v>
      </c>
      <c r="E499" s="114">
        <v>3921531192</v>
      </c>
      <c r="F499" s="114">
        <v>9110616306</v>
      </c>
      <c r="G499" s="114">
        <v>42</v>
      </c>
      <c r="H499" s="114">
        <v>7</v>
      </c>
      <c r="I499" s="114">
        <v>49</v>
      </c>
      <c r="J499" s="114">
        <v>83</v>
      </c>
      <c r="K499" s="114">
        <v>132</v>
      </c>
      <c r="L499" s="114">
        <v>17</v>
      </c>
      <c r="M499" s="114">
        <v>17</v>
      </c>
      <c r="N499" s="114">
        <v>0</v>
      </c>
      <c r="O499" s="114">
        <v>2</v>
      </c>
      <c r="P499" s="114">
        <v>134</v>
      </c>
      <c r="Q499" s="114">
        <v>1135</v>
      </c>
      <c r="R499" s="13" t="s">
        <v>25</v>
      </c>
      <c r="S499" s="13" t="s">
        <v>25</v>
      </c>
      <c r="T499" s="13" t="s">
        <v>25</v>
      </c>
    </row>
    <row r="500" spans="1:20" x14ac:dyDescent="0.3">
      <c r="A500" s="14">
        <v>43908.708333333336</v>
      </c>
      <c r="B500" s="13" t="s">
        <v>22</v>
      </c>
      <c r="C500" s="114">
        <v>19</v>
      </c>
      <c r="D500" s="13" t="s">
        <v>56</v>
      </c>
      <c r="E500" s="114">
        <v>3811569725</v>
      </c>
      <c r="F500" s="114">
        <v>133623567</v>
      </c>
      <c r="G500" s="114">
        <v>100</v>
      </c>
      <c r="H500" s="114">
        <v>29</v>
      </c>
      <c r="I500" s="114">
        <v>129</v>
      </c>
      <c r="J500" s="114">
        <v>138</v>
      </c>
      <c r="K500" s="114">
        <v>267</v>
      </c>
      <c r="L500" s="114">
        <v>41</v>
      </c>
      <c r="M500" s="114">
        <v>45</v>
      </c>
      <c r="N500" s="114">
        <v>12</v>
      </c>
      <c r="O500" s="114">
        <v>3</v>
      </c>
      <c r="P500" s="114">
        <v>282</v>
      </c>
      <c r="Q500" s="114">
        <v>3294</v>
      </c>
      <c r="R500" s="13" t="s">
        <v>25</v>
      </c>
      <c r="S500" s="13" t="s">
        <v>25</v>
      </c>
      <c r="T500" s="13" t="s">
        <v>25</v>
      </c>
    </row>
    <row r="501" spans="1:20" x14ac:dyDescent="0.3">
      <c r="A501" s="14">
        <v>43908.708333333336</v>
      </c>
      <c r="B501" s="13" t="s">
        <v>22</v>
      </c>
      <c r="C501" s="114">
        <v>9</v>
      </c>
      <c r="D501" s="13" t="s">
        <v>57</v>
      </c>
      <c r="E501" s="114">
        <v>4376923077</v>
      </c>
      <c r="F501" s="114">
        <v>1125588885</v>
      </c>
      <c r="G501" s="114">
        <v>427</v>
      </c>
      <c r="H501" s="114">
        <v>160</v>
      </c>
      <c r="I501" s="114">
        <v>587</v>
      </c>
      <c r="J501" s="114">
        <v>704</v>
      </c>
      <c r="K501" s="114">
        <v>1291</v>
      </c>
      <c r="L501" s="114">
        <v>267</v>
      </c>
      <c r="M501" s="114">
        <v>277</v>
      </c>
      <c r="N501" s="114">
        <v>17</v>
      </c>
      <c r="O501" s="114">
        <v>22</v>
      </c>
      <c r="P501" s="114">
        <v>1330</v>
      </c>
      <c r="Q501" s="114">
        <v>7606</v>
      </c>
      <c r="R501" s="13" t="s">
        <v>25</v>
      </c>
      <c r="S501" s="13" t="s">
        <v>25</v>
      </c>
      <c r="T501" s="13" t="s">
        <v>25</v>
      </c>
    </row>
    <row r="502" spans="1:20" x14ac:dyDescent="0.3">
      <c r="A502" s="14">
        <v>43908.708333333336</v>
      </c>
      <c r="B502" s="13" t="s">
        <v>22</v>
      </c>
      <c r="C502" s="114">
        <v>4</v>
      </c>
      <c r="D502" s="13" t="s">
        <v>58</v>
      </c>
      <c r="E502" s="114">
        <v>4606893511</v>
      </c>
      <c r="F502" s="114">
        <v>1112123097</v>
      </c>
      <c r="G502" s="114">
        <v>141</v>
      </c>
      <c r="H502" s="114">
        <v>22</v>
      </c>
      <c r="I502" s="114">
        <v>163</v>
      </c>
      <c r="J502" s="114">
        <v>273</v>
      </c>
      <c r="K502" s="114">
        <v>436</v>
      </c>
      <c r="L502" s="114">
        <v>68</v>
      </c>
      <c r="M502" s="114">
        <v>70</v>
      </c>
      <c r="N502" s="114">
        <v>12</v>
      </c>
      <c r="O502" s="114">
        <v>7</v>
      </c>
      <c r="P502" s="114">
        <v>455</v>
      </c>
      <c r="Q502" s="114">
        <v>2187</v>
      </c>
      <c r="R502" s="13" t="s">
        <v>25</v>
      </c>
      <c r="S502" s="13" t="s">
        <v>25</v>
      </c>
      <c r="T502" s="13" t="s">
        <v>25</v>
      </c>
    </row>
    <row r="503" spans="1:20" x14ac:dyDescent="0.3">
      <c r="A503" s="14">
        <v>43908.708333333336</v>
      </c>
      <c r="B503" s="13" t="s">
        <v>22</v>
      </c>
      <c r="C503" s="114">
        <v>10</v>
      </c>
      <c r="D503" s="13" t="s">
        <v>59</v>
      </c>
      <c r="E503" s="114">
        <v>4310675841</v>
      </c>
      <c r="F503" s="114">
        <v>1238824698</v>
      </c>
      <c r="G503" s="114">
        <v>54</v>
      </c>
      <c r="H503" s="114">
        <v>21</v>
      </c>
      <c r="I503" s="114">
        <v>75</v>
      </c>
      <c r="J503" s="114">
        <v>166</v>
      </c>
      <c r="K503" s="114">
        <v>241</v>
      </c>
      <c r="L503" s="114">
        <v>49</v>
      </c>
      <c r="M503" s="114">
        <v>50</v>
      </c>
      <c r="N503" s="114">
        <v>4</v>
      </c>
      <c r="O503" s="114">
        <v>2</v>
      </c>
      <c r="P503" s="114">
        <v>247</v>
      </c>
      <c r="Q503" s="114">
        <v>1601</v>
      </c>
      <c r="R503" s="13" t="s">
        <v>25</v>
      </c>
      <c r="S503" s="13" t="s">
        <v>25</v>
      </c>
      <c r="T503" s="13" t="s">
        <v>25</v>
      </c>
    </row>
    <row r="504" spans="1:20" x14ac:dyDescent="0.3">
      <c r="A504" s="14">
        <v>43908.708333333336</v>
      </c>
      <c r="B504" s="13" t="s">
        <v>22</v>
      </c>
      <c r="C504" s="114">
        <v>2</v>
      </c>
      <c r="D504" s="13" t="s">
        <v>60</v>
      </c>
      <c r="E504" s="114">
        <v>4573750286</v>
      </c>
      <c r="F504" s="114">
        <v>7320149366</v>
      </c>
      <c r="G504" s="114">
        <v>41</v>
      </c>
      <c r="H504" s="114">
        <v>3</v>
      </c>
      <c r="I504" s="114">
        <v>44</v>
      </c>
      <c r="J504" s="114">
        <v>118</v>
      </c>
      <c r="K504" s="114">
        <v>162</v>
      </c>
      <c r="L504" s="114">
        <v>28</v>
      </c>
      <c r="M504" s="114">
        <v>29</v>
      </c>
      <c r="N504" s="114">
        <v>0</v>
      </c>
      <c r="O504" s="114">
        <v>3</v>
      </c>
      <c r="P504" s="114">
        <v>165</v>
      </c>
      <c r="Q504" s="114">
        <v>486</v>
      </c>
      <c r="R504" s="13" t="s">
        <v>25</v>
      </c>
      <c r="S504" s="13" t="s">
        <v>25</v>
      </c>
      <c r="T504" s="13" t="s">
        <v>25</v>
      </c>
    </row>
    <row r="505" spans="1:20" x14ac:dyDescent="0.3">
      <c r="A505" s="14">
        <v>43908.708333333336</v>
      </c>
      <c r="B505" s="13" t="s">
        <v>22</v>
      </c>
      <c r="C505" s="114">
        <v>5</v>
      </c>
      <c r="D505" s="13" t="s">
        <v>61</v>
      </c>
      <c r="E505" s="114">
        <v>4543490485</v>
      </c>
      <c r="F505" s="114">
        <v>1233845213</v>
      </c>
      <c r="G505" s="114">
        <v>646</v>
      </c>
      <c r="H505" s="114">
        <v>195</v>
      </c>
      <c r="I505" s="114">
        <v>841</v>
      </c>
      <c r="J505" s="114">
        <v>2112</v>
      </c>
      <c r="K505" s="114">
        <v>2953</v>
      </c>
      <c r="L505" s="114">
        <v>465</v>
      </c>
      <c r="M505" s="114">
        <v>510</v>
      </c>
      <c r="N505" s="114">
        <v>167</v>
      </c>
      <c r="O505" s="114">
        <v>94</v>
      </c>
      <c r="P505" s="114">
        <v>3214</v>
      </c>
      <c r="Q505" s="114">
        <v>40841</v>
      </c>
      <c r="R505" s="13" t="s">
        <v>25</v>
      </c>
      <c r="S505" s="13" t="s">
        <v>25</v>
      </c>
      <c r="T505" s="13" t="s">
        <v>25</v>
      </c>
    </row>
    <row r="506" spans="1:20" x14ac:dyDescent="0.3">
      <c r="A506" s="14">
        <v>43909.708333333336</v>
      </c>
      <c r="B506" s="13" t="s">
        <v>22</v>
      </c>
      <c r="C506" s="114">
        <v>13</v>
      </c>
      <c r="D506" s="13" t="s">
        <v>42</v>
      </c>
      <c r="E506" s="114">
        <v>4235122196</v>
      </c>
      <c r="F506" s="114">
        <v>1339843823</v>
      </c>
      <c r="G506" s="114">
        <v>181</v>
      </c>
      <c r="H506" s="114">
        <v>47</v>
      </c>
      <c r="I506" s="114">
        <v>228</v>
      </c>
      <c r="J506" s="114">
        <v>138</v>
      </c>
      <c r="K506" s="114">
        <v>366</v>
      </c>
      <c r="L506" s="114">
        <v>117</v>
      </c>
      <c r="M506" s="114">
        <v>122</v>
      </c>
      <c r="N506" s="114">
        <v>8</v>
      </c>
      <c r="O506" s="114">
        <v>11</v>
      </c>
      <c r="P506" s="114">
        <v>385</v>
      </c>
      <c r="Q506" s="114">
        <v>2409</v>
      </c>
      <c r="R506" s="13" t="s">
        <v>25</v>
      </c>
      <c r="S506" s="13" t="s">
        <v>25</v>
      </c>
      <c r="T506" s="13" t="s">
        <v>25</v>
      </c>
    </row>
    <row r="507" spans="1:20" x14ac:dyDescent="0.3">
      <c r="A507" s="14">
        <v>43909.708333333336</v>
      </c>
      <c r="B507" s="13" t="s">
        <v>22</v>
      </c>
      <c r="C507" s="114">
        <v>17</v>
      </c>
      <c r="D507" s="13" t="s">
        <v>43</v>
      </c>
      <c r="E507" s="114">
        <v>4063947052</v>
      </c>
      <c r="F507" s="114">
        <v>1580514834</v>
      </c>
      <c r="G507" s="114">
        <v>8</v>
      </c>
      <c r="H507" s="114">
        <v>5</v>
      </c>
      <c r="I507" s="114">
        <v>13</v>
      </c>
      <c r="J507" s="114">
        <v>24</v>
      </c>
      <c r="K507" s="114">
        <v>37</v>
      </c>
      <c r="L507" s="114">
        <v>10</v>
      </c>
      <c r="M507" s="114">
        <v>10</v>
      </c>
      <c r="N507" s="114">
        <v>0</v>
      </c>
      <c r="O507" s="114">
        <v>0</v>
      </c>
      <c r="P507" s="114">
        <v>37</v>
      </c>
      <c r="Q507" s="114">
        <v>353</v>
      </c>
      <c r="R507" s="13" t="s">
        <v>25</v>
      </c>
      <c r="S507" s="13" t="s">
        <v>25</v>
      </c>
      <c r="T507" s="13" t="s">
        <v>25</v>
      </c>
    </row>
    <row r="508" spans="1:20" x14ac:dyDescent="0.3">
      <c r="A508" s="14">
        <v>43909.708333333336</v>
      </c>
      <c r="B508" s="13" t="s">
        <v>22</v>
      </c>
      <c r="C508" s="114">
        <v>4</v>
      </c>
      <c r="D508" s="13" t="s">
        <v>44</v>
      </c>
      <c r="E508" s="114">
        <v>4649933453</v>
      </c>
      <c r="F508" s="114">
        <v>1135662422</v>
      </c>
      <c r="G508" s="114">
        <v>87</v>
      </c>
      <c r="H508" s="114">
        <v>18</v>
      </c>
      <c r="I508" s="114">
        <v>105</v>
      </c>
      <c r="J508" s="114">
        <v>316</v>
      </c>
      <c r="K508" s="114">
        <v>421</v>
      </c>
      <c r="L508" s="114">
        <v>55</v>
      </c>
      <c r="M508" s="114">
        <v>60</v>
      </c>
      <c r="N508" s="114">
        <v>1</v>
      </c>
      <c r="O508" s="114">
        <v>14</v>
      </c>
      <c r="P508" s="114">
        <v>436</v>
      </c>
      <c r="Q508" s="114">
        <v>3568</v>
      </c>
      <c r="R508" s="13" t="s">
        <v>25</v>
      </c>
      <c r="S508" s="13" t="s">
        <v>25</v>
      </c>
      <c r="T508" s="13" t="s">
        <v>25</v>
      </c>
    </row>
    <row r="509" spans="1:20" x14ac:dyDescent="0.3">
      <c r="A509" s="14">
        <v>43909.708333333336</v>
      </c>
      <c r="B509" s="13" t="s">
        <v>22</v>
      </c>
      <c r="C509" s="114">
        <v>18</v>
      </c>
      <c r="D509" s="13" t="s">
        <v>45</v>
      </c>
      <c r="E509" s="114">
        <v>3890597598</v>
      </c>
      <c r="F509" s="114">
        <v>1659440194</v>
      </c>
      <c r="G509" s="114">
        <v>60</v>
      </c>
      <c r="H509" s="114">
        <v>13</v>
      </c>
      <c r="I509" s="114">
        <v>73</v>
      </c>
      <c r="J509" s="114">
        <v>91</v>
      </c>
      <c r="K509" s="114">
        <v>164</v>
      </c>
      <c r="L509" s="114">
        <v>38</v>
      </c>
      <c r="M509" s="114">
        <v>40</v>
      </c>
      <c r="N509" s="114">
        <v>2</v>
      </c>
      <c r="O509" s="114">
        <v>3</v>
      </c>
      <c r="P509" s="114">
        <v>169</v>
      </c>
      <c r="Q509" s="114">
        <v>2342</v>
      </c>
      <c r="R509" s="13" t="s">
        <v>25</v>
      </c>
      <c r="S509" s="13" t="s">
        <v>25</v>
      </c>
      <c r="T509" s="13" t="s">
        <v>25</v>
      </c>
    </row>
    <row r="510" spans="1:20" x14ac:dyDescent="0.3">
      <c r="A510" s="14">
        <v>43909.708333333336</v>
      </c>
      <c r="B510" s="13" t="s">
        <v>22</v>
      </c>
      <c r="C510" s="114">
        <v>15</v>
      </c>
      <c r="D510" s="13" t="s">
        <v>46</v>
      </c>
      <c r="E510" s="114">
        <v>4083956555</v>
      </c>
      <c r="F510" s="114">
        <v>1425084984</v>
      </c>
      <c r="G510" s="114">
        <v>213</v>
      </c>
      <c r="H510" s="114">
        <v>36</v>
      </c>
      <c r="I510" s="114">
        <v>249</v>
      </c>
      <c r="J510" s="114">
        <v>356</v>
      </c>
      <c r="K510" s="114">
        <v>605</v>
      </c>
      <c r="L510" s="114">
        <v>182</v>
      </c>
      <c r="M510" s="114">
        <v>192</v>
      </c>
      <c r="N510" s="114">
        <v>30</v>
      </c>
      <c r="O510" s="114">
        <v>17</v>
      </c>
      <c r="P510" s="114">
        <v>652</v>
      </c>
      <c r="Q510" s="114">
        <v>3544</v>
      </c>
      <c r="R510" s="13" t="s">
        <v>25</v>
      </c>
      <c r="S510" s="13" t="s">
        <v>25</v>
      </c>
      <c r="T510" s="13" t="s">
        <v>25</v>
      </c>
    </row>
    <row r="511" spans="1:20" x14ac:dyDescent="0.3">
      <c r="A511" s="14">
        <v>43909.708333333336</v>
      </c>
      <c r="B511" s="13" t="s">
        <v>22</v>
      </c>
      <c r="C511" s="114">
        <v>8</v>
      </c>
      <c r="D511" s="13" t="s">
        <v>96</v>
      </c>
      <c r="E511" s="114">
        <v>4449436681</v>
      </c>
      <c r="F511" s="114">
        <v>113417208</v>
      </c>
      <c r="G511" s="114">
        <v>1900</v>
      </c>
      <c r="H511" s="114">
        <v>260</v>
      </c>
      <c r="I511" s="114">
        <v>2160</v>
      </c>
      <c r="J511" s="114">
        <v>2346</v>
      </c>
      <c r="K511" s="114">
        <v>4506</v>
      </c>
      <c r="L511" s="114">
        <v>591</v>
      </c>
      <c r="M511" s="114">
        <v>689</v>
      </c>
      <c r="N511" s="114">
        <v>177</v>
      </c>
      <c r="O511" s="114">
        <v>531</v>
      </c>
      <c r="P511" s="114">
        <v>5214</v>
      </c>
      <c r="Q511" s="114">
        <v>18344</v>
      </c>
      <c r="R511" s="13" t="s">
        <v>25</v>
      </c>
      <c r="S511" s="13" t="s">
        <v>25</v>
      </c>
      <c r="T511" s="13" t="s">
        <v>25</v>
      </c>
    </row>
    <row r="512" spans="1:20" x14ac:dyDescent="0.3">
      <c r="A512" s="14">
        <v>43909.708333333336</v>
      </c>
      <c r="B512" s="13" t="s">
        <v>22</v>
      </c>
      <c r="C512" s="114">
        <v>6</v>
      </c>
      <c r="D512" s="13" t="s">
        <v>47</v>
      </c>
      <c r="E512" s="114">
        <v>456494354</v>
      </c>
      <c r="F512" s="114">
        <v>1376813649</v>
      </c>
      <c r="G512" s="114">
        <v>134</v>
      </c>
      <c r="H512" s="114">
        <v>29</v>
      </c>
      <c r="I512" s="114">
        <v>163</v>
      </c>
      <c r="J512" s="114">
        <v>359</v>
      </c>
      <c r="K512" s="114">
        <v>522</v>
      </c>
      <c r="L512" s="114">
        <v>106</v>
      </c>
      <c r="M512" s="114">
        <v>137</v>
      </c>
      <c r="N512" s="114">
        <v>41</v>
      </c>
      <c r="O512" s="114">
        <v>36</v>
      </c>
      <c r="P512" s="114">
        <v>599</v>
      </c>
      <c r="Q512" s="114">
        <v>4052</v>
      </c>
      <c r="R512" s="13" t="s">
        <v>25</v>
      </c>
      <c r="S512" s="13" t="s">
        <v>25</v>
      </c>
      <c r="T512" s="13" t="s">
        <v>25</v>
      </c>
    </row>
    <row r="513" spans="1:20" x14ac:dyDescent="0.3">
      <c r="A513" s="14">
        <v>43909.708333333336</v>
      </c>
      <c r="B513" s="13" t="s">
        <v>22</v>
      </c>
      <c r="C513" s="114">
        <v>12</v>
      </c>
      <c r="D513" s="13" t="s">
        <v>48</v>
      </c>
      <c r="E513" s="114">
        <v>4189277044</v>
      </c>
      <c r="F513" s="114">
        <v>1248366722</v>
      </c>
      <c r="G513" s="114">
        <v>426</v>
      </c>
      <c r="H513" s="114">
        <v>45</v>
      </c>
      <c r="I513" s="114">
        <v>471</v>
      </c>
      <c r="J513" s="114">
        <v>270</v>
      </c>
      <c r="K513" s="114">
        <v>741</v>
      </c>
      <c r="L513" s="114">
        <v>91</v>
      </c>
      <c r="M513" s="114">
        <v>99</v>
      </c>
      <c r="N513" s="114">
        <v>44</v>
      </c>
      <c r="O513" s="114">
        <v>38</v>
      </c>
      <c r="P513" s="114">
        <v>823</v>
      </c>
      <c r="Q513" s="114">
        <v>11145</v>
      </c>
      <c r="R513" s="13" t="s">
        <v>25</v>
      </c>
      <c r="S513" s="13" t="s">
        <v>25</v>
      </c>
      <c r="T513" s="13" t="s">
        <v>25</v>
      </c>
    </row>
    <row r="514" spans="1:20" x14ac:dyDescent="0.3">
      <c r="A514" s="14">
        <v>43909.708333333336</v>
      </c>
      <c r="B514" s="13" t="s">
        <v>22</v>
      </c>
      <c r="C514" s="114">
        <v>7</v>
      </c>
      <c r="D514" s="13" t="s">
        <v>49</v>
      </c>
      <c r="E514" s="114">
        <v>4441149315</v>
      </c>
      <c r="F514" s="114">
        <v>89326992</v>
      </c>
      <c r="G514" s="114">
        <v>491</v>
      </c>
      <c r="H514" s="114">
        <v>112</v>
      </c>
      <c r="I514" s="114">
        <v>603</v>
      </c>
      <c r="J514" s="114">
        <v>280</v>
      </c>
      <c r="K514" s="114">
        <v>883</v>
      </c>
      <c r="L514" s="114">
        <v>139</v>
      </c>
      <c r="M514" s="114">
        <v>172</v>
      </c>
      <c r="N514" s="114">
        <v>85</v>
      </c>
      <c r="O514" s="114">
        <v>91</v>
      </c>
      <c r="P514" s="114">
        <v>1059</v>
      </c>
      <c r="Q514" s="114">
        <v>3348</v>
      </c>
      <c r="R514" s="13" t="s">
        <v>25</v>
      </c>
      <c r="S514" s="13" t="s">
        <v>25</v>
      </c>
      <c r="T514" s="13" t="s">
        <v>25</v>
      </c>
    </row>
    <row r="515" spans="1:20" x14ac:dyDescent="0.3">
      <c r="A515" s="14">
        <v>43909.708333333336</v>
      </c>
      <c r="B515" s="13" t="s">
        <v>22</v>
      </c>
      <c r="C515" s="114">
        <v>3</v>
      </c>
      <c r="D515" s="13" t="s">
        <v>50</v>
      </c>
      <c r="E515" s="114">
        <v>4546679409</v>
      </c>
      <c r="F515" s="114">
        <v>9190347404</v>
      </c>
      <c r="G515" s="114">
        <v>7387</v>
      </c>
      <c r="H515" s="114">
        <v>1006</v>
      </c>
      <c r="I515" s="114">
        <v>8393</v>
      </c>
      <c r="J515" s="114">
        <v>5545</v>
      </c>
      <c r="K515" s="114">
        <v>13938</v>
      </c>
      <c r="L515" s="114">
        <v>1672</v>
      </c>
      <c r="M515" s="114">
        <v>2171</v>
      </c>
      <c r="N515" s="114">
        <v>3778</v>
      </c>
      <c r="O515" s="114">
        <v>2168</v>
      </c>
      <c r="P515" s="114">
        <v>19884</v>
      </c>
      <c r="Q515" s="114">
        <v>52244</v>
      </c>
      <c r="R515" s="13" t="s">
        <v>25</v>
      </c>
      <c r="S515" s="13" t="s">
        <v>25</v>
      </c>
      <c r="T515" s="13" t="s">
        <v>25</v>
      </c>
    </row>
    <row r="516" spans="1:20" x14ac:dyDescent="0.3">
      <c r="A516" s="14">
        <v>43909.708333333336</v>
      </c>
      <c r="B516" s="13" t="s">
        <v>22</v>
      </c>
      <c r="C516" s="114">
        <v>11</v>
      </c>
      <c r="D516" s="13" t="s">
        <v>51</v>
      </c>
      <c r="E516" s="114">
        <v>4361675973</v>
      </c>
      <c r="F516" s="114">
        <v>135188753</v>
      </c>
      <c r="G516" s="114">
        <v>656</v>
      </c>
      <c r="H516" s="114">
        <v>141</v>
      </c>
      <c r="I516" s="114">
        <v>797</v>
      </c>
      <c r="J516" s="114">
        <v>825</v>
      </c>
      <c r="K516" s="114">
        <v>1622</v>
      </c>
      <c r="L516" s="114">
        <v>146</v>
      </c>
      <c r="M516" s="114">
        <v>169</v>
      </c>
      <c r="N516" s="114">
        <v>0</v>
      </c>
      <c r="O516" s="114">
        <v>115</v>
      </c>
      <c r="P516" s="114">
        <v>1737</v>
      </c>
      <c r="Q516" s="114">
        <v>4512</v>
      </c>
      <c r="R516" s="13" t="s">
        <v>25</v>
      </c>
      <c r="S516" s="13" t="s">
        <v>25</v>
      </c>
      <c r="T516" s="13" t="s">
        <v>25</v>
      </c>
    </row>
    <row r="517" spans="1:20" x14ac:dyDescent="0.3">
      <c r="A517" s="14">
        <v>43909.708333333336</v>
      </c>
      <c r="B517" s="13" t="s">
        <v>22</v>
      </c>
      <c r="C517" s="114">
        <v>14</v>
      </c>
      <c r="D517" s="13" t="s">
        <v>52</v>
      </c>
      <c r="E517" s="114">
        <v>4155774754</v>
      </c>
      <c r="F517" s="114">
        <v>1465916051</v>
      </c>
      <c r="G517" s="114">
        <v>19</v>
      </c>
      <c r="H517" s="114">
        <v>6</v>
      </c>
      <c r="I517" s="114">
        <v>25</v>
      </c>
      <c r="J517" s="114">
        <v>13</v>
      </c>
      <c r="K517" s="114">
        <v>38</v>
      </c>
      <c r="L517" s="114">
        <v>17</v>
      </c>
      <c r="M517" s="114">
        <v>18</v>
      </c>
      <c r="N517" s="114">
        <v>6</v>
      </c>
      <c r="O517" s="114">
        <v>2</v>
      </c>
      <c r="P517" s="114">
        <v>46</v>
      </c>
      <c r="Q517" s="114">
        <v>426</v>
      </c>
      <c r="R517" s="13" t="s">
        <v>25</v>
      </c>
      <c r="S517" s="13" t="s">
        <v>25</v>
      </c>
      <c r="T517" s="13" t="s">
        <v>25</v>
      </c>
    </row>
    <row r="518" spans="1:20" x14ac:dyDescent="0.3">
      <c r="A518" s="14">
        <v>43909.708333333336</v>
      </c>
      <c r="B518" s="13" t="s">
        <v>22</v>
      </c>
      <c r="C518" s="114">
        <v>1</v>
      </c>
      <c r="D518" s="13" t="s">
        <v>53</v>
      </c>
      <c r="E518" s="114">
        <v>450732745</v>
      </c>
      <c r="F518" s="114">
        <v>7680687483</v>
      </c>
      <c r="G518" s="114">
        <v>2279</v>
      </c>
      <c r="H518" s="114">
        <v>257</v>
      </c>
      <c r="I518" s="114">
        <v>2536</v>
      </c>
      <c r="J518" s="114">
        <v>218</v>
      </c>
      <c r="K518" s="114">
        <v>2754</v>
      </c>
      <c r="L518" s="114">
        <v>567</v>
      </c>
      <c r="M518" s="114">
        <v>591</v>
      </c>
      <c r="N518" s="114">
        <v>3</v>
      </c>
      <c r="O518" s="114">
        <v>175</v>
      </c>
      <c r="P518" s="114">
        <v>2932</v>
      </c>
      <c r="Q518" s="114">
        <v>8853</v>
      </c>
      <c r="R518" s="13" t="s">
        <v>25</v>
      </c>
      <c r="S518" s="13" t="s">
        <v>25</v>
      </c>
      <c r="T518" s="13" t="s">
        <v>25</v>
      </c>
    </row>
    <row r="519" spans="1:20" x14ac:dyDescent="0.3">
      <c r="A519" s="14">
        <v>43909.708333333336</v>
      </c>
      <c r="B519" s="13" t="s">
        <v>22</v>
      </c>
      <c r="C519" s="114">
        <v>16</v>
      </c>
      <c r="D519" s="13" t="s">
        <v>54</v>
      </c>
      <c r="E519" s="114">
        <v>4112559576</v>
      </c>
      <c r="F519" s="114">
        <v>1686736689</v>
      </c>
      <c r="G519" s="114">
        <v>173</v>
      </c>
      <c r="H519" s="114">
        <v>31</v>
      </c>
      <c r="I519" s="114">
        <v>204</v>
      </c>
      <c r="J519" s="114">
        <v>245</v>
      </c>
      <c r="K519" s="114">
        <v>449</v>
      </c>
      <c r="L519" s="114">
        <v>87</v>
      </c>
      <c r="M519" s="114">
        <v>95</v>
      </c>
      <c r="N519" s="114">
        <v>4</v>
      </c>
      <c r="O519" s="114">
        <v>25</v>
      </c>
      <c r="P519" s="114">
        <v>478</v>
      </c>
      <c r="Q519" s="114">
        <v>4046</v>
      </c>
      <c r="R519" s="13" t="s">
        <v>25</v>
      </c>
      <c r="S519" s="13" t="s">
        <v>25</v>
      </c>
      <c r="T519" s="13" t="s">
        <v>25</v>
      </c>
    </row>
    <row r="520" spans="1:20" x14ac:dyDescent="0.3">
      <c r="A520" s="14">
        <v>43909.708333333336</v>
      </c>
      <c r="B520" s="13" t="s">
        <v>22</v>
      </c>
      <c r="C520" s="114">
        <v>20</v>
      </c>
      <c r="D520" s="13" t="s">
        <v>55</v>
      </c>
      <c r="E520" s="114">
        <v>3921531192</v>
      </c>
      <c r="F520" s="114">
        <v>9110616306</v>
      </c>
      <c r="G520" s="114">
        <v>43</v>
      </c>
      <c r="H520" s="114">
        <v>9</v>
      </c>
      <c r="I520" s="114">
        <v>52</v>
      </c>
      <c r="J520" s="114">
        <v>152</v>
      </c>
      <c r="K520" s="114">
        <v>204</v>
      </c>
      <c r="L520" s="114">
        <v>72</v>
      </c>
      <c r="M520" s="114">
        <v>72</v>
      </c>
      <c r="N520" s="114">
        <v>0</v>
      </c>
      <c r="O520" s="114">
        <v>2</v>
      </c>
      <c r="P520" s="114">
        <v>206</v>
      </c>
      <c r="Q520" s="114">
        <v>1334</v>
      </c>
      <c r="R520" s="13" t="s">
        <v>25</v>
      </c>
      <c r="S520" s="13" t="s">
        <v>25</v>
      </c>
      <c r="T520" s="13" t="s">
        <v>25</v>
      </c>
    </row>
    <row r="521" spans="1:20" x14ac:dyDescent="0.3">
      <c r="A521" s="14">
        <v>43909.708333333336</v>
      </c>
      <c r="B521" s="13" t="s">
        <v>22</v>
      </c>
      <c r="C521" s="114">
        <v>19</v>
      </c>
      <c r="D521" s="13" t="s">
        <v>56</v>
      </c>
      <c r="E521" s="114">
        <v>3811569725</v>
      </c>
      <c r="F521" s="114">
        <v>133623567</v>
      </c>
      <c r="G521" s="114">
        <v>143</v>
      </c>
      <c r="H521" s="114">
        <v>36</v>
      </c>
      <c r="I521" s="114">
        <v>179</v>
      </c>
      <c r="J521" s="114">
        <v>142</v>
      </c>
      <c r="K521" s="114">
        <v>321</v>
      </c>
      <c r="L521" s="114">
        <v>54</v>
      </c>
      <c r="M521" s="114">
        <v>58</v>
      </c>
      <c r="N521" s="114">
        <v>15</v>
      </c>
      <c r="O521" s="114">
        <v>4</v>
      </c>
      <c r="P521" s="114">
        <v>340</v>
      </c>
      <c r="Q521" s="114">
        <v>3961</v>
      </c>
      <c r="R521" s="13" t="s">
        <v>25</v>
      </c>
      <c r="S521" s="13" t="s">
        <v>25</v>
      </c>
      <c r="T521" s="13" t="s">
        <v>25</v>
      </c>
    </row>
    <row r="522" spans="1:20" x14ac:dyDescent="0.3">
      <c r="A522" s="14">
        <v>43909.708333333336</v>
      </c>
      <c r="B522" s="13" t="s">
        <v>22</v>
      </c>
      <c r="C522" s="114">
        <v>9</v>
      </c>
      <c r="D522" s="13" t="s">
        <v>57</v>
      </c>
      <c r="E522" s="114">
        <v>4376923077</v>
      </c>
      <c r="F522" s="114">
        <v>1125588885</v>
      </c>
      <c r="G522" s="114">
        <v>501</v>
      </c>
      <c r="H522" s="114">
        <v>178</v>
      </c>
      <c r="I522" s="114">
        <v>679</v>
      </c>
      <c r="J522" s="114">
        <v>743</v>
      </c>
      <c r="K522" s="114">
        <v>1422</v>
      </c>
      <c r="L522" s="114">
        <v>131</v>
      </c>
      <c r="M522" s="114">
        <v>152</v>
      </c>
      <c r="N522" s="114">
        <v>22</v>
      </c>
      <c r="O522" s="114">
        <v>38</v>
      </c>
      <c r="P522" s="114">
        <v>1482</v>
      </c>
      <c r="Q522" s="114">
        <v>8873</v>
      </c>
      <c r="R522" s="13" t="s">
        <v>25</v>
      </c>
      <c r="S522" s="13" t="s">
        <v>25</v>
      </c>
      <c r="T522" s="13" t="s">
        <v>25</v>
      </c>
    </row>
    <row r="523" spans="1:20" x14ac:dyDescent="0.3">
      <c r="A523" s="14">
        <v>43909.708333333336</v>
      </c>
      <c r="B523" s="13" t="s">
        <v>22</v>
      </c>
      <c r="C523" s="114">
        <v>4</v>
      </c>
      <c r="D523" s="13" t="s">
        <v>58</v>
      </c>
      <c r="E523" s="114">
        <v>4606893511</v>
      </c>
      <c r="F523" s="114">
        <v>1112123097</v>
      </c>
      <c r="G523" s="114">
        <v>169</v>
      </c>
      <c r="H523" s="114">
        <v>30</v>
      </c>
      <c r="I523" s="114">
        <v>199</v>
      </c>
      <c r="J523" s="114">
        <v>292</v>
      </c>
      <c r="K523" s="114">
        <v>491</v>
      </c>
      <c r="L523" s="114">
        <v>55</v>
      </c>
      <c r="M523" s="114">
        <v>68</v>
      </c>
      <c r="N523" s="114">
        <v>20</v>
      </c>
      <c r="O523" s="114">
        <v>12</v>
      </c>
      <c r="P523" s="114">
        <v>523</v>
      </c>
      <c r="Q523" s="114">
        <v>2203</v>
      </c>
      <c r="R523" s="13" t="s">
        <v>25</v>
      </c>
      <c r="S523" s="13" t="s">
        <v>25</v>
      </c>
      <c r="T523" s="13" t="s">
        <v>25</v>
      </c>
    </row>
    <row r="524" spans="1:20" x14ac:dyDescent="0.3">
      <c r="A524" s="14">
        <v>43909.708333333336</v>
      </c>
      <c r="B524" s="13" t="s">
        <v>22</v>
      </c>
      <c r="C524" s="114">
        <v>10</v>
      </c>
      <c r="D524" s="13" t="s">
        <v>59</v>
      </c>
      <c r="E524" s="114">
        <v>4310675841</v>
      </c>
      <c r="F524" s="114">
        <v>1238824698</v>
      </c>
      <c r="G524" s="114">
        <v>69</v>
      </c>
      <c r="H524" s="114">
        <v>21</v>
      </c>
      <c r="I524" s="114">
        <v>90</v>
      </c>
      <c r="J524" s="114">
        <v>238</v>
      </c>
      <c r="K524" s="114">
        <v>328</v>
      </c>
      <c r="L524" s="114">
        <v>87</v>
      </c>
      <c r="M524" s="114">
        <v>87</v>
      </c>
      <c r="N524" s="114">
        <v>4</v>
      </c>
      <c r="O524" s="114">
        <v>2</v>
      </c>
      <c r="P524" s="114">
        <v>334</v>
      </c>
      <c r="Q524" s="114">
        <v>1954</v>
      </c>
      <c r="R524" s="13" t="s">
        <v>25</v>
      </c>
      <c r="S524" s="13" t="s">
        <v>25</v>
      </c>
      <c r="T524" s="13" t="s">
        <v>25</v>
      </c>
    </row>
    <row r="525" spans="1:20" x14ac:dyDescent="0.3">
      <c r="A525" s="14">
        <v>43909.708333333336</v>
      </c>
      <c r="B525" s="13" t="s">
        <v>22</v>
      </c>
      <c r="C525" s="114">
        <v>2</v>
      </c>
      <c r="D525" s="13" t="s">
        <v>60</v>
      </c>
      <c r="E525" s="114">
        <v>4573750286</v>
      </c>
      <c r="F525" s="114">
        <v>7320149366</v>
      </c>
      <c r="G525" s="114">
        <v>47</v>
      </c>
      <c r="H525" s="114">
        <v>9</v>
      </c>
      <c r="I525" s="114">
        <v>56</v>
      </c>
      <c r="J525" s="114">
        <v>153</v>
      </c>
      <c r="K525" s="114">
        <v>209</v>
      </c>
      <c r="L525" s="114">
        <v>47</v>
      </c>
      <c r="M525" s="114">
        <v>50</v>
      </c>
      <c r="N525" s="114">
        <v>0</v>
      </c>
      <c r="O525" s="114">
        <v>6</v>
      </c>
      <c r="P525" s="114">
        <v>215</v>
      </c>
      <c r="Q525" s="114">
        <v>608</v>
      </c>
      <c r="R525" s="13" t="s">
        <v>25</v>
      </c>
      <c r="S525" s="13" t="s">
        <v>25</v>
      </c>
      <c r="T525" s="13" t="s">
        <v>25</v>
      </c>
    </row>
    <row r="526" spans="1:20" x14ac:dyDescent="0.3">
      <c r="A526" s="14">
        <v>43909.708333333336</v>
      </c>
      <c r="B526" s="13" t="s">
        <v>22</v>
      </c>
      <c r="C526" s="114">
        <v>5</v>
      </c>
      <c r="D526" s="13" t="s">
        <v>61</v>
      </c>
      <c r="E526" s="114">
        <v>4543490485</v>
      </c>
      <c r="F526" s="114">
        <v>1233845213</v>
      </c>
      <c r="G526" s="114">
        <v>771</v>
      </c>
      <c r="H526" s="114">
        <v>209</v>
      </c>
      <c r="I526" s="114">
        <v>980</v>
      </c>
      <c r="J526" s="114">
        <v>2189</v>
      </c>
      <c r="K526" s="114">
        <v>3169</v>
      </c>
      <c r="L526" s="114">
        <v>216</v>
      </c>
      <c r="M526" s="114">
        <v>270</v>
      </c>
      <c r="N526" s="114">
        <v>200</v>
      </c>
      <c r="O526" s="114">
        <v>115</v>
      </c>
      <c r="P526" s="114">
        <v>3484</v>
      </c>
      <c r="Q526" s="114">
        <v>44658</v>
      </c>
      <c r="R526" s="13" t="s">
        <v>25</v>
      </c>
      <c r="S526" s="13" t="s">
        <v>25</v>
      </c>
      <c r="T526" s="13" t="s">
        <v>25</v>
      </c>
    </row>
    <row r="527" spans="1:20" x14ac:dyDescent="0.3">
      <c r="A527" s="14">
        <v>43910.708333333336</v>
      </c>
      <c r="B527" s="13" t="s">
        <v>22</v>
      </c>
      <c r="C527" s="114">
        <v>13</v>
      </c>
      <c r="D527" s="13" t="s">
        <v>42</v>
      </c>
      <c r="E527" s="114">
        <v>4235122196</v>
      </c>
      <c r="F527" s="114">
        <v>1339843823</v>
      </c>
      <c r="G527" s="114">
        <v>190</v>
      </c>
      <c r="H527" s="114">
        <v>48</v>
      </c>
      <c r="I527" s="114">
        <v>238</v>
      </c>
      <c r="J527" s="114">
        <v>184</v>
      </c>
      <c r="K527" s="114">
        <v>422</v>
      </c>
      <c r="L527" s="114">
        <v>56</v>
      </c>
      <c r="M527" s="114">
        <v>64</v>
      </c>
      <c r="N527" s="114">
        <v>10</v>
      </c>
      <c r="O527" s="114">
        <v>17</v>
      </c>
      <c r="P527" s="114">
        <v>449</v>
      </c>
      <c r="Q527" s="114">
        <v>2695</v>
      </c>
      <c r="R527" s="13" t="s">
        <v>25</v>
      </c>
      <c r="S527" s="13" t="s">
        <v>25</v>
      </c>
      <c r="T527" s="13" t="s">
        <v>25</v>
      </c>
    </row>
    <row r="528" spans="1:20" x14ac:dyDescent="0.3">
      <c r="A528" s="14">
        <v>43910.708333333336</v>
      </c>
      <c r="B528" s="13" t="s">
        <v>22</v>
      </c>
      <c r="C528" s="114">
        <v>17</v>
      </c>
      <c r="D528" s="13" t="s">
        <v>43</v>
      </c>
      <c r="E528" s="114">
        <v>4063947052</v>
      </c>
      <c r="F528" s="114">
        <v>1580514834</v>
      </c>
      <c r="G528" s="114">
        <v>8</v>
      </c>
      <c r="H528" s="114">
        <v>5</v>
      </c>
      <c r="I528" s="114">
        <v>13</v>
      </c>
      <c r="J528" s="114">
        <v>39</v>
      </c>
      <c r="K528" s="114">
        <v>52</v>
      </c>
      <c r="L528" s="114">
        <v>15</v>
      </c>
      <c r="M528" s="114">
        <v>15</v>
      </c>
      <c r="N528" s="114">
        <v>0</v>
      </c>
      <c r="O528" s="114">
        <v>0</v>
      </c>
      <c r="P528" s="114">
        <v>52</v>
      </c>
      <c r="Q528" s="114">
        <v>443</v>
      </c>
      <c r="R528" s="13" t="s">
        <v>25</v>
      </c>
      <c r="S528" s="13" t="s">
        <v>25</v>
      </c>
      <c r="T528" s="13" t="s">
        <v>25</v>
      </c>
    </row>
    <row r="529" spans="1:20" x14ac:dyDescent="0.3">
      <c r="A529" s="14">
        <v>43910.708333333336</v>
      </c>
      <c r="B529" s="13" t="s">
        <v>22</v>
      </c>
      <c r="C529" s="114">
        <v>4</v>
      </c>
      <c r="D529" s="13" t="s">
        <v>44</v>
      </c>
      <c r="E529" s="114">
        <v>4649933453</v>
      </c>
      <c r="F529" s="114">
        <v>1135662422</v>
      </c>
      <c r="G529" s="114">
        <v>99</v>
      </c>
      <c r="H529" s="114">
        <v>24</v>
      </c>
      <c r="I529" s="114">
        <v>123</v>
      </c>
      <c r="J529" s="114">
        <v>407</v>
      </c>
      <c r="K529" s="114">
        <v>530</v>
      </c>
      <c r="L529" s="114">
        <v>109</v>
      </c>
      <c r="M529" s="114">
        <v>112</v>
      </c>
      <c r="N529" s="114">
        <v>1</v>
      </c>
      <c r="O529" s="114">
        <v>17</v>
      </c>
      <c r="P529" s="114">
        <v>548</v>
      </c>
      <c r="Q529" s="114">
        <v>4433</v>
      </c>
      <c r="R529" s="13" t="s">
        <v>25</v>
      </c>
      <c r="S529" s="13" t="s">
        <v>25</v>
      </c>
      <c r="T529" s="13" t="s">
        <v>25</v>
      </c>
    </row>
    <row r="530" spans="1:20" x14ac:dyDescent="0.3">
      <c r="A530" s="14">
        <v>43910.708333333336</v>
      </c>
      <c r="B530" s="13" t="s">
        <v>22</v>
      </c>
      <c r="C530" s="114">
        <v>18</v>
      </c>
      <c r="D530" s="13" t="s">
        <v>45</v>
      </c>
      <c r="E530" s="114">
        <v>3890597598</v>
      </c>
      <c r="F530" s="114">
        <v>1659440194</v>
      </c>
      <c r="G530" s="114">
        <v>71</v>
      </c>
      <c r="H530" s="114">
        <v>16</v>
      </c>
      <c r="I530" s="114">
        <v>87</v>
      </c>
      <c r="J530" s="114">
        <v>114</v>
      </c>
      <c r="K530" s="114">
        <v>201</v>
      </c>
      <c r="L530" s="114">
        <v>37</v>
      </c>
      <c r="M530" s="114">
        <v>38</v>
      </c>
      <c r="N530" s="114">
        <v>2</v>
      </c>
      <c r="O530" s="114">
        <v>4</v>
      </c>
      <c r="P530" s="114">
        <v>207</v>
      </c>
      <c r="Q530" s="114">
        <v>2690</v>
      </c>
      <c r="R530" s="13" t="s">
        <v>25</v>
      </c>
      <c r="S530" s="13" t="s">
        <v>25</v>
      </c>
      <c r="T530" s="13" t="s">
        <v>25</v>
      </c>
    </row>
    <row r="531" spans="1:20" x14ac:dyDescent="0.3">
      <c r="A531" s="14">
        <v>43910.708333333336</v>
      </c>
      <c r="B531" s="13" t="s">
        <v>22</v>
      </c>
      <c r="C531" s="114">
        <v>15</v>
      </c>
      <c r="D531" s="13" t="s">
        <v>46</v>
      </c>
      <c r="E531" s="114">
        <v>4083956555</v>
      </c>
      <c r="F531" s="114">
        <v>1425084984</v>
      </c>
      <c r="G531" s="114">
        <v>130</v>
      </c>
      <c r="H531" s="114">
        <v>41</v>
      </c>
      <c r="I531" s="114">
        <v>171</v>
      </c>
      <c r="J531" s="114">
        <v>531</v>
      </c>
      <c r="K531" s="114">
        <v>702</v>
      </c>
      <c r="L531" s="114">
        <v>97</v>
      </c>
      <c r="M531" s="114">
        <v>97</v>
      </c>
      <c r="N531" s="114">
        <v>30</v>
      </c>
      <c r="O531" s="114">
        <v>17</v>
      </c>
      <c r="P531" s="114">
        <v>749</v>
      </c>
      <c r="Q531" s="114">
        <v>3845</v>
      </c>
      <c r="R531" s="13" t="s">
        <v>25</v>
      </c>
      <c r="S531" s="13" t="s">
        <v>25</v>
      </c>
      <c r="T531" s="13" t="s">
        <v>25</v>
      </c>
    </row>
    <row r="532" spans="1:20" x14ac:dyDescent="0.3">
      <c r="A532" s="14">
        <v>43910.708333333336</v>
      </c>
      <c r="B532" s="13" t="s">
        <v>22</v>
      </c>
      <c r="C532" s="114">
        <v>8</v>
      </c>
      <c r="D532" s="13" t="s">
        <v>96</v>
      </c>
      <c r="E532" s="114">
        <v>4449436681</v>
      </c>
      <c r="F532" s="114">
        <v>113417208</v>
      </c>
      <c r="G532" s="114">
        <v>2083</v>
      </c>
      <c r="H532" s="114">
        <v>267</v>
      </c>
      <c r="I532" s="114">
        <v>2350</v>
      </c>
      <c r="J532" s="114">
        <v>2739</v>
      </c>
      <c r="K532" s="114">
        <v>5089</v>
      </c>
      <c r="L532" s="114">
        <v>583</v>
      </c>
      <c r="M532" s="114">
        <v>754</v>
      </c>
      <c r="N532" s="114">
        <v>239</v>
      </c>
      <c r="O532" s="114">
        <v>640</v>
      </c>
      <c r="P532" s="114">
        <v>5968</v>
      </c>
      <c r="Q532" s="114">
        <v>20753</v>
      </c>
      <c r="R532" s="13" t="s">
        <v>25</v>
      </c>
      <c r="S532" s="13" t="s">
        <v>25</v>
      </c>
      <c r="T532" s="13" t="s">
        <v>25</v>
      </c>
    </row>
    <row r="533" spans="1:20" x14ac:dyDescent="0.3">
      <c r="A533" s="14">
        <v>43910.708333333336</v>
      </c>
      <c r="B533" s="13" t="s">
        <v>22</v>
      </c>
      <c r="C533" s="114">
        <v>6</v>
      </c>
      <c r="D533" s="13" t="s">
        <v>47</v>
      </c>
      <c r="E533" s="114">
        <v>456494354</v>
      </c>
      <c r="F533" s="114">
        <v>1376813649</v>
      </c>
      <c r="G533" s="114">
        <v>143</v>
      </c>
      <c r="H533" s="114">
        <v>32</v>
      </c>
      <c r="I533" s="114">
        <v>175</v>
      </c>
      <c r="J533" s="114">
        <v>380</v>
      </c>
      <c r="K533" s="114">
        <v>555</v>
      </c>
      <c r="L533" s="114">
        <v>33</v>
      </c>
      <c r="M533" s="114">
        <v>57</v>
      </c>
      <c r="N533" s="114">
        <v>63</v>
      </c>
      <c r="O533" s="114">
        <v>38</v>
      </c>
      <c r="P533" s="114">
        <v>656</v>
      </c>
      <c r="Q533" s="114">
        <v>4964</v>
      </c>
      <c r="R533" s="13" t="s">
        <v>25</v>
      </c>
      <c r="S533" s="13" t="s">
        <v>25</v>
      </c>
      <c r="T533" s="13" t="s">
        <v>25</v>
      </c>
    </row>
    <row r="534" spans="1:20" x14ac:dyDescent="0.3">
      <c r="A534" s="14">
        <v>43910.708333333336</v>
      </c>
      <c r="B534" s="13" t="s">
        <v>22</v>
      </c>
      <c r="C534" s="114">
        <v>12</v>
      </c>
      <c r="D534" s="13" t="s">
        <v>48</v>
      </c>
      <c r="E534" s="114">
        <v>4189277044</v>
      </c>
      <c r="F534" s="114">
        <v>1248366722</v>
      </c>
      <c r="G534" s="114">
        <v>537</v>
      </c>
      <c r="H534" s="114">
        <v>47</v>
      </c>
      <c r="I534" s="114">
        <v>584</v>
      </c>
      <c r="J534" s="114">
        <v>328</v>
      </c>
      <c r="K534" s="114">
        <v>912</v>
      </c>
      <c r="L534" s="114">
        <v>171</v>
      </c>
      <c r="M534" s="114">
        <v>185</v>
      </c>
      <c r="N534" s="114">
        <v>53</v>
      </c>
      <c r="O534" s="114">
        <v>43</v>
      </c>
      <c r="P534" s="114">
        <v>1008</v>
      </c>
      <c r="Q534" s="114">
        <v>13889</v>
      </c>
      <c r="R534" s="13" t="s">
        <v>25</v>
      </c>
      <c r="S534" s="13" t="s">
        <v>25</v>
      </c>
      <c r="T534" s="13" t="s">
        <v>25</v>
      </c>
    </row>
    <row r="535" spans="1:20" x14ac:dyDescent="0.3">
      <c r="A535" s="14">
        <v>43910.708333333336</v>
      </c>
      <c r="B535" s="13" t="s">
        <v>22</v>
      </c>
      <c r="C535" s="114">
        <v>7</v>
      </c>
      <c r="D535" s="13" t="s">
        <v>49</v>
      </c>
      <c r="E535" s="114">
        <v>4441149315</v>
      </c>
      <c r="F535" s="114">
        <v>89326992</v>
      </c>
      <c r="G535" s="114">
        <v>573</v>
      </c>
      <c r="H535" s="114">
        <v>121</v>
      </c>
      <c r="I535" s="114">
        <v>694</v>
      </c>
      <c r="J535" s="114">
        <v>307</v>
      </c>
      <c r="K535" s="114">
        <v>1001</v>
      </c>
      <c r="L535" s="114">
        <v>118</v>
      </c>
      <c r="M535" s="114">
        <v>162</v>
      </c>
      <c r="N535" s="114">
        <v>101</v>
      </c>
      <c r="O535" s="114">
        <v>119</v>
      </c>
      <c r="P535" s="114">
        <v>1221</v>
      </c>
      <c r="Q535" s="114">
        <v>3794</v>
      </c>
      <c r="R535" s="13" t="s">
        <v>25</v>
      </c>
      <c r="S535" s="13" t="s">
        <v>25</v>
      </c>
      <c r="T535" s="13" t="s">
        <v>25</v>
      </c>
    </row>
    <row r="536" spans="1:20" x14ac:dyDescent="0.3">
      <c r="A536" s="14">
        <v>43910.708333333336</v>
      </c>
      <c r="B536" s="13" t="s">
        <v>22</v>
      </c>
      <c r="C536" s="114">
        <v>3</v>
      </c>
      <c r="D536" s="13" t="s">
        <v>50</v>
      </c>
      <c r="E536" s="114">
        <v>4546679409</v>
      </c>
      <c r="F536" s="114">
        <v>9190347404</v>
      </c>
      <c r="G536" s="114">
        <v>7735</v>
      </c>
      <c r="H536" s="114">
        <v>1050</v>
      </c>
      <c r="I536" s="114">
        <v>8785</v>
      </c>
      <c r="J536" s="114">
        <v>6635</v>
      </c>
      <c r="K536" s="114">
        <v>15420</v>
      </c>
      <c r="L536" s="114">
        <v>1482</v>
      </c>
      <c r="M536" s="114">
        <v>2380</v>
      </c>
      <c r="N536" s="114">
        <v>4295</v>
      </c>
      <c r="O536" s="114">
        <v>2549</v>
      </c>
      <c r="P536" s="114">
        <v>22264</v>
      </c>
      <c r="Q536" s="114">
        <v>57174</v>
      </c>
      <c r="R536" s="13" t="s">
        <v>25</v>
      </c>
      <c r="S536" s="13" t="s">
        <v>25</v>
      </c>
      <c r="T536" s="13" t="s">
        <v>25</v>
      </c>
    </row>
    <row r="537" spans="1:20" x14ac:dyDescent="0.3">
      <c r="A537" s="14">
        <v>43910.708333333336</v>
      </c>
      <c r="B537" s="13" t="s">
        <v>22</v>
      </c>
      <c r="C537" s="114">
        <v>11</v>
      </c>
      <c r="D537" s="13" t="s">
        <v>51</v>
      </c>
      <c r="E537" s="114">
        <v>4361675973</v>
      </c>
      <c r="F537" s="114">
        <v>135188753</v>
      </c>
      <c r="G537" s="114">
        <v>704</v>
      </c>
      <c r="H537" s="114">
        <v>138</v>
      </c>
      <c r="I537" s="114">
        <v>842</v>
      </c>
      <c r="J537" s="114">
        <v>1002</v>
      </c>
      <c r="K537" s="114">
        <v>1844</v>
      </c>
      <c r="L537" s="114">
        <v>222</v>
      </c>
      <c r="M537" s="114">
        <v>244</v>
      </c>
      <c r="N537" s="114">
        <v>0</v>
      </c>
      <c r="O537" s="114">
        <v>137</v>
      </c>
      <c r="P537" s="114">
        <v>1981</v>
      </c>
      <c r="Q537" s="114">
        <v>5170</v>
      </c>
      <c r="R537" s="13" t="s">
        <v>25</v>
      </c>
      <c r="S537" s="13" t="s">
        <v>25</v>
      </c>
      <c r="T537" s="13" t="s">
        <v>25</v>
      </c>
    </row>
    <row r="538" spans="1:20" x14ac:dyDescent="0.3">
      <c r="A538" s="14">
        <v>43910.708333333336</v>
      </c>
      <c r="B538" s="13" t="s">
        <v>22</v>
      </c>
      <c r="C538" s="114">
        <v>14</v>
      </c>
      <c r="D538" s="13" t="s">
        <v>52</v>
      </c>
      <c r="E538" s="114">
        <v>4155774754</v>
      </c>
      <c r="F538" s="114">
        <v>1465916051</v>
      </c>
      <c r="G538" s="114">
        <v>20</v>
      </c>
      <c r="H538" s="114">
        <v>6</v>
      </c>
      <c r="I538" s="114">
        <v>26</v>
      </c>
      <c r="J538" s="114">
        <v>13</v>
      </c>
      <c r="K538" s="114">
        <v>39</v>
      </c>
      <c r="L538" s="114">
        <v>1</v>
      </c>
      <c r="M538" s="114">
        <v>4</v>
      </c>
      <c r="N538" s="114">
        <v>6</v>
      </c>
      <c r="O538" s="114">
        <v>5</v>
      </c>
      <c r="P538" s="114">
        <v>50</v>
      </c>
      <c r="Q538" s="114">
        <v>426</v>
      </c>
      <c r="R538" s="13" t="s">
        <v>25</v>
      </c>
      <c r="S538" s="13" t="s">
        <v>25</v>
      </c>
      <c r="T538" s="13" t="s">
        <v>25</v>
      </c>
    </row>
    <row r="539" spans="1:20" x14ac:dyDescent="0.3">
      <c r="A539" s="14">
        <v>43910.708333333336</v>
      </c>
      <c r="B539" s="13" t="s">
        <v>22</v>
      </c>
      <c r="C539" s="114">
        <v>1</v>
      </c>
      <c r="D539" s="13" t="s">
        <v>53</v>
      </c>
      <c r="E539" s="114">
        <v>450732745</v>
      </c>
      <c r="F539" s="114">
        <v>7680687483</v>
      </c>
      <c r="G539" s="114">
        <v>1541</v>
      </c>
      <c r="H539" s="114">
        <v>280</v>
      </c>
      <c r="I539" s="114">
        <v>1821</v>
      </c>
      <c r="J539" s="114">
        <v>1423</v>
      </c>
      <c r="K539" s="114">
        <v>3244</v>
      </c>
      <c r="L539" s="114">
        <v>490</v>
      </c>
      <c r="M539" s="114">
        <v>529</v>
      </c>
      <c r="N539" s="114">
        <v>8</v>
      </c>
      <c r="O539" s="114">
        <v>209</v>
      </c>
      <c r="P539" s="114">
        <v>3461</v>
      </c>
      <c r="Q539" s="114">
        <v>9975</v>
      </c>
      <c r="R539" s="13" t="s">
        <v>25</v>
      </c>
      <c r="S539" s="13" t="s">
        <v>25</v>
      </c>
      <c r="T539" s="13" t="s">
        <v>25</v>
      </c>
    </row>
    <row r="540" spans="1:20" x14ac:dyDescent="0.3">
      <c r="A540" s="14">
        <v>43910.708333333336</v>
      </c>
      <c r="B540" s="13" t="s">
        <v>22</v>
      </c>
      <c r="C540" s="114">
        <v>16</v>
      </c>
      <c r="D540" s="13" t="s">
        <v>54</v>
      </c>
      <c r="E540" s="114">
        <v>4112559576</v>
      </c>
      <c r="F540" s="114">
        <v>1686736689</v>
      </c>
      <c r="G540" s="114">
        <v>191</v>
      </c>
      <c r="H540" s="114">
        <v>31</v>
      </c>
      <c r="I540" s="114">
        <v>222</v>
      </c>
      <c r="J540" s="114">
        <v>329</v>
      </c>
      <c r="K540" s="114">
        <v>551</v>
      </c>
      <c r="L540" s="114">
        <v>102</v>
      </c>
      <c r="M540" s="114">
        <v>103</v>
      </c>
      <c r="N540" s="114">
        <v>4</v>
      </c>
      <c r="O540" s="114">
        <v>26</v>
      </c>
      <c r="P540" s="114">
        <v>581</v>
      </c>
      <c r="Q540" s="114">
        <v>4789</v>
      </c>
      <c r="R540" s="13" t="s">
        <v>25</v>
      </c>
      <c r="S540" s="13" t="s">
        <v>25</v>
      </c>
      <c r="T540" s="13" t="s">
        <v>25</v>
      </c>
    </row>
    <row r="541" spans="1:20" x14ac:dyDescent="0.3">
      <c r="A541" s="14">
        <v>43910.708333333336</v>
      </c>
      <c r="B541" s="13" t="s">
        <v>22</v>
      </c>
      <c r="C541" s="114">
        <v>20</v>
      </c>
      <c r="D541" s="13" t="s">
        <v>55</v>
      </c>
      <c r="E541" s="114">
        <v>3921531192</v>
      </c>
      <c r="F541" s="114">
        <v>9110616306</v>
      </c>
      <c r="G541" s="114">
        <v>56</v>
      </c>
      <c r="H541" s="114">
        <v>15</v>
      </c>
      <c r="I541" s="114">
        <v>71</v>
      </c>
      <c r="J541" s="114">
        <v>217</v>
      </c>
      <c r="K541" s="114">
        <v>288</v>
      </c>
      <c r="L541" s="114">
        <v>84</v>
      </c>
      <c r="M541" s="114">
        <v>87</v>
      </c>
      <c r="N541" s="114">
        <v>3</v>
      </c>
      <c r="O541" s="114">
        <v>2</v>
      </c>
      <c r="P541" s="114">
        <v>293</v>
      </c>
      <c r="Q541" s="114">
        <v>1912</v>
      </c>
      <c r="R541" s="13" t="s">
        <v>25</v>
      </c>
      <c r="S541" s="13" t="s">
        <v>25</v>
      </c>
      <c r="T541" s="13" t="s">
        <v>25</v>
      </c>
    </row>
    <row r="542" spans="1:20" x14ac:dyDescent="0.3">
      <c r="A542" s="14">
        <v>43910.708333333336</v>
      </c>
      <c r="B542" s="13" t="s">
        <v>22</v>
      </c>
      <c r="C542" s="114">
        <v>19</v>
      </c>
      <c r="D542" s="13" t="s">
        <v>56</v>
      </c>
      <c r="E542" s="114">
        <v>3811569725</v>
      </c>
      <c r="F542" s="114">
        <v>133623567</v>
      </c>
      <c r="G542" s="114">
        <v>168</v>
      </c>
      <c r="H542" s="114">
        <v>42</v>
      </c>
      <c r="I542" s="114">
        <v>210</v>
      </c>
      <c r="J542" s="114">
        <v>169</v>
      </c>
      <c r="K542" s="114">
        <v>379</v>
      </c>
      <c r="L542" s="114">
        <v>58</v>
      </c>
      <c r="M542" s="114">
        <v>68</v>
      </c>
      <c r="N542" s="114">
        <v>25</v>
      </c>
      <c r="O542" s="114">
        <v>4</v>
      </c>
      <c r="P542" s="114">
        <v>408</v>
      </c>
      <c r="Q542" s="114">
        <v>4468</v>
      </c>
      <c r="R542" s="13" t="s">
        <v>25</v>
      </c>
      <c r="S542" s="13" t="s">
        <v>25</v>
      </c>
      <c r="T542" s="13" t="s">
        <v>25</v>
      </c>
    </row>
    <row r="543" spans="1:20" x14ac:dyDescent="0.3">
      <c r="A543" s="14">
        <v>43910.708333333336</v>
      </c>
      <c r="B543" s="13" t="s">
        <v>22</v>
      </c>
      <c r="C543" s="114">
        <v>9</v>
      </c>
      <c r="D543" s="13" t="s">
        <v>57</v>
      </c>
      <c r="E543" s="114">
        <v>4376923077</v>
      </c>
      <c r="F543" s="114">
        <v>1125588885</v>
      </c>
      <c r="G543" s="114">
        <v>601</v>
      </c>
      <c r="H543" s="114">
        <v>189</v>
      </c>
      <c r="I543" s="114">
        <v>790</v>
      </c>
      <c r="J543" s="114">
        <v>923</v>
      </c>
      <c r="K543" s="114">
        <v>1713</v>
      </c>
      <c r="L543" s="114">
        <v>291</v>
      </c>
      <c r="M543" s="114">
        <v>311</v>
      </c>
      <c r="N543" s="114">
        <v>33</v>
      </c>
      <c r="O543" s="114">
        <v>47</v>
      </c>
      <c r="P543" s="114">
        <v>1793</v>
      </c>
      <c r="Q543" s="114">
        <v>10405</v>
      </c>
      <c r="R543" s="13" t="s">
        <v>25</v>
      </c>
      <c r="S543" s="13" t="s">
        <v>25</v>
      </c>
      <c r="T543" s="13" t="s">
        <v>25</v>
      </c>
    </row>
    <row r="544" spans="1:20" x14ac:dyDescent="0.3">
      <c r="A544" s="14">
        <v>43910.708333333336</v>
      </c>
      <c r="B544" s="13" t="s">
        <v>22</v>
      </c>
      <c r="C544" s="114">
        <v>4</v>
      </c>
      <c r="D544" s="13" t="s">
        <v>58</v>
      </c>
      <c r="E544" s="114">
        <v>4606893511</v>
      </c>
      <c r="F544" s="114">
        <v>1112123097</v>
      </c>
      <c r="G544" s="114">
        <v>198</v>
      </c>
      <c r="H544" s="114">
        <v>34</v>
      </c>
      <c r="I544" s="114">
        <v>232</v>
      </c>
      <c r="J544" s="114">
        <v>368</v>
      </c>
      <c r="K544" s="114">
        <v>600</v>
      </c>
      <c r="L544" s="114">
        <v>109</v>
      </c>
      <c r="M544" s="114">
        <v>119</v>
      </c>
      <c r="N544" s="114">
        <v>29</v>
      </c>
      <c r="O544" s="114">
        <v>13</v>
      </c>
      <c r="P544" s="114">
        <v>642</v>
      </c>
      <c r="Q544" s="114">
        <v>2656</v>
      </c>
      <c r="R544" s="13" t="s">
        <v>25</v>
      </c>
      <c r="S544" s="13" t="s">
        <v>25</v>
      </c>
      <c r="T544" s="13" t="s">
        <v>25</v>
      </c>
    </row>
    <row r="545" spans="1:20" x14ac:dyDescent="0.3">
      <c r="A545" s="14">
        <v>43910.708333333336</v>
      </c>
      <c r="B545" s="13" t="s">
        <v>22</v>
      </c>
      <c r="C545" s="114">
        <v>10</v>
      </c>
      <c r="D545" s="13" t="s">
        <v>59</v>
      </c>
      <c r="E545" s="114">
        <v>4310675841</v>
      </c>
      <c r="F545" s="114">
        <v>1238824698</v>
      </c>
      <c r="G545" s="114">
        <v>75</v>
      </c>
      <c r="H545" s="114">
        <v>24</v>
      </c>
      <c r="I545" s="114">
        <v>99</v>
      </c>
      <c r="J545" s="114">
        <v>285</v>
      </c>
      <c r="K545" s="114">
        <v>384</v>
      </c>
      <c r="L545" s="114">
        <v>56</v>
      </c>
      <c r="M545" s="114">
        <v>61</v>
      </c>
      <c r="N545" s="114">
        <v>4</v>
      </c>
      <c r="O545" s="114">
        <v>7</v>
      </c>
      <c r="P545" s="114">
        <v>395</v>
      </c>
      <c r="Q545" s="114">
        <v>2303</v>
      </c>
      <c r="R545" s="13" t="s">
        <v>25</v>
      </c>
      <c r="S545" s="13" t="s">
        <v>25</v>
      </c>
      <c r="T545" s="13" t="s">
        <v>25</v>
      </c>
    </row>
    <row r="546" spans="1:20" x14ac:dyDescent="0.3">
      <c r="A546" s="14">
        <v>43910.708333333336</v>
      </c>
      <c r="B546" s="13" t="s">
        <v>22</v>
      </c>
      <c r="C546" s="114">
        <v>2</v>
      </c>
      <c r="D546" s="13" t="s">
        <v>60</v>
      </c>
      <c r="E546" s="114">
        <v>4573750286</v>
      </c>
      <c r="F546" s="114">
        <v>7320149366</v>
      </c>
      <c r="G546" s="114">
        <v>54</v>
      </c>
      <c r="H546" s="114">
        <v>9</v>
      </c>
      <c r="I546" s="114">
        <v>63</v>
      </c>
      <c r="J546" s="114">
        <v>194</v>
      </c>
      <c r="K546" s="114">
        <v>257</v>
      </c>
      <c r="L546" s="114">
        <v>48</v>
      </c>
      <c r="M546" s="114">
        <v>49</v>
      </c>
      <c r="N546" s="114">
        <v>0</v>
      </c>
      <c r="O546" s="114">
        <v>7</v>
      </c>
      <c r="P546" s="114">
        <v>264</v>
      </c>
      <c r="Q546" s="114">
        <v>814</v>
      </c>
      <c r="R546" s="13" t="s">
        <v>25</v>
      </c>
      <c r="S546" s="13" t="s">
        <v>25</v>
      </c>
      <c r="T546" s="13" t="s">
        <v>25</v>
      </c>
    </row>
    <row r="547" spans="1:20" x14ac:dyDescent="0.3">
      <c r="A547" s="14">
        <v>43910.708333333336</v>
      </c>
      <c r="B547" s="13" t="s">
        <v>22</v>
      </c>
      <c r="C547" s="114">
        <v>5</v>
      </c>
      <c r="D547" s="13" t="s">
        <v>61</v>
      </c>
      <c r="E547" s="114">
        <v>4543490485</v>
      </c>
      <c r="F547" s="114">
        <v>1233845213</v>
      </c>
      <c r="G547" s="114">
        <v>843</v>
      </c>
      <c r="H547" s="114">
        <v>236</v>
      </c>
      <c r="I547" s="114">
        <v>1079</v>
      </c>
      <c r="J547" s="114">
        <v>2598</v>
      </c>
      <c r="K547" s="114">
        <v>3677</v>
      </c>
      <c r="L547" s="114">
        <v>508</v>
      </c>
      <c r="M547" s="114">
        <v>547</v>
      </c>
      <c r="N547" s="114">
        <v>223</v>
      </c>
      <c r="O547" s="114">
        <v>131</v>
      </c>
      <c r="P547" s="114">
        <v>4031</v>
      </c>
      <c r="Q547" s="114">
        <v>49288</v>
      </c>
      <c r="R547" s="13" t="s">
        <v>25</v>
      </c>
      <c r="S547" s="13" t="s">
        <v>25</v>
      </c>
      <c r="T547" s="13" t="s">
        <v>25</v>
      </c>
    </row>
    <row r="548" spans="1:20" x14ac:dyDescent="0.3">
      <c r="A548" s="14">
        <v>43911.708333333336</v>
      </c>
      <c r="B548" s="13" t="s">
        <v>22</v>
      </c>
      <c r="C548" s="114">
        <v>13</v>
      </c>
      <c r="D548" s="13" t="s">
        <v>42</v>
      </c>
      <c r="E548" s="114">
        <v>4235122196</v>
      </c>
      <c r="F548" s="114">
        <v>1339843823</v>
      </c>
      <c r="G548" s="114">
        <v>185</v>
      </c>
      <c r="H548" s="114">
        <v>44</v>
      </c>
      <c r="I548" s="114">
        <v>229</v>
      </c>
      <c r="J548" s="114">
        <v>265</v>
      </c>
      <c r="K548" s="114">
        <v>494</v>
      </c>
      <c r="L548" s="114">
        <v>72</v>
      </c>
      <c r="M548" s="114">
        <v>80</v>
      </c>
      <c r="N548" s="114">
        <v>13</v>
      </c>
      <c r="O548" s="114">
        <v>22</v>
      </c>
      <c r="P548" s="114">
        <v>529</v>
      </c>
      <c r="Q548" s="114">
        <v>3035</v>
      </c>
      <c r="R548" s="13" t="s">
        <v>25</v>
      </c>
      <c r="S548" s="13" t="s">
        <v>25</v>
      </c>
      <c r="T548" s="13" t="s">
        <v>25</v>
      </c>
    </row>
    <row r="549" spans="1:20" x14ac:dyDescent="0.3">
      <c r="A549" s="14">
        <v>43911.708333333336</v>
      </c>
      <c r="B549" s="13" t="s">
        <v>22</v>
      </c>
      <c r="C549" s="114">
        <v>17</v>
      </c>
      <c r="D549" s="13" t="s">
        <v>43</v>
      </c>
      <c r="E549" s="114">
        <v>4063947052</v>
      </c>
      <c r="F549" s="114">
        <v>1580514834</v>
      </c>
      <c r="G549" s="114">
        <v>12</v>
      </c>
      <c r="H549" s="114">
        <v>7</v>
      </c>
      <c r="I549" s="114">
        <v>19</v>
      </c>
      <c r="J549" s="114">
        <v>47</v>
      </c>
      <c r="K549" s="114">
        <v>66</v>
      </c>
      <c r="L549" s="114">
        <v>14</v>
      </c>
      <c r="M549" s="114">
        <v>14</v>
      </c>
      <c r="N549" s="114">
        <v>0</v>
      </c>
      <c r="O549" s="114">
        <v>0</v>
      </c>
      <c r="P549" s="114">
        <v>66</v>
      </c>
      <c r="Q549" s="114">
        <v>522</v>
      </c>
      <c r="R549" s="13" t="s">
        <v>25</v>
      </c>
      <c r="S549" s="13" t="s">
        <v>25</v>
      </c>
      <c r="T549" s="13" t="s">
        <v>25</v>
      </c>
    </row>
    <row r="550" spans="1:20" x14ac:dyDescent="0.3">
      <c r="A550" s="14">
        <v>43911.708333333336</v>
      </c>
      <c r="B550" s="13" t="s">
        <v>22</v>
      </c>
      <c r="C550" s="114">
        <v>4</v>
      </c>
      <c r="D550" s="13" t="s">
        <v>44</v>
      </c>
      <c r="E550" s="114">
        <v>4649933453</v>
      </c>
      <c r="F550" s="114">
        <v>1135662422</v>
      </c>
      <c r="G550" s="114">
        <v>127</v>
      </c>
      <c r="H550" s="114">
        <v>30</v>
      </c>
      <c r="I550" s="114">
        <v>157</v>
      </c>
      <c r="J550" s="114">
        <v>443</v>
      </c>
      <c r="K550" s="114">
        <v>600</v>
      </c>
      <c r="L550" s="114">
        <v>70</v>
      </c>
      <c r="M550" s="114">
        <v>73</v>
      </c>
      <c r="N550" s="114">
        <v>1</v>
      </c>
      <c r="O550" s="114">
        <v>20</v>
      </c>
      <c r="P550" s="114">
        <v>621</v>
      </c>
      <c r="Q550" s="114">
        <v>5179</v>
      </c>
      <c r="R550" s="13" t="s">
        <v>25</v>
      </c>
      <c r="S550" s="13" t="s">
        <v>25</v>
      </c>
      <c r="T550" s="13" t="s">
        <v>25</v>
      </c>
    </row>
    <row r="551" spans="1:20" x14ac:dyDescent="0.3">
      <c r="A551" s="14">
        <v>43911.708333333336</v>
      </c>
      <c r="B551" s="13" t="s">
        <v>22</v>
      </c>
      <c r="C551" s="114">
        <v>18</v>
      </c>
      <c r="D551" s="13" t="s">
        <v>45</v>
      </c>
      <c r="E551" s="114">
        <v>3890597598</v>
      </c>
      <c r="F551" s="114">
        <v>1659440194</v>
      </c>
      <c r="G551" s="114">
        <v>73</v>
      </c>
      <c r="H551" s="114">
        <v>16</v>
      </c>
      <c r="I551" s="114">
        <v>89</v>
      </c>
      <c r="J551" s="114">
        <v>136</v>
      </c>
      <c r="K551" s="114">
        <v>225</v>
      </c>
      <c r="L551" s="114">
        <v>24</v>
      </c>
      <c r="M551" s="114">
        <v>28</v>
      </c>
      <c r="N551" s="114">
        <v>5</v>
      </c>
      <c r="O551" s="114">
        <v>5</v>
      </c>
      <c r="P551" s="114">
        <v>235</v>
      </c>
      <c r="Q551" s="114">
        <v>3050</v>
      </c>
      <c r="R551" s="13" t="s">
        <v>25</v>
      </c>
      <c r="S551" s="13" t="s">
        <v>25</v>
      </c>
      <c r="T551" s="13" t="s">
        <v>25</v>
      </c>
    </row>
    <row r="552" spans="1:20" x14ac:dyDescent="0.3">
      <c r="A552" s="14">
        <v>43911.708333333336</v>
      </c>
      <c r="B552" s="13" t="s">
        <v>22</v>
      </c>
      <c r="C552" s="114">
        <v>15</v>
      </c>
      <c r="D552" s="13" t="s">
        <v>46</v>
      </c>
      <c r="E552" s="114">
        <v>4083956555</v>
      </c>
      <c r="F552" s="114">
        <v>1425084984</v>
      </c>
      <c r="G552" s="114">
        <v>233</v>
      </c>
      <c r="H552" s="114">
        <v>87</v>
      </c>
      <c r="I552" s="114">
        <v>320</v>
      </c>
      <c r="J552" s="114">
        <v>473</v>
      </c>
      <c r="K552" s="114">
        <v>793</v>
      </c>
      <c r="L552" s="114">
        <v>91</v>
      </c>
      <c r="M552" s="114">
        <v>95</v>
      </c>
      <c r="N552" s="114">
        <v>29</v>
      </c>
      <c r="O552" s="114">
        <v>22</v>
      </c>
      <c r="P552" s="114">
        <v>844</v>
      </c>
      <c r="Q552" s="114">
        <v>4448</v>
      </c>
      <c r="R552" s="13" t="s">
        <v>25</v>
      </c>
      <c r="S552" s="13" t="s">
        <v>25</v>
      </c>
      <c r="T552" s="13" t="s">
        <v>25</v>
      </c>
    </row>
    <row r="553" spans="1:20" x14ac:dyDescent="0.3">
      <c r="A553" s="14">
        <v>43911.708333333336</v>
      </c>
      <c r="B553" s="13" t="s">
        <v>22</v>
      </c>
      <c r="C553" s="114">
        <v>8</v>
      </c>
      <c r="D553" s="13" t="s">
        <v>96</v>
      </c>
      <c r="E553" s="114">
        <v>4449436681</v>
      </c>
      <c r="F553" s="114">
        <v>113417208</v>
      </c>
      <c r="G553" s="114">
        <v>2267</v>
      </c>
      <c r="H553" s="114">
        <v>265</v>
      </c>
      <c r="I553" s="114">
        <v>2532</v>
      </c>
      <c r="J553" s="114">
        <v>3129</v>
      </c>
      <c r="K553" s="114">
        <v>5661</v>
      </c>
      <c r="L553" s="114">
        <v>572</v>
      </c>
      <c r="M553" s="114">
        <v>737</v>
      </c>
      <c r="N553" s="114">
        <v>329</v>
      </c>
      <c r="O553" s="114">
        <v>715</v>
      </c>
      <c r="P553" s="114">
        <v>6705</v>
      </c>
      <c r="Q553" s="114">
        <v>24620</v>
      </c>
      <c r="R553" s="13" t="s">
        <v>25</v>
      </c>
      <c r="S553" s="13" t="s">
        <v>25</v>
      </c>
      <c r="T553" s="13" t="s">
        <v>25</v>
      </c>
    </row>
    <row r="554" spans="1:20" x14ac:dyDescent="0.3">
      <c r="A554" s="14">
        <v>43911.708333333336</v>
      </c>
      <c r="B554" s="13" t="s">
        <v>22</v>
      </c>
      <c r="C554" s="114">
        <v>6</v>
      </c>
      <c r="D554" s="13" t="s">
        <v>47</v>
      </c>
      <c r="E554" s="114">
        <v>456494354</v>
      </c>
      <c r="F554" s="114">
        <v>1376813649</v>
      </c>
      <c r="G554" s="114">
        <v>152</v>
      </c>
      <c r="H554" s="114">
        <v>37</v>
      </c>
      <c r="I554" s="114">
        <v>189</v>
      </c>
      <c r="J554" s="114">
        <v>477</v>
      </c>
      <c r="K554" s="114">
        <v>666</v>
      </c>
      <c r="L554" s="114">
        <v>111</v>
      </c>
      <c r="M554" s="114">
        <v>134</v>
      </c>
      <c r="N554" s="114">
        <v>82</v>
      </c>
      <c r="O554" s="114">
        <v>42</v>
      </c>
      <c r="P554" s="114">
        <v>790</v>
      </c>
      <c r="Q554" s="114">
        <v>5955</v>
      </c>
      <c r="R554" s="13" t="s">
        <v>25</v>
      </c>
      <c r="S554" s="13" t="s">
        <v>25</v>
      </c>
      <c r="T554" s="13" t="s">
        <v>25</v>
      </c>
    </row>
    <row r="555" spans="1:20" x14ac:dyDescent="0.3">
      <c r="A555" s="14">
        <v>43911.708333333336</v>
      </c>
      <c r="B555" s="13" t="s">
        <v>22</v>
      </c>
      <c r="C555" s="114">
        <v>12</v>
      </c>
      <c r="D555" s="13" t="s">
        <v>48</v>
      </c>
      <c r="E555" s="114">
        <v>4189277044</v>
      </c>
      <c r="F555" s="114">
        <v>1248366722</v>
      </c>
      <c r="G555" s="114">
        <v>591</v>
      </c>
      <c r="H555" s="114">
        <v>70</v>
      </c>
      <c r="I555" s="114">
        <v>661</v>
      </c>
      <c r="J555" s="114">
        <v>425</v>
      </c>
      <c r="K555" s="114">
        <v>1086</v>
      </c>
      <c r="L555" s="114">
        <v>174</v>
      </c>
      <c r="M555" s="114">
        <v>182</v>
      </c>
      <c r="N555" s="114">
        <v>54</v>
      </c>
      <c r="O555" s="114">
        <v>50</v>
      </c>
      <c r="P555" s="114">
        <v>1190</v>
      </c>
      <c r="Q555" s="114">
        <v>13889</v>
      </c>
      <c r="R555" s="13" t="s">
        <v>25</v>
      </c>
      <c r="S555" s="13" t="s">
        <v>25</v>
      </c>
      <c r="T555" s="13" t="s">
        <v>25</v>
      </c>
    </row>
    <row r="556" spans="1:20" x14ac:dyDescent="0.3">
      <c r="A556" s="14">
        <v>43911.708333333336</v>
      </c>
      <c r="B556" s="13" t="s">
        <v>22</v>
      </c>
      <c r="C556" s="114">
        <v>7</v>
      </c>
      <c r="D556" s="13" t="s">
        <v>49</v>
      </c>
      <c r="E556" s="114">
        <v>4441149315</v>
      </c>
      <c r="F556" s="114">
        <v>89326992</v>
      </c>
      <c r="G556" s="114">
        <v>598</v>
      </c>
      <c r="H556" s="114">
        <v>129</v>
      </c>
      <c r="I556" s="114">
        <v>727</v>
      </c>
      <c r="J556" s="114">
        <v>432</v>
      </c>
      <c r="K556" s="114">
        <v>1159</v>
      </c>
      <c r="L556" s="114">
        <v>158</v>
      </c>
      <c r="M556" s="114">
        <v>215</v>
      </c>
      <c r="N556" s="114">
        <v>125</v>
      </c>
      <c r="O556" s="114">
        <v>152</v>
      </c>
      <c r="P556" s="114">
        <v>1436</v>
      </c>
      <c r="Q556" s="114">
        <v>4304</v>
      </c>
      <c r="R556" s="13" t="s">
        <v>25</v>
      </c>
      <c r="S556" s="13" t="s">
        <v>25</v>
      </c>
      <c r="T556" s="13" t="s">
        <v>25</v>
      </c>
    </row>
    <row r="557" spans="1:20" x14ac:dyDescent="0.3">
      <c r="A557" s="14">
        <v>43911.708333333336</v>
      </c>
      <c r="B557" s="13" t="s">
        <v>22</v>
      </c>
      <c r="C557" s="114">
        <v>3</v>
      </c>
      <c r="D557" s="13" t="s">
        <v>50</v>
      </c>
      <c r="E557" s="114">
        <v>4546679409</v>
      </c>
      <c r="F557" s="114">
        <v>9190347404</v>
      </c>
      <c r="G557" s="114">
        <v>8258</v>
      </c>
      <c r="H557" s="114">
        <v>1093</v>
      </c>
      <c r="I557" s="114">
        <v>9351</v>
      </c>
      <c r="J557" s="114">
        <v>8019</v>
      </c>
      <c r="K557" s="114">
        <v>17370</v>
      </c>
      <c r="L557" s="114">
        <v>1950</v>
      </c>
      <c r="M557" s="114">
        <v>3251</v>
      </c>
      <c r="N557" s="114">
        <v>5050</v>
      </c>
      <c r="O557" s="114">
        <v>3095</v>
      </c>
      <c r="P557" s="114">
        <v>25515</v>
      </c>
      <c r="Q557" s="114">
        <v>66730</v>
      </c>
      <c r="R557" s="13" t="s">
        <v>25</v>
      </c>
      <c r="S557" s="13" t="s">
        <v>25</v>
      </c>
      <c r="T557" s="13" t="s">
        <v>25</v>
      </c>
    </row>
    <row r="558" spans="1:20" x14ac:dyDescent="0.3">
      <c r="A558" s="14">
        <v>43911.708333333336</v>
      </c>
      <c r="B558" s="13" t="s">
        <v>22</v>
      </c>
      <c r="C558" s="114">
        <v>11</v>
      </c>
      <c r="D558" s="13" t="s">
        <v>51</v>
      </c>
      <c r="E558" s="114">
        <v>4361675973</v>
      </c>
      <c r="F558" s="114">
        <v>135188753</v>
      </c>
      <c r="G558" s="114">
        <v>742</v>
      </c>
      <c r="H558" s="114">
        <v>141</v>
      </c>
      <c r="I558" s="114">
        <v>883</v>
      </c>
      <c r="J558" s="114">
        <v>1114</v>
      </c>
      <c r="K558" s="114">
        <v>1997</v>
      </c>
      <c r="L558" s="114">
        <v>153</v>
      </c>
      <c r="M558" s="114">
        <v>172</v>
      </c>
      <c r="N558" s="114">
        <v>2</v>
      </c>
      <c r="O558" s="114">
        <v>154</v>
      </c>
      <c r="P558" s="114">
        <v>2153</v>
      </c>
      <c r="Q558" s="114">
        <v>5740</v>
      </c>
      <c r="R558" s="13" t="s">
        <v>25</v>
      </c>
      <c r="S558" s="13" t="s">
        <v>25</v>
      </c>
      <c r="T558" s="13" t="s">
        <v>25</v>
      </c>
    </row>
    <row r="559" spans="1:20" x14ac:dyDescent="0.3">
      <c r="A559" s="14">
        <v>43911.708333333336</v>
      </c>
      <c r="B559" s="13" t="s">
        <v>22</v>
      </c>
      <c r="C559" s="114">
        <v>14</v>
      </c>
      <c r="D559" s="13" t="s">
        <v>52</v>
      </c>
      <c r="E559" s="114">
        <v>4155774754</v>
      </c>
      <c r="F559" s="114">
        <v>1465916051</v>
      </c>
      <c r="G559" s="114">
        <v>21</v>
      </c>
      <c r="H559" s="114">
        <v>6</v>
      </c>
      <c r="I559" s="114">
        <v>27</v>
      </c>
      <c r="J559" s="114">
        <v>20</v>
      </c>
      <c r="K559" s="114">
        <v>47</v>
      </c>
      <c r="L559" s="114">
        <v>8</v>
      </c>
      <c r="M559" s="114">
        <v>11</v>
      </c>
      <c r="N559" s="114">
        <v>7</v>
      </c>
      <c r="O559" s="114">
        <v>7</v>
      </c>
      <c r="P559" s="114">
        <v>61</v>
      </c>
      <c r="Q559" s="114">
        <v>449</v>
      </c>
      <c r="R559" s="13" t="s">
        <v>25</v>
      </c>
      <c r="S559" s="13" t="s">
        <v>25</v>
      </c>
      <c r="T559" s="13" t="s">
        <v>25</v>
      </c>
    </row>
    <row r="560" spans="1:20" x14ac:dyDescent="0.3">
      <c r="A560" s="14">
        <v>43911.708333333336</v>
      </c>
      <c r="B560" s="13" t="s">
        <v>22</v>
      </c>
      <c r="C560" s="114">
        <v>1</v>
      </c>
      <c r="D560" s="13" t="s">
        <v>53</v>
      </c>
      <c r="E560" s="114">
        <v>450732745</v>
      </c>
      <c r="F560" s="114">
        <v>7680687483</v>
      </c>
      <c r="G560" s="114">
        <v>1976</v>
      </c>
      <c r="H560" s="114">
        <v>301</v>
      </c>
      <c r="I560" s="114">
        <v>2277</v>
      </c>
      <c r="J560" s="114">
        <v>1229</v>
      </c>
      <c r="K560" s="114">
        <v>3506</v>
      </c>
      <c r="L560" s="114">
        <v>262</v>
      </c>
      <c r="M560" s="114">
        <v>291</v>
      </c>
      <c r="N560" s="114">
        <v>8</v>
      </c>
      <c r="O560" s="114">
        <v>238</v>
      </c>
      <c r="P560" s="114">
        <v>3752</v>
      </c>
      <c r="Q560" s="114">
        <v>10701</v>
      </c>
      <c r="R560" s="13" t="s">
        <v>25</v>
      </c>
      <c r="S560" s="13" t="s">
        <v>25</v>
      </c>
      <c r="T560" s="13" t="s">
        <v>25</v>
      </c>
    </row>
    <row r="561" spans="1:20" x14ac:dyDescent="0.3">
      <c r="A561" s="14">
        <v>43911.708333333336</v>
      </c>
      <c r="B561" s="13" t="s">
        <v>22</v>
      </c>
      <c r="C561" s="114">
        <v>16</v>
      </c>
      <c r="D561" s="13" t="s">
        <v>54</v>
      </c>
      <c r="E561" s="114">
        <v>4112559576</v>
      </c>
      <c r="F561" s="114">
        <v>1686736689</v>
      </c>
      <c r="G561" s="114">
        <v>209</v>
      </c>
      <c r="H561" s="114">
        <v>33</v>
      </c>
      <c r="I561" s="114">
        <v>242</v>
      </c>
      <c r="J561" s="114">
        <v>400</v>
      </c>
      <c r="K561" s="114">
        <v>642</v>
      </c>
      <c r="L561" s="114">
        <v>91</v>
      </c>
      <c r="M561" s="114">
        <v>94</v>
      </c>
      <c r="N561" s="114">
        <v>4</v>
      </c>
      <c r="O561" s="114">
        <v>29</v>
      </c>
      <c r="P561" s="114">
        <v>675</v>
      </c>
      <c r="Q561" s="114">
        <v>5617</v>
      </c>
      <c r="R561" s="13" t="s">
        <v>25</v>
      </c>
      <c r="S561" s="13" t="s">
        <v>25</v>
      </c>
      <c r="T561" s="13" t="s">
        <v>25</v>
      </c>
    </row>
    <row r="562" spans="1:20" x14ac:dyDescent="0.3">
      <c r="A562" s="14">
        <v>43911.708333333336</v>
      </c>
      <c r="B562" s="13" t="s">
        <v>22</v>
      </c>
      <c r="C562" s="114">
        <v>20</v>
      </c>
      <c r="D562" s="13" t="s">
        <v>55</v>
      </c>
      <c r="E562" s="114">
        <v>3921531192</v>
      </c>
      <c r="F562" s="114">
        <v>9110616306</v>
      </c>
      <c r="G562" s="114">
        <v>65</v>
      </c>
      <c r="H562" s="114">
        <v>16</v>
      </c>
      <c r="I562" s="114">
        <v>81</v>
      </c>
      <c r="J562" s="114">
        <v>240</v>
      </c>
      <c r="K562" s="114">
        <v>321</v>
      </c>
      <c r="L562" s="114">
        <v>33</v>
      </c>
      <c r="M562" s="114">
        <v>37</v>
      </c>
      <c r="N562" s="114">
        <v>5</v>
      </c>
      <c r="O562" s="114">
        <v>4</v>
      </c>
      <c r="P562" s="114">
        <v>330</v>
      </c>
      <c r="Q562" s="114">
        <v>2297</v>
      </c>
      <c r="R562" s="13" t="s">
        <v>25</v>
      </c>
      <c r="S562" s="13" t="s">
        <v>25</v>
      </c>
      <c r="T562" s="13" t="s">
        <v>25</v>
      </c>
    </row>
    <row r="563" spans="1:20" x14ac:dyDescent="0.3">
      <c r="A563" s="14">
        <v>43911.708333333336</v>
      </c>
      <c r="B563" s="13" t="s">
        <v>22</v>
      </c>
      <c r="C563" s="114">
        <v>19</v>
      </c>
      <c r="D563" s="13" t="s">
        <v>56</v>
      </c>
      <c r="E563" s="114">
        <v>3811569725</v>
      </c>
      <c r="F563" s="114">
        <v>133623567</v>
      </c>
      <c r="G563" s="114">
        <v>206</v>
      </c>
      <c r="H563" s="114">
        <v>48</v>
      </c>
      <c r="I563" s="114">
        <v>254</v>
      </c>
      <c r="J563" s="114">
        <v>204</v>
      </c>
      <c r="K563" s="114">
        <v>458</v>
      </c>
      <c r="L563" s="114">
        <v>79</v>
      </c>
      <c r="M563" s="114">
        <v>82</v>
      </c>
      <c r="N563" s="114">
        <v>26</v>
      </c>
      <c r="O563" s="114">
        <v>6</v>
      </c>
      <c r="P563" s="114">
        <v>490</v>
      </c>
      <c r="Q563" s="114">
        <v>4883</v>
      </c>
      <c r="R563" s="13" t="s">
        <v>25</v>
      </c>
      <c r="S563" s="13" t="s">
        <v>25</v>
      </c>
      <c r="T563" s="13" t="s">
        <v>25</v>
      </c>
    </row>
    <row r="564" spans="1:20" x14ac:dyDescent="0.3">
      <c r="A564" s="14">
        <v>43911.708333333336</v>
      </c>
      <c r="B564" s="13" t="s">
        <v>22</v>
      </c>
      <c r="C564" s="114">
        <v>9</v>
      </c>
      <c r="D564" s="13" t="s">
        <v>57</v>
      </c>
      <c r="E564" s="114">
        <v>4376923077</v>
      </c>
      <c r="F564" s="114">
        <v>1125588885</v>
      </c>
      <c r="G564" s="114">
        <v>664</v>
      </c>
      <c r="H564" s="114">
        <v>202</v>
      </c>
      <c r="I564" s="114">
        <v>866</v>
      </c>
      <c r="J564" s="114">
        <v>1039</v>
      </c>
      <c r="K564" s="114">
        <v>1905</v>
      </c>
      <c r="L564" s="114">
        <v>192</v>
      </c>
      <c r="M564" s="114">
        <v>219</v>
      </c>
      <c r="N564" s="114">
        <v>35</v>
      </c>
      <c r="O564" s="114">
        <v>72</v>
      </c>
      <c r="P564" s="114">
        <v>2012</v>
      </c>
      <c r="Q564" s="114">
        <v>11909</v>
      </c>
      <c r="R564" s="13" t="s">
        <v>25</v>
      </c>
      <c r="S564" s="13" t="s">
        <v>25</v>
      </c>
      <c r="T564" s="13" t="s">
        <v>25</v>
      </c>
    </row>
    <row r="565" spans="1:20" x14ac:dyDescent="0.3">
      <c r="A565" s="14">
        <v>43911.708333333336</v>
      </c>
      <c r="B565" s="13" t="s">
        <v>22</v>
      </c>
      <c r="C565" s="114">
        <v>4</v>
      </c>
      <c r="D565" s="13" t="s">
        <v>58</v>
      </c>
      <c r="E565" s="114">
        <v>4606893511</v>
      </c>
      <c r="F565" s="114">
        <v>1112123097</v>
      </c>
      <c r="G565" s="114">
        <v>233</v>
      </c>
      <c r="H565" s="114">
        <v>39</v>
      </c>
      <c r="I565" s="114">
        <v>272</v>
      </c>
      <c r="J565" s="114">
        <v>448</v>
      </c>
      <c r="K565" s="114">
        <v>720</v>
      </c>
      <c r="L565" s="114">
        <v>120</v>
      </c>
      <c r="M565" s="114">
        <v>140</v>
      </c>
      <c r="N565" s="114">
        <v>34</v>
      </c>
      <c r="O565" s="114">
        <v>28</v>
      </c>
      <c r="P565" s="114">
        <v>782</v>
      </c>
      <c r="Q565" s="114">
        <v>2656</v>
      </c>
      <c r="R565" s="13" t="s">
        <v>25</v>
      </c>
      <c r="S565" s="13" t="s">
        <v>25</v>
      </c>
      <c r="T565" s="13" t="s">
        <v>25</v>
      </c>
    </row>
    <row r="566" spans="1:20" x14ac:dyDescent="0.3">
      <c r="A566" s="14">
        <v>43911.708333333336</v>
      </c>
      <c r="B566" s="13" t="s">
        <v>22</v>
      </c>
      <c r="C566" s="114">
        <v>10</v>
      </c>
      <c r="D566" s="13" t="s">
        <v>59</v>
      </c>
      <c r="E566" s="114">
        <v>4310675841</v>
      </c>
      <c r="F566" s="114">
        <v>1238824698</v>
      </c>
      <c r="G566" s="114">
        <v>92</v>
      </c>
      <c r="H566" s="114">
        <v>29</v>
      </c>
      <c r="I566" s="114">
        <v>121</v>
      </c>
      <c r="J566" s="114">
        <v>326</v>
      </c>
      <c r="K566" s="114">
        <v>447</v>
      </c>
      <c r="L566" s="114">
        <v>63</v>
      </c>
      <c r="M566" s="114">
        <v>67</v>
      </c>
      <c r="N566" s="114">
        <v>5</v>
      </c>
      <c r="O566" s="114">
        <v>10</v>
      </c>
      <c r="P566" s="114">
        <v>462</v>
      </c>
      <c r="Q566" s="114">
        <v>2712</v>
      </c>
      <c r="R566" s="13" t="s">
        <v>25</v>
      </c>
      <c r="S566" s="13" t="s">
        <v>25</v>
      </c>
      <c r="T566" s="13" t="s">
        <v>25</v>
      </c>
    </row>
    <row r="567" spans="1:20" x14ac:dyDescent="0.3">
      <c r="A567" s="14">
        <v>43911.708333333336</v>
      </c>
      <c r="B567" s="13" t="s">
        <v>22</v>
      </c>
      <c r="C567" s="114">
        <v>2</v>
      </c>
      <c r="D567" s="13" t="s">
        <v>60</v>
      </c>
      <c r="E567" s="114">
        <v>4573750286</v>
      </c>
      <c r="F567" s="114">
        <v>7320149366</v>
      </c>
      <c r="G567" s="114">
        <v>62</v>
      </c>
      <c r="H567" s="114">
        <v>15</v>
      </c>
      <c r="I567" s="114">
        <v>77</v>
      </c>
      <c r="J567" s="114">
        <v>227</v>
      </c>
      <c r="K567" s="114">
        <v>304</v>
      </c>
      <c r="L567" s="114">
        <v>47</v>
      </c>
      <c r="M567" s="114">
        <v>49</v>
      </c>
      <c r="N567" s="114">
        <v>1</v>
      </c>
      <c r="O567" s="114">
        <v>8</v>
      </c>
      <c r="P567" s="114">
        <v>313</v>
      </c>
      <c r="Q567" s="114">
        <v>884</v>
      </c>
      <c r="R567" s="13" t="s">
        <v>25</v>
      </c>
      <c r="S567" s="13" t="s">
        <v>25</v>
      </c>
      <c r="T567" s="13" t="s">
        <v>25</v>
      </c>
    </row>
    <row r="568" spans="1:20" x14ac:dyDescent="0.3">
      <c r="A568" s="14">
        <v>43911.708333333336</v>
      </c>
      <c r="B568" s="13" t="s">
        <v>22</v>
      </c>
      <c r="C568" s="114">
        <v>5</v>
      </c>
      <c r="D568" s="13" t="s">
        <v>61</v>
      </c>
      <c r="E568" s="114">
        <v>4543490485</v>
      </c>
      <c r="F568" s="114">
        <v>1233845213</v>
      </c>
      <c r="G568" s="114">
        <v>942</v>
      </c>
      <c r="H568" s="114">
        <v>249</v>
      </c>
      <c r="I568" s="114">
        <v>1191</v>
      </c>
      <c r="J568" s="114">
        <v>3023</v>
      </c>
      <c r="K568" s="114">
        <v>4214</v>
      </c>
      <c r="L568" s="114">
        <v>537</v>
      </c>
      <c r="M568" s="114">
        <v>586</v>
      </c>
      <c r="N568" s="114">
        <v>257</v>
      </c>
      <c r="O568" s="114">
        <v>146</v>
      </c>
      <c r="P568" s="114">
        <v>4617</v>
      </c>
      <c r="Q568" s="114">
        <v>53642</v>
      </c>
      <c r="R568" s="13" t="s">
        <v>25</v>
      </c>
      <c r="S568" s="13" t="s">
        <v>25</v>
      </c>
      <c r="T568" s="13" t="s">
        <v>25</v>
      </c>
    </row>
    <row r="569" spans="1:20" x14ac:dyDescent="0.3">
      <c r="A569" s="14">
        <v>43912.708333333336</v>
      </c>
      <c r="B569" s="13" t="s">
        <v>22</v>
      </c>
      <c r="C569" s="114">
        <v>13</v>
      </c>
      <c r="D569" s="13" t="s">
        <v>42</v>
      </c>
      <c r="E569" s="114">
        <v>4235122196</v>
      </c>
      <c r="F569" s="114">
        <v>1339843823</v>
      </c>
      <c r="G569" s="114">
        <v>218</v>
      </c>
      <c r="H569" s="114">
        <v>49</v>
      </c>
      <c r="I569" s="114">
        <v>267</v>
      </c>
      <c r="J569" s="114">
        <v>272</v>
      </c>
      <c r="K569" s="114">
        <v>539</v>
      </c>
      <c r="L569" s="114">
        <v>45</v>
      </c>
      <c r="M569" s="114">
        <v>58</v>
      </c>
      <c r="N569" s="114">
        <v>15</v>
      </c>
      <c r="O569" s="114">
        <v>33</v>
      </c>
      <c r="P569" s="114">
        <v>587</v>
      </c>
      <c r="Q569" s="114">
        <v>3375</v>
      </c>
      <c r="R569" s="13" t="s">
        <v>25</v>
      </c>
      <c r="S569" s="13" t="s">
        <v>25</v>
      </c>
      <c r="T569" s="13" t="s">
        <v>25</v>
      </c>
    </row>
    <row r="570" spans="1:20" x14ac:dyDescent="0.3">
      <c r="A570" s="14">
        <v>43912.708333333336</v>
      </c>
      <c r="B570" s="13" t="s">
        <v>22</v>
      </c>
      <c r="C570" s="114">
        <v>17</v>
      </c>
      <c r="D570" s="13" t="s">
        <v>43</v>
      </c>
      <c r="E570" s="114">
        <v>4063947052</v>
      </c>
      <c r="F570" s="114">
        <v>1580514834</v>
      </c>
      <c r="G570" s="114">
        <v>13</v>
      </c>
      <c r="H570" s="114">
        <v>10</v>
      </c>
      <c r="I570" s="114">
        <v>23</v>
      </c>
      <c r="J570" s="114">
        <v>58</v>
      </c>
      <c r="K570" s="114">
        <v>81</v>
      </c>
      <c r="L570" s="114">
        <v>15</v>
      </c>
      <c r="M570" s="114">
        <v>15</v>
      </c>
      <c r="N570" s="114">
        <v>0</v>
      </c>
      <c r="O570" s="114">
        <v>0</v>
      </c>
      <c r="P570" s="114">
        <v>81</v>
      </c>
      <c r="Q570" s="114">
        <v>643</v>
      </c>
      <c r="R570" s="13" t="s">
        <v>25</v>
      </c>
      <c r="S570" s="13" t="s">
        <v>25</v>
      </c>
      <c r="T570" s="13" t="s">
        <v>25</v>
      </c>
    </row>
    <row r="571" spans="1:20" x14ac:dyDescent="0.3">
      <c r="A571" s="14">
        <v>43912.708333333336</v>
      </c>
      <c r="B571" s="13" t="s">
        <v>22</v>
      </c>
      <c r="C571" s="114">
        <v>4</v>
      </c>
      <c r="D571" s="13" t="s">
        <v>44</v>
      </c>
      <c r="E571" s="114">
        <v>4649933453</v>
      </c>
      <c r="F571" s="114">
        <v>1135662422</v>
      </c>
      <c r="G571" s="114">
        <v>146</v>
      </c>
      <c r="H571" s="114">
        <v>32</v>
      </c>
      <c r="I571" s="114">
        <v>178</v>
      </c>
      <c r="J571" s="114">
        <v>470</v>
      </c>
      <c r="K571" s="114">
        <v>648</v>
      </c>
      <c r="L571" s="114">
        <v>48</v>
      </c>
      <c r="M571" s="114">
        <v>57</v>
      </c>
      <c r="N571" s="114">
        <v>7</v>
      </c>
      <c r="O571" s="114">
        <v>23</v>
      </c>
      <c r="P571" s="114">
        <v>678</v>
      </c>
      <c r="Q571" s="114">
        <v>5718</v>
      </c>
      <c r="R571" s="13" t="s">
        <v>25</v>
      </c>
      <c r="S571" s="13" t="s">
        <v>25</v>
      </c>
      <c r="T571" s="13" t="s">
        <v>25</v>
      </c>
    </row>
    <row r="572" spans="1:20" x14ac:dyDescent="0.3">
      <c r="A572" s="14">
        <v>43912.708333333336</v>
      </c>
      <c r="B572" s="13" t="s">
        <v>22</v>
      </c>
      <c r="C572" s="114">
        <v>18</v>
      </c>
      <c r="D572" s="13" t="s">
        <v>45</v>
      </c>
      <c r="E572" s="114">
        <v>3890597598</v>
      </c>
      <c r="F572" s="114">
        <v>1659440194</v>
      </c>
      <c r="G572" s="114">
        <v>77</v>
      </c>
      <c r="H572" s="114">
        <v>17</v>
      </c>
      <c r="I572" s="114">
        <v>94</v>
      </c>
      <c r="J572" s="114">
        <v>166</v>
      </c>
      <c r="K572" s="114">
        <v>260</v>
      </c>
      <c r="L572" s="114">
        <v>35</v>
      </c>
      <c r="M572" s="114">
        <v>38</v>
      </c>
      <c r="N572" s="114">
        <v>5</v>
      </c>
      <c r="O572" s="114">
        <v>8</v>
      </c>
      <c r="P572" s="114">
        <v>273</v>
      </c>
      <c r="Q572" s="114">
        <v>3666</v>
      </c>
      <c r="R572" s="13" t="s">
        <v>25</v>
      </c>
      <c r="S572" s="13" t="s">
        <v>25</v>
      </c>
      <c r="T572" s="13" t="s">
        <v>25</v>
      </c>
    </row>
    <row r="573" spans="1:20" x14ac:dyDescent="0.3">
      <c r="A573" s="14">
        <v>43912.708333333336</v>
      </c>
      <c r="B573" s="13" t="s">
        <v>22</v>
      </c>
      <c r="C573" s="114">
        <v>15</v>
      </c>
      <c r="D573" s="13" t="s">
        <v>46</v>
      </c>
      <c r="E573" s="114">
        <v>4083956555</v>
      </c>
      <c r="F573" s="114">
        <v>1425084984</v>
      </c>
      <c r="G573" s="114">
        <v>243</v>
      </c>
      <c r="H573" s="114">
        <v>99</v>
      </c>
      <c r="I573" s="114">
        <v>342</v>
      </c>
      <c r="J573" s="114">
        <v>524</v>
      </c>
      <c r="K573" s="114">
        <v>866</v>
      </c>
      <c r="L573" s="114">
        <v>73</v>
      </c>
      <c r="M573" s="114">
        <v>92</v>
      </c>
      <c r="N573" s="114">
        <v>41</v>
      </c>
      <c r="O573" s="114">
        <v>29</v>
      </c>
      <c r="P573" s="114">
        <v>936</v>
      </c>
      <c r="Q573" s="114">
        <v>4943</v>
      </c>
      <c r="R573" s="13" t="s">
        <v>25</v>
      </c>
      <c r="S573" s="13" t="s">
        <v>25</v>
      </c>
      <c r="T573" s="13" t="s">
        <v>25</v>
      </c>
    </row>
    <row r="574" spans="1:20" x14ac:dyDescent="0.3">
      <c r="A574" s="14">
        <v>43912.708333333336</v>
      </c>
      <c r="B574" s="13" t="s">
        <v>22</v>
      </c>
      <c r="C574" s="114">
        <v>8</v>
      </c>
      <c r="D574" s="13" t="s">
        <v>96</v>
      </c>
      <c r="E574" s="114">
        <v>4449436681</v>
      </c>
      <c r="F574" s="114">
        <v>113417208</v>
      </c>
      <c r="G574" s="114">
        <v>2429</v>
      </c>
      <c r="H574" s="114">
        <v>269</v>
      </c>
      <c r="I574" s="114">
        <v>2698</v>
      </c>
      <c r="J574" s="114">
        <v>3692</v>
      </c>
      <c r="K574" s="114">
        <v>6390</v>
      </c>
      <c r="L574" s="114">
        <v>729</v>
      </c>
      <c r="M574" s="114">
        <v>850</v>
      </c>
      <c r="N574" s="114">
        <v>349</v>
      </c>
      <c r="O574" s="114">
        <v>816</v>
      </c>
      <c r="P574" s="114">
        <v>7555</v>
      </c>
      <c r="Q574" s="114">
        <v>28022</v>
      </c>
      <c r="R574" s="13" t="s">
        <v>25</v>
      </c>
      <c r="S574" s="13" t="s">
        <v>25</v>
      </c>
      <c r="T574" s="13" t="s">
        <v>25</v>
      </c>
    </row>
    <row r="575" spans="1:20" x14ac:dyDescent="0.3">
      <c r="A575" s="14">
        <v>43912.708333333336</v>
      </c>
      <c r="B575" s="13" t="s">
        <v>22</v>
      </c>
      <c r="C575" s="114">
        <v>6</v>
      </c>
      <c r="D575" s="13" t="s">
        <v>47</v>
      </c>
      <c r="E575" s="114">
        <v>456494354</v>
      </c>
      <c r="F575" s="114">
        <v>1376813649</v>
      </c>
      <c r="G575" s="114">
        <v>163</v>
      </c>
      <c r="H575" s="114">
        <v>47</v>
      </c>
      <c r="I575" s="114">
        <v>210</v>
      </c>
      <c r="J575" s="114">
        <v>528</v>
      </c>
      <c r="K575" s="114">
        <v>738</v>
      </c>
      <c r="L575" s="114">
        <v>72</v>
      </c>
      <c r="M575" s="114">
        <v>84</v>
      </c>
      <c r="N575" s="114">
        <v>89</v>
      </c>
      <c r="O575" s="114">
        <v>47</v>
      </c>
      <c r="P575" s="114">
        <v>874</v>
      </c>
      <c r="Q575" s="114">
        <v>6761</v>
      </c>
      <c r="R575" s="13" t="s">
        <v>25</v>
      </c>
      <c r="S575" s="13" t="s">
        <v>25</v>
      </c>
      <c r="T575" s="13" t="s">
        <v>25</v>
      </c>
    </row>
    <row r="576" spans="1:20" x14ac:dyDescent="0.3">
      <c r="A576" s="14">
        <v>43912.708333333336</v>
      </c>
      <c r="B576" s="13" t="s">
        <v>22</v>
      </c>
      <c r="C576" s="114">
        <v>12</v>
      </c>
      <c r="D576" s="13" t="s">
        <v>48</v>
      </c>
      <c r="E576" s="114">
        <v>4189277044</v>
      </c>
      <c r="F576" s="114">
        <v>1248366722</v>
      </c>
      <c r="G576" s="114">
        <v>671</v>
      </c>
      <c r="H576" s="114">
        <v>79</v>
      </c>
      <c r="I576" s="114">
        <v>750</v>
      </c>
      <c r="J576" s="114">
        <v>522</v>
      </c>
      <c r="K576" s="114">
        <v>1272</v>
      </c>
      <c r="L576" s="114">
        <v>186</v>
      </c>
      <c r="M576" s="114">
        <v>193</v>
      </c>
      <c r="N576" s="114">
        <v>58</v>
      </c>
      <c r="O576" s="114">
        <v>53</v>
      </c>
      <c r="P576" s="114">
        <v>1383</v>
      </c>
      <c r="Q576" s="114">
        <v>17845</v>
      </c>
      <c r="R576" s="13" t="s">
        <v>25</v>
      </c>
      <c r="S576" s="13" t="s">
        <v>25</v>
      </c>
      <c r="T576" s="13" t="s">
        <v>25</v>
      </c>
    </row>
    <row r="577" spans="1:20" x14ac:dyDescent="0.3">
      <c r="A577" s="14">
        <v>43912.708333333336</v>
      </c>
      <c r="B577" s="13" t="s">
        <v>22</v>
      </c>
      <c r="C577" s="114">
        <v>7</v>
      </c>
      <c r="D577" s="13" t="s">
        <v>49</v>
      </c>
      <c r="E577" s="114">
        <v>4441149315</v>
      </c>
      <c r="F577" s="114">
        <v>89326992</v>
      </c>
      <c r="G577" s="114">
        <v>736</v>
      </c>
      <c r="H577" s="114">
        <v>132</v>
      </c>
      <c r="I577" s="114">
        <v>868</v>
      </c>
      <c r="J577" s="114">
        <v>483</v>
      </c>
      <c r="K577" s="114">
        <v>1351</v>
      </c>
      <c r="L577" s="114">
        <v>192</v>
      </c>
      <c r="M577" s="114">
        <v>229</v>
      </c>
      <c r="N577" s="114">
        <v>143</v>
      </c>
      <c r="O577" s="114">
        <v>171</v>
      </c>
      <c r="P577" s="114">
        <v>1665</v>
      </c>
      <c r="Q577" s="114">
        <v>4995</v>
      </c>
      <c r="R577" s="13" t="s">
        <v>25</v>
      </c>
      <c r="S577" s="13" t="s">
        <v>25</v>
      </c>
      <c r="T577" s="13" t="s">
        <v>25</v>
      </c>
    </row>
    <row r="578" spans="1:20" x14ac:dyDescent="0.3">
      <c r="A578" s="14">
        <v>43912.708333333336</v>
      </c>
      <c r="B578" s="13" t="s">
        <v>22</v>
      </c>
      <c r="C578" s="114">
        <v>3</v>
      </c>
      <c r="D578" s="13" t="s">
        <v>50</v>
      </c>
      <c r="E578" s="114">
        <v>4546679409</v>
      </c>
      <c r="F578" s="114">
        <v>9190347404</v>
      </c>
      <c r="G578" s="114">
        <v>9439</v>
      </c>
      <c r="H578" s="114">
        <v>1142</v>
      </c>
      <c r="I578" s="114">
        <v>10581</v>
      </c>
      <c r="J578" s="114">
        <v>7304</v>
      </c>
      <c r="K578" s="114">
        <v>17885</v>
      </c>
      <c r="L578" s="114">
        <v>515</v>
      </c>
      <c r="M578" s="114">
        <v>1691</v>
      </c>
      <c r="N578" s="114">
        <v>5865</v>
      </c>
      <c r="O578" s="114">
        <v>3456</v>
      </c>
      <c r="P578" s="114">
        <v>27206</v>
      </c>
      <c r="Q578" s="114">
        <v>70598</v>
      </c>
      <c r="R578" s="13" t="s">
        <v>25</v>
      </c>
      <c r="S578" s="13" t="s">
        <v>25</v>
      </c>
      <c r="T578" s="13" t="s">
        <v>25</v>
      </c>
    </row>
    <row r="579" spans="1:20" x14ac:dyDescent="0.3">
      <c r="A579" s="14">
        <v>43912.708333333336</v>
      </c>
      <c r="B579" s="13" t="s">
        <v>22</v>
      </c>
      <c r="C579" s="114">
        <v>11</v>
      </c>
      <c r="D579" s="13" t="s">
        <v>51</v>
      </c>
      <c r="E579" s="114">
        <v>4361675973</v>
      </c>
      <c r="F579" s="114">
        <v>135188753</v>
      </c>
      <c r="G579" s="114">
        <v>816</v>
      </c>
      <c r="H579" s="114">
        <v>138</v>
      </c>
      <c r="I579" s="114">
        <v>954</v>
      </c>
      <c r="J579" s="114">
        <v>1277</v>
      </c>
      <c r="K579" s="114">
        <v>2231</v>
      </c>
      <c r="L579" s="114">
        <v>234</v>
      </c>
      <c r="M579" s="114">
        <v>268</v>
      </c>
      <c r="N579" s="114">
        <v>6</v>
      </c>
      <c r="O579" s="114">
        <v>184</v>
      </c>
      <c r="P579" s="114">
        <v>2421</v>
      </c>
      <c r="Q579" s="114">
        <v>6391</v>
      </c>
      <c r="R579" s="13" t="s">
        <v>25</v>
      </c>
      <c r="S579" s="13" t="s">
        <v>25</v>
      </c>
      <c r="T579" s="13" t="s">
        <v>25</v>
      </c>
    </row>
    <row r="580" spans="1:20" x14ac:dyDescent="0.3">
      <c r="A580" s="14">
        <v>43912.708333333336</v>
      </c>
      <c r="B580" s="13" t="s">
        <v>22</v>
      </c>
      <c r="C580" s="114">
        <v>14</v>
      </c>
      <c r="D580" s="13" t="s">
        <v>52</v>
      </c>
      <c r="E580" s="114">
        <v>4155774754</v>
      </c>
      <c r="F580" s="114">
        <v>1465916051</v>
      </c>
      <c r="G580" s="114">
        <v>24</v>
      </c>
      <c r="H580" s="114">
        <v>7</v>
      </c>
      <c r="I580" s="114">
        <v>31</v>
      </c>
      <c r="J580" s="114">
        <v>21</v>
      </c>
      <c r="K580" s="114">
        <v>52</v>
      </c>
      <c r="L580" s="114">
        <v>5</v>
      </c>
      <c r="M580" s="114">
        <v>5</v>
      </c>
      <c r="N580" s="114">
        <v>7</v>
      </c>
      <c r="O580" s="114">
        <v>7</v>
      </c>
      <c r="P580" s="114">
        <v>66</v>
      </c>
      <c r="Q580" s="114">
        <v>532</v>
      </c>
      <c r="R580" s="13" t="s">
        <v>25</v>
      </c>
      <c r="S580" s="13" t="s">
        <v>25</v>
      </c>
      <c r="T580" s="13" t="s">
        <v>25</v>
      </c>
    </row>
    <row r="581" spans="1:20" x14ac:dyDescent="0.3">
      <c r="A581" s="14">
        <v>43912.708333333336</v>
      </c>
      <c r="B581" s="13" t="s">
        <v>22</v>
      </c>
      <c r="C581" s="114">
        <v>1</v>
      </c>
      <c r="D581" s="13" t="s">
        <v>53</v>
      </c>
      <c r="E581" s="114">
        <v>450732745</v>
      </c>
      <c r="F581" s="114">
        <v>7680687483</v>
      </c>
      <c r="G581" s="114">
        <v>2118</v>
      </c>
      <c r="H581" s="114">
        <v>308</v>
      </c>
      <c r="I581" s="114">
        <v>2426</v>
      </c>
      <c r="J581" s="114">
        <v>1701</v>
      </c>
      <c r="K581" s="114">
        <v>4127</v>
      </c>
      <c r="L581" s="114">
        <v>621</v>
      </c>
      <c r="M581" s="114">
        <v>668</v>
      </c>
      <c r="N581" s="114">
        <v>10</v>
      </c>
      <c r="O581" s="114">
        <v>283</v>
      </c>
      <c r="P581" s="114">
        <v>4420</v>
      </c>
      <c r="Q581" s="114">
        <v>12701</v>
      </c>
      <c r="R581" s="13" t="s">
        <v>25</v>
      </c>
      <c r="S581" s="13" t="s">
        <v>25</v>
      </c>
      <c r="T581" s="13" t="s">
        <v>25</v>
      </c>
    </row>
    <row r="582" spans="1:20" x14ac:dyDescent="0.3">
      <c r="A582" s="14">
        <v>43912.708333333336</v>
      </c>
      <c r="B582" s="13" t="s">
        <v>22</v>
      </c>
      <c r="C582" s="114">
        <v>16</v>
      </c>
      <c r="D582" s="13" t="s">
        <v>54</v>
      </c>
      <c r="E582" s="114">
        <v>4112559576</v>
      </c>
      <c r="F582" s="114">
        <v>1686736689</v>
      </c>
      <c r="G582" s="114">
        <v>252</v>
      </c>
      <c r="H582" s="114">
        <v>37</v>
      </c>
      <c r="I582" s="114">
        <v>289</v>
      </c>
      <c r="J582" s="114">
        <v>459</v>
      </c>
      <c r="K582" s="114">
        <v>748</v>
      </c>
      <c r="L582" s="114">
        <v>106</v>
      </c>
      <c r="M582" s="114">
        <v>111</v>
      </c>
      <c r="N582" s="114">
        <v>7</v>
      </c>
      <c r="O582" s="114">
        <v>31</v>
      </c>
      <c r="P582" s="114">
        <v>786</v>
      </c>
      <c r="Q582" s="114">
        <v>6160</v>
      </c>
      <c r="R582" s="13" t="s">
        <v>25</v>
      </c>
      <c r="S582" s="13" t="s">
        <v>25</v>
      </c>
      <c r="T582" s="13" t="s">
        <v>25</v>
      </c>
    </row>
    <row r="583" spans="1:20" x14ac:dyDescent="0.3">
      <c r="A583" s="14">
        <v>43912.708333333336</v>
      </c>
      <c r="B583" s="13" t="s">
        <v>22</v>
      </c>
      <c r="C583" s="114">
        <v>20</v>
      </c>
      <c r="D583" s="13" t="s">
        <v>55</v>
      </c>
      <c r="E583" s="114">
        <v>3921531192</v>
      </c>
      <c r="F583" s="114">
        <v>9110616306</v>
      </c>
      <c r="G583" s="114">
        <v>67</v>
      </c>
      <c r="H583" s="114">
        <v>16</v>
      </c>
      <c r="I583" s="114">
        <v>83</v>
      </c>
      <c r="J583" s="114">
        <v>244</v>
      </c>
      <c r="K583" s="114">
        <v>327</v>
      </c>
      <c r="L583" s="114">
        <v>6</v>
      </c>
      <c r="M583" s="114">
        <v>9</v>
      </c>
      <c r="N583" s="114">
        <v>5</v>
      </c>
      <c r="O583" s="114">
        <v>7</v>
      </c>
      <c r="P583" s="114">
        <v>339</v>
      </c>
      <c r="Q583" s="114">
        <v>2402</v>
      </c>
      <c r="R583" s="13" t="s">
        <v>25</v>
      </c>
      <c r="S583" s="13" t="s">
        <v>25</v>
      </c>
      <c r="T583" s="13" t="s">
        <v>25</v>
      </c>
    </row>
    <row r="584" spans="1:20" x14ac:dyDescent="0.3">
      <c r="A584" s="14">
        <v>43912.708333333336</v>
      </c>
      <c r="B584" s="13" t="s">
        <v>22</v>
      </c>
      <c r="C584" s="114">
        <v>19</v>
      </c>
      <c r="D584" s="13" t="s">
        <v>56</v>
      </c>
      <c r="E584" s="114">
        <v>3811569725</v>
      </c>
      <c r="F584" s="114">
        <v>133623567</v>
      </c>
      <c r="G584" s="114">
        <v>220</v>
      </c>
      <c r="H584" s="114">
        <v>55</v>
      </c>
      <c r="I584" s="114">
        <v>275</v>
      </c>
      <c r="J584" s="114">
        <v>321</v>
      </c>
      <c r="K584" s="114">
        <v>596</v>
      </c>
      <c r="L584" s="114">
        <v>138</v>
      </c>
      <c r="M584" s="114">
        <v>140</v>
      </c>
      <c r="N584" s="114">
        <v>26</v>
      </c>
      <c r="O584" s="114">
        <v>8</v>
      </c>
      <c r="P584" s="114">
        <v>630</v>
      </c>
      <c r="Q584" s="114">
        <v>5580</v>
      </c>
      <c r="R584" s="13" t="s">
        <v>25</v>
      </c>
      <c r="S584" s="13" t="s">
        <v>25</v>
      </c>
      <c r="T584" s="13" t="s">
        <v>25</v>
      </c>
    </row>
    <row r="585" spans="1:20" x14ac:dyDescent="0.3">
      <c r="A585" s="14">
        <v>43912.708333333336</v>
      </c>
      <c r="B585" s="13" t="s">
        <v>22</v>
      </c>
      <c r="C585" s="114">
        <v>9</v>
      </c>
      <c r="D585" s="13" t="s">
        <v>57</v>
      </c>
      <c r="E585" s="114">
        <v>4376923077</v>
      </c>
      <c r="F585" s="114">
        <v>1125588885</v>
      </c>
      <c r="G585" s="114">
        <v>706</v>
      </c>
      <c r="H585" s="114">
        <v>215</v>
      </c>
      <c r="I585" s="114">
        <v>921</v>
      </c>
      <c r="J585" s="114">
        <v>1223</v>
      </c>
      <c r="K585" s="114">
        <v>2144</v>
      </c>
      <c r="L585" s="114">
        <v>239</v>
      </c>
      <c r="M585" s="114">
        <v>265</v>
      </c>
      <c r="N585" s="114">
        <v>42</v>
      </c>
      <c r="O585" s="114">
        <v>91</v>
      </c>
      <c r="P585" s="114">
        <v>2277</v>
      </c>
      <c r="Q585" s="114">
        <v>13264</v>
      </c>
      <c r="R585" s="13" t="s">
        <v>25</v>
      </c>
      <c r="S585" s="13" t="s">
        <v>25</v>
      </c>
      <c r="T585" s="13" t="s">
        <v>25</v>
      </c>
    </row>
    <row r="586" spans="1:20" x14ac:dyDescent="0.3">
      <c r="A586" s="14">
        <v>43912.708333333336</v>
      </c>
      <c r="B586" s="13" t="s">
        <v>22</v>
      </c>
      <c r="C586" s="114">
        <v>4</v>
      </c>
      <c r="D586" s="13" t="s">
        <v>58</v>
      </c>
      <c r="E586" s="114">
        <v>4606893511</v>
      </c>
      <c r="F586" s="114">
        <v>1112123097</v>
      </c>
      <c r="G586" s="114">
        <v>235</v>
      </c>
      <c r="H586" s="114">
        <v>46</v>
      </c>
      <c r="I586" s="114">
        <v>281</v>
      </c>
      <c r="J586" s="114">
        <v>604</v>
      </c>
      <c r="K586" s="114">
        <v>885</v>
      </c>
      <c r="L586" s="114">
        <v>165</v>
      </c>
      <c r="M586" s="114">
        <v>172</v>
      </c>
      <c r="N586" s="114">
        <v>34</v>
      </c>
      <c r="O586" s="114">
        <v>35</v>
      </c>
      <c r="P586" s="114">
        <v>954</v>
      </c>
      <c r="Q586" s="114">
        <v>3050</v>
      </c>
      <c r="R586" s="13" t="s">
        <v>25</v>
      </c>
      <c r="S586" s="13" t="s">
        <v>25</v>
      </c>
      <c r="T586" s="13" t="s">
        <v>25</v>
      </c>
    </row>
    <row r="587" spans="1:20" x14ac:dyDescent="0.3">
      <c r="A587" s="14">
        <v>43912.708333333336</v>
      </c>
      <c r="B587" s="13" t="s">
        <v>22</v>
      </c>
      <c r="C587" s="114">
        <v>10</v>
      </c>
      <c r="D587" s="13" t="s">
        <v>59</v>
      </c>
      <c r="E587" s="114">
        <v>4310675841</v>
      </c>
      <c r="F587" s="114">
        <v>1238824698</v>
      </c>
      <c r="G587" s="114">
        <v>97</v>
      </c>
      <c r="H587" s="114">
        <v>35</v>
      </c>
      <c r="I587" s="114">
        <v>132</v>
      </c>
      <c r="J587" s="114">
        <v>368</v>
      </c>
      <c r="K587" s="114">
        <v>500</v>
      </c>
      <c r="L587" s="114">
        <v>53</v>
      </c>
      <c r="M587" s="114">
        <v>59</v>
      </c>
      <c r="N587" s="114">
        <v>5</v>
      </c>
      <c r="O587" s="114">
        <v>16</v>
      </c>
      <c r="P587" s="114">
        <v>521</v>
      </c>
      <c r="Q587" s="114">
        <v>3135</v>
      </c>
      <c r="R587" s="13" t="s">
        <v>25</v>
      </c>
      <c r="S587" s="13" t="s">
        <v>25</v>
      </c>
      <c r="T587" s="13" t="s">
        <v>25</v>
      </c>
    </row>
    <row r="588" spans="1:20" x14ac:dyDescent="0.3">
      <c r="A588" s="14">
        <v>43912.708333333336</v>
      </c>
      <c r="B588" s="13" t="s">
        <v>22</v>
      </c>
      <c r="C588" s="114">
        <v>2</v>
      </c>
      <c r="D588" s="13" t="s">
        <v>60</v>
      </c>
      <c r="E588" s="114">
        <v>4573750286</v>
      </c>
      <c r="F588" s="114">
        <v>7320149366</v>
      </c>
      <c r="G588" s="114">
        <v>63</v>
      </c>
      <c r="H588" s="114">
        <v>21</v>
      </c>
      <c r="I588" s="114">
        <v>84</v>
      </c>
      <c r="J588" s="114">
        <v>270</v>
      </c>
      <c r="K588" s="114">
        <v>354</v>
      </c>
      <c r="L588" s="114">
        <v>50</v>
      </c>
      <c r="M588" s="114">
        <v>51</v>
      </c>
      <c r="N588" s="114">
        <v>1</v>
      </c>
      <c r="O588" s="114">
        <v>9</v>
      </c>
      <c r="P588" s="114">
        <v>364</v>
      </c>
      <c r="Q588" s="114">
        <v>950</v>
      </c>
      <c r="R588" s="13" t="s">
        <v>25</v>
      </c>
      <c r="S588" s="13" t="s">
        <v>25</v>
      </c>
      <c r="T588" s="13" t="s">
        <v>25</v>
      </c>
    </row>
    <row r="589" spans="1:20" x14ac:dyDescent="0.3">
      <c r="A589" s="14">
        <v>43912.708333333336</v>
      </c>
      <c r="B589" s="13" t="s">
        <v>22</v>
      </c>
      <c r="C589" s="114">
        <v>5</v>
      </c>
      <c r="D589" s="13" t="s">
        <v>61</v>
      </c>
      <c r="E589" s="114">
        <v>4543490485</v>
      </c>
      <c r="F589" s="114">
        <v>1233845213</v>
      </c>
      <c r="G589" s="114">
        <v>1113</v>
      </c>
      <c r="H589" s="114">
        <v>255</v>
      </c>
      <c r="I589" s="114">
        <v>1368</v>
      </c>
      <c r="J589" s="114">
        <v>3276</v>
      </c>
      <c r="K589" s="114">
        <v>4644</v>
      </c>
      <c r="L589" s="114">
        <v>430</v>
      </c>
      <c r="M589" s="114">
        <v>505</v>
      </c>
      <c r="N589" s="114">
        <v>309</v>
      </c>
      <c r="O589" s="114">
        <v>169</v>
      </c>
      <c r="P589" s="114">
        <v>5122</v>
      </c>
      <c r="Q589" s="114">
        <v>57671</v>
      </c>
      <c r="R589" s="13" t="s">
        <v>25</v>
      </c>
      <c r="S589" s="13" t="s">
        <v>25</v>
      </c>
      <c r="T589" s="13" t="s">
        <v>25</v>
      </c>
    </row>
    <row r="590" spans="1:20" x14ac:dyDescent="0.3">
      <c r="A590" s="14">
        <v>43913.708333333336</v>
      </c>
      <c r="B590" s="13" t="s">
        <v>22</v>
      </c>
      <c r="C590" s="114">
        <v>13</v>
      </c>
      <c r="D590" s="13" t="s">
        <v>42</v>
      </c>
      <c r="E590" s="114">
        <v>4235122196</v>
      </c>
      <c r="F590" s="114">
        <v>1339843823</v>
      </c>
      <c r="G590" s="114">
        <v>228</v>
      </c>
      <c r="H590" s="114">
        <v>52</v>
      </c>
      <c r="I590" s="114">
        <v>280</v>
      </c>
      <c r="J590" s="114">
        <v>325</v>
      </c>
      <c r="K590" s="114">
        <v>605</v>
      </c>
      <c r="L590" s="114">
        <v>66</v>
      </c>
      <c r="M590" s="114">
        <v>76</v>
      </c>
      <c r="N590" s="114">
        <v>20</v>
      </c>
      <c r="O590" s="114">
        <v>38</v>
      </c>
      <c r="P590" s="114">
        <v>663</v>
      </c>
      <c r="Q590" s="114">
        <v>3674</v>
      </c>
      <c r="R590" s="13" t="s">
        <v>25</v>
      </c>
      <c r="S590" s="13" t="s">
        <v>25</v>
      </c>
      <c r="T590" s="13" t="s">
        <v>25</v>
      </c>
    </row>
    <row r="591" spans="1:20" x14ac:dyDescent="0.3">
      <c r="A591" s="14">
        <v>43913.708333333336</v>
      </c>
      <c r="B591" s="13" t="s">
        <v>22</v>
      </c>
      <c r="C591" s="114">
        <v>17</v>
      </c>
      <c r="D591" s="13" t="s">
        <v>43</v>
      </c>
      <c r="E591" s="114">
        <v>4063947052</v>
      </c>
      <c r="F591" s="114">
        <v>1580514834</v>
      </c>
      <c r="G591" s="114">
        <v>15</v>
      </c>
      <c r="H591" s="114">
        <v>12</v>
      </c>
      <c r="I591" s="114">
        <v>27</v>
      </c>
      <c r="J591" s="114">
        <v>62</v>
      </c>
      <c r="K591" s="114">
        <v>89</v>
      </c>
      <c r="L591" s="114">
        <v>8</v>
      </c>
      <c r="M591" s="114">
        <v>9</v>
      </c>
      <c r="N591" s="114">
        <v>0</v>
      </c>
      <c r="O591" s="114">
        <v>1</v>
      </c>
      <c r="P591" s="114">
        <v>90</v>
      </c>
      <c r="Q591" s="114">
        <v>696</v>
      </c>
      <c r="R591" s="13" t="s">
        <v>25</v>
      </c>
      <c r="S591" s="13" t="s">
        <v>25</v>
      </c>
      <c r="T591" s="13" t="s">
        <v>25</v>
      </c>
    </row>
    <row r="592" spans="1:20" x14ac:dyDescent="0.3">
      <c r="A592" s="14">
        <v>43913.708333333336</v>
      </c>
      <c r="B592" s="13" t="s">
        <v>22</v>
      </c>
      <c r="C592" s="114">
        <v>4</v>
      </c>
      <c r="D592" s="13" t="s">
        <v>44</v>
      </c>
      <c r="E592" s="114">
        <v>4649933453</v>
      </c>
      <c r="F592" s="114">
        <v>1135662422</v>
      </c>
      <c r="G592" s="114">
        <v>145</v>
      </c>
      <c r="H592" s="114">
        <v>33</v>
      </c>
      <c r="I592" s="114">
        <v>178</v>
      </c>
      <c r="J592" s="114">
        <v>510</v>
      </c>
      <c r="K592" s="114">
        <v>688</v>
      </c>
      <c r="L592" s="114">
        <v>40</v>
      </c>
      <c r="M592" s="114">
        <v>46</v>
      </c>
      <c r="N592" s="114">
        <v>7</v>
      </c>
      <c r="O592" s="114">
        <v>29</v>
      </c>
      <c r="P592" s="114">
        <v>724</v>
      </c>
      <c r="Q592" s="114">
        <v>6084</v>
      </c>
      <c r="R592" s="13" t="s">
        <v>25</v>
      </c>
      <c r="S592" s="13" t="s">
        <v>25</v>
      </c>
      <c r="T592" s="13" t="s">
        <v>25</v>
      </c>
    </row>
    <row r="593" spans="1:20" x14ac:dyDescent="0.3">
      <c r="A593" s="14">
        <v>43913.708333333336</v>
      </c>
      <c r="B593" s="13" t="s">
        <v>22</v>
      </c>
      <c r="C593" s="114">
        <v>18</v>
      </c>
      <c r="D593" s="13" t="s">
        <v>45</v>
      </c>
      <c r="E593" s="114">
        <v>3890597598</v>
      </c>
      <c r="F593" s="114">
        <v>1659440194</v>
      </c>
      <c r="G593" s="114">
        <v>82</v>
      </c>
      <c r="H593" s="114">
        <v>20</v>
      </c>
      <c r="I593" s="114">
        <v>102</v>
      </c>
      <c r="J593" s="114">
        <v>178</v>
      </c>
      <c r="K593" s="114">
        <v>280</v>
      </c>
      <c r="L593" s="114">
        <v>20</v>
      </c>
      <c r="M593" s="114">
        <v>19</v>
      </c>
      <c r="N593" s="114">
        <v>5</v>
      </c>
      <c r="O593" s="114">
        <v>7</v>
      </c>
      <c r="P593" s="114">
        <v>292</v>
      </c>
      <c r="Q593" s="114">
        <v>4073</v>
      </c>
      <c r="R593" s="13" t="s">
        <v>25</v>
      </c>
      <c r="S593" s="13" t="s">
        <v>25</v>
      </c>
      <c r="T593" s="13" t="s">
        <v>25</v>
      </c>
    </row>
    <row r="594" spans="1:20" x14ac:dyDescent="0.3">
      <c r="A594" s="14">
        <v>43913.708333333336</v>
      </c>
      <c r="B594" s="13" t="s">
        <v>22</v>
      </c>
      <c r="C594" s="114">
        <v>15</v>
      </c>
      <c r="D594" s="13" t="s">
        <v>46</v>
      </c>
      <c r="E594" s="114">
        <v>4083956555</v>
      </c>
      <c r="F594" s="114">
        <v>1425084984</v>
      </c>
      <c r="G594" s="114">
        <v>266</v>
      </c>
      <c r="H594" s="114">
        <v>110</v>
      </c>
      <c r="I594" s="114">
        <v>376</v>
      </c>
      <c r="J594" s="114">
        <v>553</v>
      </c>
      <c r="K594" s="114">
        <v>929</v>
      </c>
      <c r="L594" s="114">
        <v>63</v>
      </c>
      <c r="M594" s="114">
        <v>90</v>
      </c>
      <c r="N594" s="114">
        <v>48</v>
      </c>
      <c r="O594" s="114">
        <v>49</v>
      </c>
      <c r="P594" s="114">
        <v>1026</v>
      </c>
      <c r="Q594" s="114">
        <v>5813</v>
      </c>
      <c r="R594" s="13" t="s">
        <v>25</v>
      </c>
      <c r="S594" s="13" t="s">
        <v>25</v>
      </c>
      <c r="T594" s="13" t="s">
        <v>25</v>
      </c>
    </row>
    <row r="595" spans="1:20" x14ac:dyDescent="0.3">
      <c r="A595" s="14">
        <v>43913.708333333336</v>
      </c>
      <c r="B595" s="13" t="s">
        <v>22</v>
      </c>
      <c r="C595" s="114">
        <v>8</v>
      </c>
      <c r="D595" s="13" t="s">
        <v>96</v>
      </c>
      <c r="E595" s="114">
        <v>4449436681</v>
      </c>
      <c r="F595" s="114">
        <v>113417208</v>
      </c>
      <c r="G595" s="114">
        <v>2846</v>
      </c>
      <c r="H595" s="114">
        <v>276</v>
      </c>
      <c r="I595" s="114">
        <v>3122</v>
      </c>
      <c r="J595" s="114">
        <v>4098</v>
      </c>
      <c r="K595" s="114">
        <v>7220</v>
      </c>
      <c r="L595" s="114">
        <v>830</v>
      </c>
      <c r="M595" s="114">
        <v>980</v>
      </c>
      <c r="N595" s="114">
        <v>423</v>
      </c>
      <c r="O595" s="114">
        <v>892</v>
      </c>
      <c r="P595" s="114">
        <v>8535</v>
      </c>
      <c r="Q595" s="114">
        <v>31200</v>
      </c>
      <c r="R595" s="13" t="s">
        <v>25</v>
      </c>
      <c r="S595" s="13" t="s">
        <v>25</v>
      </c>
      <c r="T595" s="13" t="s">
        <v>25</v>
      </c>
    </row>
    <row r="596" spans="1:20" x14ac:dyDescent="0.3">
      <c r="A596" s="14">
        <v>43913.708333333336</v>
      </c>
      <c r="B596" s="13" t="s">
        <v>22</v>
      </c>
      <c r="C596" s="114">
        <v>6</v>
      </c>
      <c r="D596" s="13" t="s">
        <v>47</v>
      </c>
      <c r="E596" s="114">
        <v>456494354</v>
      </c>
      <c r="F596" s="114">
        <v>1376813649</v>
      </c>
      <c r="G596" s="114">
        <v>185</v>
      </c>
      <c r="H596" s="114">
        <v>41</v>
      </c>
      <c r="I596" s="114">
        <v>226</v>
      </c>
      <c r="J596" s="114">
        <v>545</v>
      </c>
      <c r="K596" s="114">
        <v>771</v>
      </c>
      <c r="L596" s="114">
        <v>33</v>
      </c>
      <c r="M596" s="114">
        <v>56</v>
      </c>
      <c r="N596" s="114">
        <v>105</v>
      </c>
      <c r="O596" s="114">
        <v>54</v>
      </c>
      <c r="P596" s="114">
        <v>930</v>
      </c>
      <c r="Q596" s="114">
        <v>7424</v>
      </c>
      <c r="R596" s="13" t="s">
        <v>25</v>
      </c>
      <c r="S596" s="13" t="s">
        <v>25</v>
      </c>
      <c r="T596" s="13" t="s">
        <v>25</v>
      </c>
    </row>
    <row r="597" spans="1:20" x14ac:dyDescent="0.3">
      <c r="A597" s="14">
        <v>43913.708333333336</v>
      </c>
      <c r="B597" s="13" t="s">
        <v>22</v>
      </c>
      <c r="C597" s="114">
        <v>12</v>
      </c>
      <c r="D597" s="13" t="s">
        <v>48</v>
      </c>
      <c r="E597" s="114">
        <v>4189277044</v>
      </c>
      <c r="F597" s="114">
        <v>1248366722</v>
      </c>
      <c r="G597" s="114">
        <v>718</v>
      </c>
      <c r="H597" s="114">
        <v>96</v>
      </c>
      <c r="I597" s="114">
        <v>814</v>
      </c>
      <c r="J597" s="114">
        <v>600</v>
      </c>
      <c r="K597" s="114">
        <v>1414</v>
      </c>
      <c r="L597" s="114">
        <v>142</v>
      </c>
      <c r="M597" s="114">
        <v>157</v>
      </c>
      <c r="N597" s="114">
        <v>63</v>
      </c>
      <c r="O597" s="114">
        <v>63</v>
      </c>
      <c r="P597" s="114">
        <v>1540</v>
      </c>
      <c r="Q597" s="114">
        <v>18371</v>
      </c>
      <c r="R597" s="13" t="s">
        <v>25</v>
      </c>
      <c r="S597" s="13" t="s">
        <v>25</v>
      </c>
      <c r="T597" s="13" t="s">
        <v>25</v>
      </c>
    </row>
    <row r="598" spans="1:20" x14ac:dyDescent="0.3">
      <c r="A598" s="14">
        <v>43913.708333333336</v>
      </c>
      <c r="B598" s="13" t="s">
        <v>22</v>
      </c>
      <c r="C598" s="114">
        <v>7</v>
      </c>
      <c r="D598" s="13" t="s">
        <v>49</v>
      </c>
      <c r="E598" s="114">
        <v>4441149315</v>
      </c>
      <c r="F598" s="114">
        <v>89326992</v>
      </c>
      <c r="G598" s="114">
        <v>761</v>
      </c>
      <c r="H598" s="114">
        <v>133</v>
      </c>
      <c r="I598" s="114">
        <v>894</v>
      </c>
      <c r="J598" s="114">
        <v>659</v>
      </c>
      <c r="K598" s="114">
        <v>1553</v>
      </c>
      <c r="L598" s="114">
        <v>202</v>
      </c>
      <c r="M598" s="114">
        <v>259</v>
      </c>
      <c r="N598" s="114">
        <v>159</v>
      </c>
      <c r="O598" s="114">
        <v>212</v>
      </c>
      <c r="P598" s="114">
        <v>1924</v>
      </c>
      <c r="Q598" s="114">
        <v>5538</v>
      </c>
      <c r="R598" s="13" t="s">
        <v>25</v>
      </c>
      <c r="S598" s="13" t="s">
        <v>25</v>
      </c>
      <c r="T598" s="13" t="s">
        <v>25</v>
      </c>
    </row>
    <row r="599" spans="1:20" x14ac:dyDescent="0.3">
      <c r="A599" s="14">
        <v>43913.708333333336</v>
      </c>
      <c r="B599" s="13" t="s">
        <v>22</v>
      </c>
      <c r="C599" s="114">
        <v>3</v>
      </c>
      <c r="D599" s="13" t="s">
        <v>50</v>
      </c>
      <c r="E599" s="114">
        <v>4546679409</v>
      </c>
      <c r="F599" s="114">
        <v>9190347404</v>
      </c>
      <c r="G599" s="114">
        <v>9266</v>
      </c>
      <c r="H599" s="114">
        <v>1183</v>
      </c>
      <c r="I599" s="114">
        <v>10449</v>
      </c>
      <c r="J599" s="114">
        <v>8461</v>
      </c>
      <c r="K599" s="114">
        <v>18910</v>
      </c>
      <c r="L599" s="114">
        <v>1025</v>
      </c>
      <c r="M599" s="114">
        <v>1555</v>
      </c>
      <c r="N599" s="114">
        <v>6075</v>
      </c>
      <c r="O599" s="114">
        <v>3776</v>
      </c>
      <c r="P599" s="114">
        <v>28761</v>
      </c>
      <c r="Q599" s="114">
        <v>73242</v>
      </c>
      <c r="R599" s="13" t="s">
        <v>25</v>
      </c>
      <c r="S599" s="13" t="s">
        <v>25</v>
      </c>
      <c r="T599" s="13" t="s">
        <v>25</v>
      </c>
    </row>
    <row r="600" spans="1:20" x14ac:dyDescent="0.3">
      <c r="A600" s="14">
        <v>43913.708333333336</v>
      </c>
      <c r="B600" s="13" t="s">
        <v>22</v>
      </c>
      <c r="C600" s="114">
        <v>11</v>
      </c>
      <c r="D600" s="13" t="s">
        <v>51</v>
      </c>
      <c r="E600" s="114">
        <v>4361675973</v>
      </c>
      <c r="F600" s="114">
        <v>135188753</v>
      </c>
      <c r="G600" s="114">
        <v>882</v>
      </c>
      <c r="H600" s="114">
        <v>148</v>
      </c>
      <c r="I600" s="114">
        <v>1030</v>
      </c>
      <c r="J600" s="114">
        <v>1328</v>
      </c>
      <c r="K600" s="114">
        <v>2358</v>
      </c>
      <c r="L600" s="114">
        <v>127</v>
      </c>
      <c r="M600" s="114">
        <v>148</v>
      </c>
      <c r="N600" s="114">
        <v>8</v>
      </c>
      <c r="O600" s="114">
        <v>203</v>
      </c>
      <c r="P600" s="114">
        <v>2569</v>
      </c>
      <c r="Q600" s="114">
        <v>6782</v>
      </c>
      <c r="R600" s="13" t="s">
        <v>25</v>
      </c>
      <c r="S600" s="13" t="s">
        <v>25</v>
      </c>
      <c r="T600" s="13" t="s">
        <v>25</v>
      </c>
    </row>
    <row r="601" spans="1:20" x14ac:dyDescent="0.3">
      <c r="A601" s="14">
        <v>43913.708333333336</v>
      </c>
      <c r="B601" s="13" t="s">
        <v>22</v>
      </c>
      <c r="C601" s="114">
        <v>14</v>
      </c>
      <c r="D601" s="13" t="s">
        <v>52</v>
      </c>
      <c r="E601" s="114">
        <v>4155774754</v>
      </c>
      <c r="F601" s="114">
        <v>1465916051</v>
      </c>
      <c r="G601" s="114">
        <v>25</v>
      </c>
      <c r="H601" s="114">
        <v>7</v>
      </c>
      <c r="I601" s="114">
        <v>32</v>
      </c>
      <c r="J601" s="114">
        <v>18</v>
      </c>
      <c r="K601" s="114">
        <v>50</v>
      </c>
      <c r="L601" s="114">
        <v>-2</v>
      </c>
      <c r="M601" s="114">
        <v>1</v>
      </c>
      <c r="N601" s="114">
        <v>10</v>
      </c>
      <c r="O601" s="114">
        <v>7</v>
      </c>
      <c r="P601" s="114">
        <v>67</v>
      </c>
      <c r="Q601" s="114">
        <v>532</v>
      </c>
      <c r="R601" s="13" t="s">
        <v>25</v>
      </c>
      <c r="S601" s="13" t="s">
        <v>25</v>
      </c>
      <c r="T601" s="13" t="s">
        <v>25</v>
      </c>
    </row>
    <row r="602" spans="1:20" x14ac:dyDescent="0.3">
      <c r="A602" s="14">
        <v>43913.708333333336</v>
      </c>
      <c r="B602" s="13" t="s">
        <v>22</v>
      </c>
      <c r="C602" s="114">
        <v>1</v>
      </c>
      <c r="D602" s="13" t="s">
        <v>53</v>
      </c>
      <c r="E602" s="114">
        <v>450732745</v>
      </c>
      <c r="F602" s="114">
        <v>7680687483</v>
      </c>
      <c r="G602" s="114">
        <v>2194</v>
      </c>
      <c r="H602" s="114">
        <v>343</v>
      </c>
      <c r="I602" s="114">
        <v>2537</v>
      </c>
      <c r="J602" s="114">
        <v>1992</v>
      </c>
      <c r="K602" s="114">
        <v>4529</v>
      </c>
      <c r="L602" s="114">
        <v>402</v>
      </c>
      <c r="M602" s="114">
        <v>441</v>
      </c>
      <c r="N602" s="114">
        <v>17</v>
      </c>
      <c r="O602" s="114">
        <v>315</v>
      </c>
      <c r="P602" s="114">
        <v>4861</v>
      </c>
      <c r="Q602" s="114">
        <v>13560</v>
      </c>
      <c r="R602" s="13" t="s">
        <v>25</v>
      </c>
      <c r="S602" s="13" t="s">
        <v>25</v>
      </c>
      <c r="T602" s="13" t="s">
        <v>25</v>
      </c>
    </row>
    <row r="603" spans="1:20" x14ac:dyDescent="0.3">
      <c r="A603" s="14">
        <v>43913.708333333336</v>
      </c>
      <c r="B603" s="13" t="s">
        <v>22</v>
      </c>
      <c r="C603" s="114">
        <v>16</v>
      </c>
      <c r="D603" s="13" t="s">
        <v>54</v>
      </c>
      <c r="E603" s="114">
        <v>4112559576</v>
      </c>
      <c r="F603" s="114">
        <v>1686736689</v>
      </c>
      <c r="G603" s="114">
        <v>285</v>
      </c>
      <c r="H603" s="114">
        <v>45</v>
      </c>
      <c r="I603" s="114">
        <v>330</v>
      </c>
      <c r="J603" s="114">
        <v>532</v>
      </c>
      <c r="K603" s="114">
        <v>862</v>
      </c>
      <c r="L603" s="114">
        <v>114</v>
      </c>
      <c r="M603" s="114">
        <v>120</v>
      </c>
      <c r="N603" s="114">
        <v>7</v>
      </c>
      <c r="O603" s="114">
        <v>37</v>
      </c>
      <c r="P603" s="114">
        <v>906</v>
      </c>
      <c r="Q603" s="114">
        <v>6761</v>
      </c>
      <c r="R603" s="13" t="s">
        <v>25</v>
      </c>
      <c r="S603" s="13" t="s">
        <v>25</v>
      </c>
      <c r="T603" s="13" t="s">
        <v>25</v>
      </c>
    </row>
    <row r="604" spans="1:20" x14ac:dyDescent="0.3">
      <c r="A604" s="14">
        <v>43913.708333333336</v>
      </c>
      <c r="B604" s="13" t="s">
        <v>22</v>
      </c>
      <c r="C604" s="114">
        <v>20</v>
      </c>
      <c r="D604" s="13" t="s">
        <v>55</v>
      </c>
      <c r="E604" s="114">
        <v>3921531192</v>
      </c>
      <c r="F604" s="114">
        <v>9110616306</v>
      </c>
      <c r="G604" s="114">
        <v>76</v>
      </c>
      <c r="H604" s="114">
        <v>18</v>
      </c>
      <c r="I604" s="114">
        <v>94</v>
      </c>
      <c r="J604" s="114">
        <v>249</v>
      </c>
      <c r="K604" s="114">
        <v>343</v>
      </c>
      <c r="L604" s="114">
        <v>16</v>
      </c>
      <c r="M604" s="114">
        <v>20</v>
      </c>
      <c r="N604" s="114">
        <v>5</v>
      </c>
      <c r="O604" s="114">
        <v>11</v>
      </c>
      <c r="P604" s="114">
        <v>359</v>
      </c>
      <c r="Q604" s="114">
        <v>2568</v>
      </c>
      <c r="R604" s="13" t="s">
        <v>25</v>
      </c>
      <c r="S604" s="13" t="s">
        <v>25</v>
      </c>
      <c r="T604" s="13" t="s">
        <v>25</v>
      </c>
    </row>
    <row r="605" spans="1:20" x14ac:dyDescent="0.3">
      <c r="A605" s="14">
        <v>43913.708333333336</v>
      </c>
      <c r="B605" s="13" t="s">
        <v>22</v>
      </c>
      <c r="C605" s="114">
        <v>19</v>
      </c>
      <c r="D605" s="13" t="s">
        <v>56</v>
      </c>
      <c r="E605" s="114">
        <v>3811569725</v>
      </c>
      <c r="F605" s="114">
        <v>133623567</v>
      </c>
      <c r="G605" s="114">
        <v>250</v>
      </c>
      <c r="H605" s="114">
        <v>60</v>
      </c>
      <c r="I605" s="114">
        <v>310</v>
      </c>
      <c r="J605" s="114">
        <v>371</v>
      </c>
      <c r="K605" s="114">
        <v>681</v>
      </c>
      <c r="L605" s="114">
        <v>85</v>
      </c>
      <c r="M605" s="114">
        <v>91</v>
      </c>
      <c r="N605" s="114">
        <v>27</v>
      </c>
      <c r="O605" s="114">
        <v>13</v>
      </c>
      <c r="P605" s="114">
        <v>721</v>
      </c>
      <c r="Q605" s="114">
        <v>6375</v>
      </c>
      <c r="R605" s="13" t="s">
        <v>25</v>
      </c>
      <c r="S605" s="13" t="s">
        <v>25</v>
      </c>
      <c r="T605" s="13" t="s">
        <v>25</v>
      </c>
    </row>
    <row r="606" spans="1:20" x14ac:dyDescent="0.3">
      <c r="A606" s="14">
        <v>43913.708333333336</v>
      </c>
      <c r="B606" s="13" t="s">
        <v>22</v>
      </c>
      <c r="C606" s="114">
        <v>9</v>
      </c>
      <c r="D606" s="13" t="s">
        <v>57</v>
      </c>
      <c r="E606" s="114">
        <v>4376923077</v>
      </c>
      <c r="F606" s="114">
        <v>1125588885</v>
      </c>
      <c r="G606" s="114">
        <v>838</v>
      </c>
      <c r="H606" s="114">
        <v>238</v>
      </c>
      <c r="I606" s="114">
        <v>1076</v>
      </c>
      <c r="J606" s="114">
        <v>1225</v>
      </c>
      <c r="K606" s="114">
        <v>2301</v>
      </c>
      <c r="L606" s="114">
        <v>157</v>
      </c>
      <c r="M606" s="114">
        <v>184</v>
      </c>
      <c r="N606" s="114">
        <v>51</v>
      </c>
      <c r="O606" s="114">
        <v>109</v>
      </c>
      <c r="P606" s="114">
        <v>2461</v>
      </c>
      <c r="Q606" s="114">
        <v>13851</v>
      </c>
      <c r="R606" s="13" t="s">
        <v>25</v>
      </c>
      <c r="S606" s="13" t="s">
        <v>25</v>
      </c>
      <c r="T606" s="13" t="s">
        <v>25</v>
      </c>
    </row>
    <row r="607" spans="1:20" x14ac:dyDescent="0.3">
      <c r="A607" s="14">
        <v>43913.708333333336</v>
      </c>
      <c r="B607" s="13" t="s">
        <v>22</v>
      </c>
      <c r="C607" s="114">
        <v>4</v>
      </c>
      <c r="D607" s="13" t="s">
        <v>58</v>
      </c>
      <c r="E607" s="114">
        <v>4606893511</v>
      </c>
      <c r="F607" s="114">
        <v>1112123097</v>
      </c>
      <c r="G607" s="114">
        <v>249</v>
      </c>
      <c r="H607" s="114">
        <v>46</v>
      </c>
      <c r="I607" s="114">
        <v>295</v>
      </c>
      <c r="J607" s="114">
        <v>619</v>
      </c>
      <c r="K607" s="114">
        <v>914</v>
      </c>
      <c r="L607" s="114">
        <v>29</v>
      </c>
      <c r="M607" s="114">
        <v>69</v>
      </c>
      <c r="N607" s="114">
        <v>68</v>
      </c>
      <c r="O607" s="114">
        <v>41</v>
      </c>
      <c r="P607" s="114">
        <v>1023</v>
      </c>
      <c r="Q607" s="114">
        <v>3150</v>
      </c>
      <c r="R607" s="13" t="s">
        <v>25</v>
      </c>
      <c r="S607" s="13" t="s">
        <v>25</v>
      </c>
      <c r="T607" s="13" t="s">
        <v>25</v>
      </c>
    </row>
    <row r="608" spans="1:20" x14ac:dyDescent="0.3">
      <c r="A608" s="14">
        <v>43913.708333333336</v>
      </c>
      <c r="B608" s="13" t="s">
        <v>22</v>
      </c>
      <c r="C608" s="114">
        <v>10</v>
      </c>
      <c r="D608" s="13" t="s">
        <v>59</v>
      </c>
      <c r="E608" s="114">
        <v>4310675841</v>
      </c>
      <c r="F608" s="114">
        <v>1238824698</v>
      </c>
      <c r="G608" s="114">
        <v>106</v>
      </c>
      <c r="H608" s="114">
        <v>42</v>
      </c>
      <c r="I608" s="114">
        <v>148</v>
      </c>
      <c r="J608" s="114">
        <v>408</v>
      </c>
      <c r="K608" s="114">
        <v>556</v>
      </c>
      <c r="L608" s="114">
        <v>56</v>
      </c>
      <c r="M608" s="114">
        <v>56</v>
      </c>
      <c r="N608" s="114">
        <v>5</v>
      </c>
      <c r="O608" s="114">
        <v>16</v>
      </c>
      <c r="P608" s="114">
        <v>577</v>
      </c>
      <c r="Q608" s="114">
        <v>3561</v>
      </c>
      <c r="R608" s="13" t="s">
        <v>25</v>
      </c>
      <c r="S608" s="13" t="s">
        <v>25</v>
      </c>
      <c r="T608" s="13" t="s">
        <v>25</v>
      </c>
    </row>
    <row r="609" spans="1:20" x14ac:dyDescent="0.3">
      <c r="A609" s="14">
        <v>43913.708333333336</v>
      </c>
      <c r="B609" s="13" t="s">
        <v>22</v>
      </c>
      <c r="C609" s="114">
        <v>2</v>
      </c>
      <c r="D609" s="13" t="s">
        <v>60</v>
      </c>
      <c r="E609" s="114">
        <v>4573750286</v>
      </c>
      <c r="F609" s="114">
        <v>7320149366</v>
      </c>
      <c r="G609" s="114">
        <v>69</v>
      </c>
      <c r="H609" s="114">
        <v>20</v>
      </c>
      <c r="I609" s="114">
        <v>89</v>
      </c>
      <c r="J609" s="114">
        <v>290</v>
      </c>
      <c r="K609" s="114">
        <v>379</v>
      </c>
      <c r="L609" s="114">
        <v>25</v>
      </c>
      <c r="M609" s="114">
        <v>29</v>
      </c>
      <c r="N609" s="114">
        <v>2</v>
      </c>
      <c r="O609" s="114">
        <v>12</v>
      </c>
      <c r="P609" s="114">
        <v>393</v>
      </c>
      <c r="Q609" s="114">
        <v>1098</v>
      </c>
      <c r="R609" s="13" t="s">
        <v>25</v>
      </c>
      <c r="S609" s="13" t="s">
        <v>25</v>
      </c>
      <c r="T609" s="13" t="s">
        <v>25</v>
      </c>
    </row>
    <row r="610" spans="1:20" x14ac:dyDescent="0.3">
      <c r="A610" s="14">
        <v>43913.708333333336</v>
      </c>
      <c r="B610" s="13" t="s">
        <v>22</v>
      </c>
      <c r="C610" s="114">
        <v>5</v>
      </c>
      <c r="D610" s="13" t="s">
        <v>61</v>
      </c>
      <c r="E610" s="114">
        <v>4543490485</v>
      </c>
      <c r="F610" s="114">
        <v>1233845213</v>
      </c>
      <c r="G610" s="114">
        <v>1206</v>
      </c>
      <c r="H610" s="114">
        <v>281</v>
      </c>
      <c r="I610" s="114">
        <v>1487</v>
      </c>
      <c r="J610" s="114">
        <v>3499</v>
      </c>
      <c r="K610" s="114">
        <v>4986</v>
      </c>
      <c r="L610" s="114">
        <v>342</v>
      </c>
      <c r="M610" s="114">
        <v>383</v>
      </c>
      <c r="N610" s="114">
        <v>327</v>
      </c>
      <c r="O610" s="114">
        <v>192</v>
      </c>
      <c r="P610" s="114">
        <v>5505</v>
      </c>
      <c r="Q610" s="114">
        <v>61115</v>
      </c>
      <c r="R610" s="13" t="s">
        <v>25</v>
      </c>
      <c r="S610" s="13" t="s">
        <v>25</v>
      </c>
      <c r="T610" s="13" t="s">
        <v>25</v>
      </c>
    </row>
    <row r="611" spans="1:20" x14ac:dyDescent="0.3">
      <c r="A611" s="14">
        <v>43914.708333333336</v>
      </c>
      <c r="B611" s="13" t="s">
        <v>22</v>
      </c>
      <c r="C611" s="114">
        <v>13</v>
      </c>
      <c r="D611" s="13" t="s">
        <v>42</v>
      </c>
      <c r="E611" s="114">
        <v>4235122196</v>
      </c>
      <c r="F611" s="114">
        <v>1339843823</v>
      </c>
      <c r="G611" s="114">
        <v>234</v>
      </c>
      <c r="H611" s="114">
        <v>57</v>
      </c>
      <c r="I611" s="114">
        <v>291</v>
      </c>
      <c r="J611" s="114">
        <v>331</v>
      </c>
      <c r="K611" s="114">
        <v>622</v>
      </c>
      <c r="L611" s="114">
        <v>17</v>
      </c>
      <c r="M611" s="114">
        <v>26</v>
      </c>
      <c r="N611" s="114">
        <v>21</v>
      </c>
      <c r="O611" s="114">
        <v>46</v>
      </c>
      <c r="P611" s="114">
        <v>689</v>
      </c>
      <c r="Q611" s="114">
        <v>4294</v>
      </c>
      <c r="R611" s="13" t="s">
        <v>25</v>
      </c>
      <c r="S611" s="13" t="s">
        <v>25</v>
      </c>
      <c r="T611" s="13" t="s">
        <v>25</v>
      </c>
    </row>
    <row r="612" spans="1:20" x14ac:dyDescent="0.3">
      <c r="A612" s="14">
        <v>43914.708333333336</v>
      </c>
      <c r="B612" s="13" t="s">
        <v>22</v>
      </c>
      <c r="C612" s="114">
        <v>17</v>
      </c>
      <c r="D612" s="13" t="s">
        <v>43</v>
      </c>
      <c r="E612" s="114">
        <v>4063947052</v>
      </c>
      <c r="F612" s="114">
        <v>1580514834</v>
      </c>
      <c r="G612" s="114">
        <v>14</v>
      </c>
      <c r="H612" s="114">
        <v>12</v>
      </c>
      <c r="I612" s="114">
        <v>26</v>
      </c>
      <c r="J612" s="114">
        <v>65</v>
      </c>
      <c r="K612" s="114">
        <v>91</v>
      </c>
      <c r="L612" s="114">
        <v>2</v>
      </c>
      <c r="M612" s="114">
        <v>2</v>
      </c>
      <c r="N612" s="114">
        <v>0</v>
      </c>
      <c r="O612" s="114">
        <v>1</v>
      </c>
      <c r="P612" s="114">
        <v>92</v>
      </c>
      <c r="Q612" s="114">
        <v>744</v>
      </c>
      <c r="R612" s="13" t="s">
        <v>25</v>
      </c>
      <c r="S612" s="13" t="s">
        <v>25</v>
      </c>
      <c r="T612" s="13" t="s">
        <v>25</v>
      </c>
    </row>
    <row r="613" spans="1:20" x14ac:dyDescent="0.3">
      <c r="A613" s="14">
        <v>43914.708333333336</v>
      </c>
      <c r="B613" s="13" t="s">
        <v>22</v>
      </c>
      <c r="C613" s="114">
        <v>4</v>
      </c>
      <c r="D613" s="13" t="s">
        <v>44</v>
      </c>
      <c r="E613" s="114">
        <v>4649933453</v>
      </c>
      <c r="F613" s="114">
        <v>1135662422</v>
      </c>
      <c r="G613" s="114">
        <v>166</v>
      </c>
      <c r="H613" s="114">
        <v>38</v>
      </c>
      <c r="I613" s="114">
        <v>204</v>
      </c>
      <c r="J613" s="114">
        <v>495</v>
      </c>
      <c r="K613" s="114">
        <v>699</v>
      </c>
      <c r="L613" s="114">
        <v>11</v>
      </c>
      <c r="M613" s="114">
        <v>57</v>
      </c>
      <c r="N613" s="114">
        <v>44</v>
      </c>
      <c r="O613" s="114">
        <v>38</v>
      </c>
      <c r="P613" s="114">
        <v>781</v>
      </c>
      <c r="Q613" s="114">
        <v>6509</v>
      </c>
      <c r="R613" s="13" t="s">
        <v>25</v>
      </c>
      <c r="S613" s="13" t="s">
        <v>25</v>
      </c>
      <c r="T613" s="13" t="s">
        <v>25</v>
      </c>
    </row>
    <row r="614" spans="1:20" x14ac:dyDescent="0.3">
      <c r="A614" s="14">
        <v>43914.708333333336</v>
      </c>
      <c r="B614" s="13" t="s">
        <v>22</v>
      </c>
      <c r="C614" s="114">
        <v>18</v>
      </c>
      <c r="D614" s="13" t="s">
        <v>45</v>
      </c>
      <c r="E614" s="114">
        <v>3890597598</v>
      </c>
      <c r="F614" s="114">
        <v>1659440194</v>
      </c>
      <c r="G614" s="114">
        <v>88</v>
      </c>
      <c r="H614" s="114">
        <v>21</v>
      </c>
      <c r="I614" s="114">
        <v>109</v>
      </c>
      <c r="J614" s="114">
        <v>195</v>
      </c>
      <c r="K614" s="114">
        <v>304</v>
      </c>
      <c r="L614" s="114">
        <v>24</v>
      </c>
      <c r="M614" s="114">
        <v>27</v>
      </c>
      <c r="N614" s="114">
        <v>5</v>
      </c>
      <c r="O614" s="114">
        <v>10</v>
      </c>
      <c r="P614" s="114">
        <v>319</v>
      </c>
      <c r="Q614" s="114">
        <v>4486</v>
      </c>
      <c r="R614" s="13" t="s">
        <v>25</v>
      </c>
      <c r="S614" s="13" t="s">
        <v>25</v>
      </c>
      <c r="T614" s="13" t="s">
        <v>25</v>
      </c>
    </row>
    <row r="615" spans="1:20" x14ac:dyDescent="0.3">
      <c r="A615" s="14">
        <v>43914.708333333336</v>
      </c>
      <c r="B615" s="13" t="s">
        <v>22</v>
      </c>
      <c r="C615" s="114">
        <v>15</v>
      </c>
      <c r="D615" s="13" t="s">
        <v>46</v>
      </c>
      <c r="E615" s="114">
        <v>4083956555</v>
      </c>
      <c r="F615" s="114">
        <v>1425084984</v>
      </c>
      <c r="G615" s="114">
        <v>345</v>
      </c>
      <c r="H615" s="114">
        <v>181</v>
      </c>
      <c r="I615" s="114">
        <v>526</v>
      </c>
      <c r="J615" s="114">
        <v>466</v>
      </c>
      <c r="K615" s="114">
        <v>992</v>
      </c>
      <c r="L615" s="114">
        <v>63</v>
      </c>
      <c r="M615" s="114">
        <v>75</v>
      </c>
      <c r="N615" s="114">
        <v>53</v>
      </c>
      <c r="O615" s="114">
        <v>56</v>
      </c>
      <c r="P615" s="114">
        <v>1101</v>
      </c>
      <c r="Q615" s="114">
        <v>6297</v>
      </c>
      <c r="R615" s="13" t="s">
        <v>25</v>
      </c>
      <c r="S615" s="13" t="s">
        <v>25</v>
      </c>
      <c r="T615" s="13" t="s">
        <v>25</v>
      </c>
    </row>
    <row r="616" spans="1:20" x14ac:dyDescent="0.3">
      <c r="A616" s="14">
        <v>43914.708333333336</v>
      </c>
      <c r="B616" s="13" t="s">
        <v>22</v>
      </c>
      <c r="C616" s="114">
        <v>8</v>
      </c>
      <c r="D616" s="13" t="s">
        <v>96</v>
      </c>
      <c r="E616" s="114">
        <v>4449436681</v>
      </c>
      <c r="F616" s="114">
        <v>113417208</v>
      </c>
      <c r="G616" s="114">
        <v>2974</v>
      </c>
      <c r="H616" s="114">
        <v>291</v>
      </c>
      <c r="I616" s="114">
        <v>3265</v>
      </c>
      <c r="J616" s="114">
        <v>4446</v>
      </c>
      <c r="K616" s="114">
        <v>7711</v>
      </c>
      <c r="L616" s="114">
        <v>491</v>
      </c>
      <c r="M616" s="114">
        <v>719</v>
      </c>
      <c r="N616" s="114">
        <v>558</v>
      </c>
      <c r="O616" s="114">
        <v>985</v>
      </c>
      <c r="P616" s="114">
        <v>9254</v>
      </c>
      <c r="Q616" s="114">
        <v>33527</v>
      </c>
      <c r="R616" s="13" t="s">
        <v>25</v>
      </c>
      <c r="S616" s="13" t="s">
        <v>25</v>
      </c>
      <c r="T616" s="13" t="s">
        <v>25</v>
      </c>
    </row>
    <row r="617" spans="1:20" x14ac:dyDescent="0.3">
      <c r="A617" s="14">
        <v>43914.708333333336</v>
      </c>
      <c r="B617" s="13" t="s">
        <v>22</v>
      </c>
      <c r="C617" s="114">
        <v>6</v>
      </c>
      <c r="D617" s="13" t="s">
        <v>47</v>
      </c>
      <c r="E617" s="114">
        <v>456494354</v>
      </c>
      <c r="F617" s="114">
        <v>1376813649</v>
      </c>
      <c r="G617" s="114">
        <v>195</v>
      </c>
      <c r="H617" s="114">
        <v>49</v>
      </c>
      <c r="I617" s="114">
        <v>244</v>
      </c>
      <c r="J617" s="114">
        <v>604</v>
      </c>
      <c r="K617" s="114">
        <v>848</v>
      </c>
      <c r="L617" s="114">
        <v>77</v>
      </c>
      <c r="M617" s="114">
        <v>62</v>
      </c>
      <c r="N617" s="114">
        <v>80</v>
      </c>
      <c r="O617" s="114">
        <v>64</v>
      </c>
      <c r="P617" s="114">
        <v>992</v>
      </c>
      <c r="Q617" s="114">
        <v>8526</v>
      </c>
      <c r="R617" s="13" t="s">
        <v>25</v>
      </c>
      <c r="S617" s="13" t="s">
        <v>25</v>
      </c>
      <c r="T617" s="13" t="s">
        <v>25</v>
      </c>
    </row>
    <row r="618" spans="1:20" x14ac:dyDescent="0.3">
      <c r="A618" s="14">
        <v>43914.708333333336</v>
      </c>
      <c r="B618" s="13" t="s">
        <v>22</v>
      </c>
      <c r="C618" s="114">
        <v>12</v>
      </c>
      <c r="D618" s="13" t="s">
        <v>48</v>
      </c>
      <c r="E618" s="114">
        <v>4189277044</v>
      </c>
      <c r="F618" s="114">
        <v>1248366722</v>
      </c>
      <c r="G618" s="114">
        <v>747</v>
      </c>
      <c r="H618" s="114">
        <v>94</v>
      </c>
      <c r="I618" s="114">
        <v>841</v>
      </c>
      <c r="J618" s="114">
        <v>704</v>
      </c>
      <c r="K618" s="114">
        <v>1545</v>
      </c>
      <c r="L618" s="114">
        <v>131</v>
      </c>
      <c r="M618" s="114">
        <v>188</v>
      </c>
      <c r="N618" s="114">
        <v>103</v>
      </c>
      <c r="O618" s="114">
        <v>80</v>
      </c>
      <c r="P618" s="114">
        <v>1728</v>
      </c>
      <c r="Q618" s="114">
        <v>18371</v>
      </c>
      <c r="R618" s="13" t="s">
        <v>25</v>
      </c>
      <c r="S618" s="13" t="s">
        <v>25</v>
      </c>
      <c r="T618" s="13" t="s">
        <v>25</v>
      </c>
    </row>
    <row r="619" spans="1:20" x14ac:dyDescent="0.3">
      <c r="A619" s="14">
        <v>43914.708333333336</v>
      </c>
      <c r="B619" s="13" t="s">
        <v>22</v>
      </c>
      <c r="C619" s="114">
        <v>7</v>
      </c>
      <c r="D619" s="13" t="s">
        <v>49</v>
      </c>
      <c r="E619" s="114">
        <v>4441149315</v>
      </c>
      <c r="F619" s="114">
        <v>89326992</v>
      </c>
      <c r="G619" s="114">
        <v>803</v>
      </c>
      <c r="H619" s="114">
        <v>147</v>
      </c>
      <c r="I619" s="114">
        <v>950</v>
      </c>
      <c r="J619" s="114">
        <v>742</v>
      </c>
      <c r="K619" s="114">
        <v>1692</v>
      </c>
      <c r="L619" s="114">
        <v>139</v>
      </c>
      <c r="M619" s="114">
        <v>192</v>
      </c>
      <c r="N619" s="114">
        <v>193</v>
      </c>
      <c r="O619" s="114">
        <v>231</v>
      </c>
      <c r="P619" s="114">
        <v>2116</v>
      </c>
      <c r="Q619" s="114">
        <v>5992</v>
      </c>
      <c r="R619" s="13" t="s">
        <v>25</v>
      </c>
      <c r="S619" s="13" t="s">
        <v>25</v>
      </c>
      <c r="T619" s="13" t="s">
        <v>25</v>
      </c>
    </row>
    <row r="620" spans="1:20" x14ac:dyDescent="0.3">
      <c r="A620" s="14">
        <v>43914.708333333336</v>
      </c>
      <c r="B620" s="13" t="s">
        <v>22</v>
      </c>
      <c r="C620" s="114">
        <v>3</v>
      </c>
      <c r="D620" s="13" t="s">
        <v>50</v>
      </c>
      <c r="E620" s="114">
        <v>4546679409</v>
      </c>
      <c r="F620" s="114">
        <v>9190347404</v>
      </c>
      <c r="G620" s="114">
        <v>9711</v>
      </c>
      <c r="H620" s="114">
        <v>1194</v>
      </c>
      <c r="I620" s="114">
        <v>10905</v>
      </c>
      <c r="J620" s="114">
        <v>8963</v>
      </c>
      <c r="K620" s="114">
        <v>19868</v>
      </c>
      <c r="L620" s="114">
        <v>958</v>
      </c>
      <c r="M620" s="114">
        <v>1942</v>
      </c>
      <c r="N620" s="114">
        <v>6657</v>
      </c>
      <c r="O620" s="114">
        <v>4178</v>
      </c>
      <c r="P620" s="114">
        <v>30703</v>
      </c>
      <c r="Q620" s="114">
        <v>76695</v>
      </c>
      <c r="R620" s="13" t="s">
        <v>25</v>
      </c>
      <c r="S620" s="13" t="s">
        <v>25</v>
      </c>
      <c r="T620" s="13" t="s">
        <v>25</v>
      </c>
    </row>
    <row r="621" spans="1:20" x14ac:dyDescent="0.3">
      <c r="A621" s="14">
        <v>43914.708333333336</v>
      </c>
      <c r="B621" s="13" t="s">
        <v>22</v>
      </c>
      <c r="C621" s="114">
        <v>11</v>
      </c>
      <c r="D621" s="13" t="s">
        <v>51</v>
      </c>
      <c r="E621" s="114">
        <v>4361675973</v>
      </c>
      <c r="F621" s="114">
        <v>135188753</v>
      </c>
      <c r="G621" s="114">
        <v>862</v>
      </c>
      <c r="H621" s="114">
        <v>149</v>
      </c>
      <c r="I621" s="114">
        <v>1011</v>
      </c>
      <c r="J621" s="114">
        <v>1486</v>
      </c>
      <c r="K621" s="114">
        <v>2497</v>
      </c>
      <c r="L621" s="114">
        <v>139</v>
      </c>
      <c r="M621" s="114">
        <v>167</v>
      </c>
      <c r="N621" s="114">
        <v>8</v>
      </c>
      <c r="O621" s="114">
        <v>231</v>
      </c>
      <c r="P621" s="114">
        <v>2736</v>
      </c>
      <c r="Q621" s="114">
        <v>7229</v>
      </c>
      <c r="R621" s="13" t="s">
        <v>25</v>
      </c>
      <c r="S621" s="13" t="s">
        <v>25</v>
      </c>
      <c r="T621" s="13" t="s">
        <v>25</v>
      </c>
    </row>
    <row r="622" spans="1:20" x14ac:dyDescent="0.3">
      <c r="A622" s="14">
        <v>43914.708333333336</v>
      </c>
      <c r="B622" s="13" t="s">
        <v>22</v>
      </c>
      <c r="C622" s="114">
        <v>14</v>
      </c>
      <c r="D622" s="13" t="s">
        <v>52</v>
      </c>
      <c r="E622" s="114">
        <v>4155774754</v>
      </c>
      <c r="F622" s="114">
        <v>1465916051</v>
      </c>
      <c r="G622" s="114">
        <v>27</v>
      </c>
      <c r="H622" s="114">
        <v>7</v>
      </c>
      <c r="I622" s="114">
        <v>34</v>
      </c>
      <c r="J622" s="114">
        <v>21</v>
      </c>
      <c r="K622" s="114">
        <v>55</v>
      </c>
      <c r="L622" s="114">
        <v>5</v>
      </c>
      <c r="M622" s="114">
        <v>6</v>
      </c>
      <c r="N622" s="114">
        <v>10</v>
      </c>
      <c r="O622" s="114">
        <v>8</v>
      </c>
      <c r="P622" s="114">
        <v>73</v>
      </c>
      <c r="Q622" s="114">
        <v>572</v>
      </c>
      <c r="R622" s="13" t="s">
        <v>25</v>
      </c>
      <c r="S622" s="13" t="s">
        <v>25</v>
      </c>
      <c r="T622" s="13" t="s">
        <v>25</v>
      </c>
    </row>
    <row r="623" spans="1:20" x14ac:dyDescent="0.3">
      <c r="A623" s="14">
        <v>43914.708333333336</v>
      </c>
      <c r="B623" s="13" t="s">
        <v>22</v>
      </c>
      <c r="C623" s="114">
        <v>1</v>
      </c>
      <c r="D623" s="13" t="s">
        <v>53</v>
      </c>
      <c r="E623" s="114">
        <v>450732745</v>
      </c>
      <c r="F623" s="114">
        <v>7680687483</v>
      </c>
      <c r="G623" s="114">
        <v>2404</v>
      </c>
      <c r="H623" s="114">
        <v>360</v>
      </c>
      <c r="I623" s="114">
        <v>2764</v>
      </c>
      <c r="J623" s="114">
        <v>2360</v>
      </c>
      <c r="K623" s="114">
        <v>5124</v>
      </c>
      <c r="L623" s="114">
        <v>595</v>
      </c>
      <c r="M623" s="114">
        <v>654</v>
      </c>
      <c r="N623" s="114">
        <v>17</v>
      </c>
      <c r="O623" s="114">
        <v>374</v>
      </c>
      <c r="P623" s="114">
        <v>5515</v>
      </c>
      <c r="Q623" s="114">
        <v>15469</v>
      </c>
      <c r="R623" s="13" t="s">
        <v>25</v>
      </c>
      <c r="S623" s="13" t="s">
        <v>25</v>
      </c>
      <c r="T623" s="13" t="s">
        <v>25</v>
      </c>
    </row>
    <row r="624" spans="1:20" x14ac:dyDescent="0.3">
      <c r="A624" s="14">
        <v>43914.708333333336</v>
      </c>
      <c r="B624" s="13" t="s">
        <v>22</v>
      </c>
      <c r="C624" s="114">
        <v>16</v>
      </c>
      <c r="D624" s="13" t="s">
        <v>54</v>
      </c>
      <c r="E624" s="114">
        <v>4112559576</v>
      </c>
      <c r="F624" s="114">
        <v>1686736689</v>
      </c>
      <c r="G624" s="114">
        <v>317</v>
      </c>
      <c r="H624" s="114">
        <v>57</v>
      </c>
      <c r="I624" s="114">
        <v>374</v>
      </c>
      <c r="J624" s="114">
        <v>566</v>
      </c>
      <c r="K624" s="114">
        <v>940</v>
      </c>
      <c r="L624" s="114">
        <v>78</v>
      </c>
      <c r="M624" s="114">
        <v>99</v>
      </c>
      <c r="N624" s="114">
        <v>21</v>
      </c>
      <c r="O624" s="114">
        <v>44</v>
      </c>
      <c r="P624" s="114">
        <v>1005</v>
      </c>
      <c r="Q624" s="114">
        <v>7345</v>
      </c>
      <c r="R624" s="13" t="s">
        <v>25</v>
      </c>
      <c r="S624" s="13" t="s">
        <v>25</v>
      </c>
      <c r="T624" s="13" t="s">
        <v>25</v>
      </c>
    </row>
    <row r="625" spans="1:20" x14ac:dyDescent="0.3">
      <c r="A625" s="14">
        <v>43914.708333333336</v>
      </c>
      <c r="B625" s="13" t="s">
        <v>22</v>
      </c>
      <c r="C625" s="114">
        <v>20</v>
      </c>
      <c r="D625" s="13" t="s">
        <v>55</v>
      </c>
      <c r="E625" s="114">
        <v>3921531192</v>
      </c>
      <c r="F625" s="114">
        <v>9110616306</v>
      </c>
      <c r="G625" s="114">
        <v>80</v>
      </c>
      <c r="H625" s="114">
        <v>19</v>
      </c>
      <c r="I625" s="114">
        <v>99</v>
      </c>
      <c r="J625" s="114">
        <v>296</v>
      </c>
      <c r="K625" s="114">
        <v>395</v>
      </c>
      <c r="L625" s="114">
        <v>52</v>
      </c>
      <c r="M625" s="114">
        <v>62</v>
      </c>
      <c r="N625" s="114">
        <v>11</v>
      </c>
      <c r="O625" s="114">
        <v>15</v>
      </c>
      <c r="P625" s="114">
        <v>421</v>
      </c>
      <c r="Q625" s="114">
        <v>2859</v>
      </c>
      <c r="R625" s="13" t="s">
        <v>25</v>
      </c>
      <c r="S625" s="13" t="s">
        <v>25</v>
      </c>
      <c r="T625" s="13" t="s">
        <v>25</v>
      </c>
    </row>
    <row r="626" spans="1:20" x14ac:dyDescent="0.3">
      <c r="A626" s="14">
        <v>43914.708333333336</v>
      </c>
      <c r="B626" s="13" t="s">
        <v>22</v>
      </c>
      <c r="C626" s="114">
        <v>19</v>
      </c>
      <c r="D626" s="13" t="s">
        <v>56</v>
      </c>
      <c r="E626" s="114">
        <v>3811569725</v>
      </c>
      <c r="F626" s="114">
        <v>133623567</v>
      </c>
      <c r="G626" s="114">
        <v>250</v>
      </c>
      <c r="H626" s="114">
        <v>60</v>
      </c>
      <c r="I626" s="114">
        <v>310</v>
      </c>
      <c r="J626" s="114">
        <v>489</v>
      </c>
      <c r="K626" s="114">
        <v>799</v>
      </c>
      <c r="L626" s="114">
        <v>118</v>
      </c>
      <c r="M626" s="114">
        <v>125</v>
      </c>
      <c r="N626" s="114">
        <v>27</v>
      </c>
      <c r="O626" s="114">
        <v>20</v>
      </c>
      <c r="P626" s="114">
        <v>846</v>
      </c>
      <c r="Q626" s="114">
        <v>7170</v>
      </c>
      <c r="R626" s="13" t="s">
        <v>25</v>
      </c>
      <c r="S626" s="13" t="s">
        <v>25</v>
      </c>
      <c r="T626" s="13" t="s">
        <v>25</v>
      </c>
    </row>
    <row r="627" spans="1:20" x14ac:dyDescent="0.3">
      <c r="A627" s="14">
        <v>43914.708333333336</v>
      </c>
      <c r="B627" s="13" t="s">
        <v>22</v>
      </c>
      <c r="C627" s="114">
        <v>9</v>
      </c>
      <c r="D627" s="13" t="s">
        <v>57</v>
      </c>
      <c r="E627" s="114">
        <v>4376923077</v>
      </c>
      <c r="F627" s="114">
        <v>1125588885</v>
      </c>
      <c r="G627" s="114">
        <v>918</v>
      </c>
      <c r="H627" s="114">
        <v>244</v>
      </c>
      <c r="I627" s="114">
        <v>1162</v>
      </c>
      <c r="J627" s="114">
        <v>1357</v>
      </c>
      <c r="K627" s="114">
        <v>2519</v>
      </c>
      <c r="L627" s="114">
        <v>218</v>
      </c>
      <c r="M627" s="114">
        <v>238</v>
      </c>
      <c r="N627" s="114">
        <v>51</v>
      </c>
      <c r="O627" s="114">
        <v>129</v>
      </c>
      <c r="P627" s="114">
        <v>2699</v>
      </c>
      <c r="Q627" s="114">
        <v>15701</v>
      </c>
      <c r="R627" s="13" t="s">
        <v>25</v>
      </c>
      <c r="S627" s="13" t="s">
        <v>25</v>
      </c>
      <c r="T627" s="13" t="s">
        <v>25</v>
      </c>
    </row>
    <row r="628" spans="1:20" x14ac:dyDescent="0.3">
      <c r="A628" s="14">
        <v>43914.708333333336</v>
      </c>
      <c r="B628" s="13" t="s">
        <v>22</v>
      </c>
      <c r="C628" s="114">
        <v>4</v>
      </c>
      <c r="D628" s="13" t="s">
        <v>58</v>
      </c>
      <c r="E628" s="114">
        <v>4606893511</v>
      </c>
      <c r="F628" s="114">
        <v>1112123097</v>
      </c>
      <c r="G628" s="114">
        <v>308</v>
      </c>
      <c r="H628" s="114">
        <v>49</v>
      </c>
      <c r="I628" s="114">
        <v>357</v>
      </c>
      <c r="J628" s="114">
        <v>618</v>
      </c>
      <c r="K628" s="114">
        <v>975</v>
      </c>
      <c r="L628" s="114">
        <v>61</v>
      </c>
      <c r="M628" s="114">
        <v>87</v>
      </c>
      <c r="N628" s="114">
        <v>79</v>
      </c>
      <c r="O628" s="114">
        <v>56</v>
      </c>
      <c r="P628" s="114">
        <v>1110</v>
      </c>
      <c r="Q628" s="114">
        <v>3712</v>
      </c>
      <c r="R628" s="13" t="s">
        <v>25</v>
      </c>
      <c r="S628" s="13" t="s">
        <v>25</v>
      </c>
      <c r="T628" s="13" t="s">
        <v>25</v>
      </c>
    </row>
    <row r="629" spans="1:20" x14ac:dyDescent="0.3">
      <c r="A629" s="14">
        <v>43914.708333333336</v>
      </c>
      <c r="B629" s="13" t="s">
        <v>22</v>
      </c>
      <c r="C629" s="114">
        <v>10</v>
      </c>
      <c r="D629" s="13" t="s">
        <v>59</v>
      </c>
      <c r="E629" s="114">
        <v>4310675841</v>
      </c>
      <c r="F629" s="114">
        <v>1238824698</v>
      </c>
      <c r="G629" s="114">
        <v>105</v>
      </c>
      <c r="H629" s="114">
        <v>43</v>
      </c>
      <c r="I629" s="114">
        <v>148</v>
      </c>
      <c r="J629" s="114">
        <v>476</v>
      </c>
      <c r="K629" s="114">
        <v>624</v>
      </c>
      <c r="L629" s="114">
        <v>68</v>
      </c>
      <c r="M629" s="114">
        <v>71</v>
      </c>
      <c r="N629" s="114">
        <v>5</v>
      </c>
      <c r="O629" s="114">
        <v>19</v>
      </c>
      <c r="P629" s="114">
        <v>648</v>
      </c>
      <c r="Q629" s="114">
        <v>4108</v>
      </c>
      <c r="R629" s="13" t="s">
        <v>25</v>
      </c>
      <c r="S629" s="13" t="s">
        <v>25</v>
      </c>
      <c r="T629" s="13" t="s">
        <v>25</v>
      </c>
    </row>
    <row r="630" spans="1:20" x14ac:dyDescent="0.3">
      <c r="A630" s="14">
        <v>43914.708333333336</v>
      </c>
      <c r="B630" s="13" t="s">
        <v>22</v>
      </c>
      <c r="C630" s="114">
        <v>2</v>
      </c>
      <c r="D630" s="13" t="s">
        <v>60</v>
      </c>
      <c r="E630" s="114">
        <v>4573750286</v>
      </c>
      <c r="F630" s="114">
        <v>7320149366</v>
      </c>
      <c r="G630" s="114">
        <v>71</v>
      </c>
      <c r="H630" s="114">
        <v>20</v>
      </c>
      <c r="I630" s="114">
        <v>91</v>
      </c>
      <c r="J630" s="114">
        <v>288</v>
      </c>
      <c r="K630" s="114">
        <v>379</v>
      </c>
      <c r="L630" s="114">
        <v>0</v>
      </c>
      <c r="M630" s="114">
        <v>7</v>
      </c>
      <c r="N630" s="114">
        <v>2</v>
      </c>
      <c r="O630" s="114">
        <v>19</v>
      </c>
      <c r="P630" s="114">
        <v>400</v>
      </c>
      <c r="Q630" s="114">
        <v>1180</v>
      </c>
      <c r="R630" s="13" t="s">
        <v>25</v>
      </c>
      <c r="S630" s="13" t="s">
        <v>25</v>
      </c>
      <c r="T630" s="13" t="s">
        <v>25</v>
      </c>
    </row>
    <row r="631" spans="1:20" x14ac:dyDescent="0.3">
      <c r="A631" s="14">
        <v>43914.708333333336</v>
      </c>
      <c r="B631" s="13" t="s">
        <v>22</v>
      </c>
      <c r="C631" s="114">
        <v>5</v>
      </c>
      <c r="D631" s="13" t="s">
        <v>61</v>
      </c>
      <c r="E631" s="114">
        <v>4543490485</v>
      </c>
      <c r="F631" s="114">
        <v>1233845213</v>
      </c>
      <c r="G631" s="114">
        <v>1318</v>
      </c>
      <c r="H631" s="114">
        <v>304</v>
      </c>
      <c r="I631" s="114">
        <v>1622</v>
      </c>
      <c r="J631" s="114">
        <v>3729</v>
      </c>
      <c r="K631" s="114">
        <v>5351</v>
      </c>
      <c r="L631" s="114">
        <v>365</v>
      </c>
      <c r="M631" s="114">
        <v>443</v>
      </c>
      <c r="N631" s="114">
        <v>381</v>
      </c>
      <c r="O631" s="114">
        <v>216</v>
      </c>
      <c r="P631" s="114">
        <v>5948</v>
      </c>
      <c r="Q631" s="114">
        <v>66178</v>
      </c>
      <c r="R631" s="13" t="s">
        <v>25</v>
      </c>
      <c r="S631" s="13" t="s">
        <v>25</v>
      </c>
      <c r="T631" s="13" t="s">
        <v>25</v>
      </c>
    </row>
    <row r="632" spans="1:20" x14ac:dyDescent="0.3">
      <c r="A632" s="14">
        <v>43915.708333333336</v>
      </c>
      <c r="B632" s="13" t="s">
        <v>22</v>
      </c>
      <c r="C632" s="114">
        <v>13</v>
      </c>
      <c r="D632" s="13" t="s">
        <v>42</v>
      </c>
      <c r="E632" s="114">
        <v>4235122196</v>
      </c>
      <c r="F632" s="114">
        <v>1339843823</v>
      </c>
      <c r="G632" s="114">
        <v>248</v>
      </c>
      <c r="H632" s="114">
        <v>59</v>
      </c>
      <c r="I632" s="114">
        <v>307</v>
      </c>
      <c r="J632" s="114">
        <v>431</v>
      </c>
      <c r="K632" s="114">
        <v>738</v>
      </c>
      <c r="L632" s="114">
        <v>116</v>
      </c>
      <c r="M632" s="114">
        <v>124</v>
      </c>
      <c r="N632" s="114">
        <v>23</v>
      </c>
      <c r="O632" s="114">
        <v>52</v>
      </c>
      <c r="P632" s="114">
        <v>813</v>
      </c>
      <c r="Q632" s="114">
        <v>4982</v>
      </c>
      <c r="R632" s="13" t="s">
        <v>25</v>
      </c>
      <c r="S632" s="13" t="s">
        <v>25</v>
      </c>
      <c r="T632" s="13" t="s">
        <v>25</v>
      </c>
    </row>
    <row r="633" spans="1:20" x14ac:dyDescent="0.3">
      <c r="A633" s="14">
        <v>43915.708333333336</v>
      </c>
      <c r="B633" s="13" t="s">
        <v>22</v>
      </c>
      <c r="C633" s="114">
        <v>17</v>
      </c>
      <c r="D633" s="13" t="s">
        <v>43</v>
      </c>
      <c r="E633" s="114">
        <v>4063947052</v>
      </c>
      <c r="F633" s="114">
        <v>1580514834</v>
      </c>
      <c r="G633" s="114">
        <v>20</v>
      </c>
      <c r="H633" s="114">
        <v>14</v>
      </c>
      <c r="I633" s="114">
        <v>34</v>
      </c>
      <c r="J633" s="114">
        <v>78</v>
      </c>
      <c r="K633" s="114">
        <v>112</v>
      </c>
      <c r="L633" s="114">
        <v>21</v>
      </c>
      <c r="M633" s="114">
        <v>21</v>
      </c>
      <c r="N633" s="114">
        <v>0</v>
      </c>
      <c r="O633" s="114">
        <v>1</v>
      </c>
      <c r="P633" s="114">
        <v>113</v>
      </c>
      <c r="Q633" s="114">
        <v>857</v>
      </c>
      <c r="R633" s="13" t="s">
        <v>25</v>
      </c>
      <c r="S633" s="13" t="s">
        <v>25</v>
      </c>
      <c r="T633" s="13" t="s">
        <v>25</v>
      </c>
    </row>
    <row r="634" spans="1:20" x14ac:dyDescent="0.3">
      <c r="A634" s="14">
        <v>43915.708333333336</v>
      </c>
      <c r="B634" s="13" t="s">
        <v>22</v>
      </c>
      <c r="C634" s="114">
        <v>4</v>
      </c>
      <c r="D634" s="13" t="s">
        <v>44</v>
      </c>
      <c r="E634" s="114">
        <v>4649933453</v>
      </c>
      <c r="F634" s="114">
        <v>1135662422</v>
      </c>
      <c r="G634" s="114">
        <v>190</v>
      </c>
      <c r="H634" s="114">
        <v>40</v>
      </c>
      <c r="I634" s="114">
        <v>230</v>
      </c>
      <c r="J634" s="114">
        <v>518</v>
      </c>
      <c r="K634" s="114">
        <v>748</v>
      </c>
      <c r="L634" s="114">
        <v>49</v>
      </c>
      <c r="M634" s="114">
        <v>77</v>
      </c>
      <c r="N634" s="114">
        <v>67</v>
      </c>
      <c r="O634" s="114">
        <v>43</v>
      </c>
      <c r="P634" s="114">
        <v>858</v>
      </c>
      <c r="Q634" s="114">
        <v>6649</v>
      </c>
      <c r="R634" s="13" t="s">
        <v>25</v>
      </c>
      <c r="S634" s="13" t="s">
        <v>25</v>
      </c>
      <c r="T634" s="13" t="s">
        <v>25</v>
      </c>
    </row>
    <row r="635" spans="1:20" x14ac:dyDescent="0.3">
      <c r="A635" s="14">
        <v>43915.708333333336</v>
      </c>
      <c r="B635" s="13" t="s">
        <v>22</v>
      </c>
      <c r="C635" s="114">
        <v>18</v>
      </c>
      <c r="D635" s="13" t="s">
        <v>45</v>
      </c>
      <c r="E635" s="114">
        <v>3890597598</v>
      </c>
      <c r="F635" s="114">
        <v>1659440194</v>
      </c>
      <c r="G635" s="114">
        <v>93</v>
      </c>
      <c r="H635" s="114">
        <v>23</v>
      </c>
      <c r="I635" s="114">
        <v>116</v>
      </c>
      <c r="J635" s="114">
        <v>217</v>
      </c>
      <c r="K635" s="114">
        <v>333</v>
      </c>
      <c r="L635" s="114">
        <v>29</v>
      </c>
      <c r="M635" s="114">
        <v>32</v>
      </c>
      <c r="N635" s="114">
        <v>7</v>
      </c>
      <c r="O635" s="114">
        <v>11</v>
      </c>
      <c r="P635" s="114">
        <v>351</v>
      </c>
      <c r="Q635" s="114">
        <v>5058</v>
      </c>
      <c r="R635" s="13" t="s">
        <v>25</v>
      </c>
      <c r="S635" s="13" t="s">
        <v>25</v>
      </c>
      <c r="T635" s="13" t="s">
        <v>25</v>
      </c>
    </row>
    <row r="636" spans="1:20" x14ac:dyDescent="0.3">
      <c r="A636" s="14">
        <v>43915.708333333336</v>
      </c>
      <c r="B636" s="13" t="s">
        <v>22</v>
      </c>
      <c r="C636" s="114">
        <v>15</v>
      </c>
      <c r="D636" s="13" t="s">
        <v>46</v>
      </c>
      <c r="E636" s="114">
        <v>4083956555</v>
      </c>
      <c r="F636" s="114">
        <v>1425084984</v>
      </c>
      <c r="G636" s="114">
        <v>318</v>
      </c>
      <c r="H636" s="114">
        <v>123</v>
      </c>
      <c r="I636" s="114">
        <v>441</v>
      </c>
      <c r="J636" s="114">
        <v>631</v>
      </c>
      <c r="K636" s="114">
        <v>1072</v>
      </c>
      <c r="L636" s="114">
        <v>80</v>
      </c>
      <c r="M636" s="114">
        <v>98</v>
      </c>
      <c r="N636" s="114">
        <v>53</v>
      </c>
      <c r="O636" s="114">
        <v>74</v>
      </c>
      <c r="P636" s="114">
        <v>1199</v>
      </c>
      <c r="Q636" s="114">
        <v>6972</v>
      </c>
      <c r="R636" s="13" t="s">
        <v>25</v>
      </c>
      <c r="S636" s="13" t="s">
        <v>25</v>
      </c>
      <c r="T636" s="13" t="s">
        <v>25</v>
      </c>
    </row>
    <row r="637" spans="1:20" x14ac:dyDescent="0.3">
      <c r="A637" s="14">
        <v>43915.708333333336</v>
      </c>
      <c r="B637" s="13" t="s">
        <v>22</v>
      </c>
      <c r="C637" s="114">
        <v>8</v>
      </c>
      <c r="D637" s="13" t="s">
        <v>96</v>
      </c>
      <c r="E637" s="114">
        <v>4449436681</v>
      </c>
      <c r="F637" s="114">
        <v>113417208</v>
      </c>
      <c r="G637" s="114">
        <v>3180</v>
      </c>
      <c r="H637" s="114">
        <v>294</v>
      </c>
      <c r="I637" s="114">
        <v>3474</v>
      </c>
      <c r="J637" s="114">
        <v>4782</v>
      </c>
      <c r="K637" s="114">
        <v>8256</v>
      </c>
      <c r="L637" s="114">
        <v>545</v>
      </c>
      <c r="M637" s="114">
        <v>800</v>
      </c>
      <c r="N637" s="114">
        <v>721</v>
      </c>
      <c r="O637" s="114">
        <v>1077</v>
      </c>
      <c r="P637" s="114">
        <v>10054</v>
      </c>
      <c r="Q637" s="114">
        <v>38045</v>
      </c>
      <c r="R637" s="13" t="s">
        <v>25</v>
      </c>
      <c r="S637" s="13" t="s">
        <v>25</v>
      </c>
      <c r="T637" s="13" t="s">
        <v>25</v>
      </c>
    </row>
    <row r="638" spans="1:20" x14ac:dyDescent="0.3">
      <c r="A638" s="14">
        <v>43915.708333333336</v>
      </c>
      <c r="B638" s="13" t="s">
        <v>22</v>
      </c>
      <c r="C638" s="114">
        <v>6</v>
      </c>
      <c r="D638" s="13" t="s">
        <v>47</v>
      </c>
      <c r="E638" s="114">
        <v>456494354</v>
      </c>
      <c r="F638" s="114">
        <v>1376813649</v>
      </c>
      <c r="G638" s="114">
        <v>200</v>
      </c>
      <c r="H638" s="114">
        <v>52</v>
      </c>
      <c r="I638" s="114">
        <v>252</v>
      </c>
      <c r="J638" s="114">
        <v>659</v>
      </c>
      <c r="K638" s="114">
        <v>911</v>
      </c>
      <c r="L638" s="114">
        <v>63</v>
      </c>
      <c r="M638" s="114">
        <v>147</v>
      </c>
      <c r="N638" s="114">
        <v>158</v>
      </c>
      <c r="O638" s="114">
        <v>70</v>
      </c>
      <c r="P638" s="114">
        <v>1139</v>
      </c>
      <c r="Q638" s="114">
        <v>9494</v>
      </c>
      <c r="R638" s="13" t="s">
        <v>25</v>
      </c>
      <c r="S638" s="13" t="s">
        <v>25</v>
      </c>
      <c r="T638" s="13" t="s">
        <v>25</v>
      </c>
    </row>
    <row r="639" spans="1:20" x14ac:dyDescent="0.3">
      <c r="A639" s="14">
        <v>43915.708333333336</v>
      </c>
      <c r="B639" s="13" t="s">
        <v>22</v>
      </c>
      <c r="C639" s="114">
        <v>12</v>
      </c>
      <c r="D639" s="13" t="s">
        <v>48</v>
      </c>
      <c r="E639" s="114">
        <v>4189277044</v>
      </c>
      <c r="F639" s="114">
        <v>1248366722</v>
      </c>
      <c r="G639" s="114">
        <v>805</v>
      </c>
      <c r="H639" s="114">
        <v>101</v>
      </c>
      <c r="I639" s="114">
        <v>906</v>
      </c>
      <c r="J639" s="114">
        <v>769</v>
      </c>
      <c r="K639" s="114">
        <v>1675</v>
      </c>
      <c r="L639" s="114">
        <v>130</v>
      </c>
      <c r="M639" s="114">
        <v>173</v>
      </c>
      <c r="N639" s="114">
        <v>131</v>
      </c>
      <c r="O639" s="114">
        <v>95</v>
      </c>
      <c r="P639" s="114">
        <v>1901</v>
      </c>
      <c r="Q639" s="114">
        <v>20669</v>
      </c>
      <c r="R639" s="13" t="s">
        <v>25</v>
      </c>
      <c r="S639" s="13" t="s">
        <v>25</v>
      </c>
      <c r="T639" s="13" t="s">
        <v>25</v>
      </c>
    </row>
    <row r="640" spans="1:20" x14ac:dyDescent="0.3">
      <c r="A640" s="14">
        <v>43915.708333333336</v>
      </c>
      <c r="B640" s="13" t="s">
        <v>22</v>
      </c>
      <c r="C640" s="114">
        <v>7</v>
      </c>
      <c r="D640" s="13" t="s">
        <v>49</v>
      </c>
      <c r="E640" s="114">
        <v>4441149315</v>
      </c>
      <c r="F640" s="114">
        <v>89326992</v>
      </c>
      <c r="G640" s="114">
        <v>927</v>
      </c>
      <c r="H640" s="114">
        <v>147</v>
      </c>
      <c r="I640" s="114">
        <v>1074</v>
      </c>
      <c r="J640" s="114">
        <v>752</v>
      </c>
      <c r="K640" s="114">
        <v>1826</v>
      </c>
      <c r="L640" s="114">
        <v>134</v>
      </c>
      <c r="M640" s="114">
        <v>189</v>
      </c>
      <c r="N640" s="114">
        <v>225</v>
      </c>
      <c r="O640" s="114">
        <v>254</v>
      </c>
      <c r="P640" s="114">
        <v>2305</v>
      </c>
      <c r="Q640" s="114">
        <v>6602</v>
      </c>
      <c r="R640" s="13" t="s">
        <v>25</v>
      </c>
      <c r="S640" s="13" t="s">
        <v>25</v>
      </c>
      <c r="T640" s="13" t="s">
        <v>25</v>
      </c>
    </row>
    <row r="641" spans="1:20" x14ac:dyDescent="0.3">
      <c r="A641" s="14">
        <v>43915.708333333336</v>
      </c>
      <c r="B641" s="13" t="s">
        <v>22</v>
      </c>
      <c r="C641" s="114">
        <v>3</v>
      </c>
      <c r="D641" s="13" t="s">
        <v>50</v>
      </c>
      <c r="E641" s="114">
        <v>4546679409</v>
      </c>
      <c r="F641" s="114">
        <v>9190347404</v>
      </c>
      <c r="G641" s="114">
        <v>10026</v>
      </c>
      <c r="H641" s="114">
        <v>1236</v>
      </c>
      <c r="I641" s="114">
        <v>11262</v>
      </c>
      <c r="J641" s="114">
        <v>9329</v>
      </c>
      <c r="K641" s="114">
        <v>20591</v>
      </c>
      <c r="L641" s="114">
        <v>723</v>
      </c>
      <c r="M641" s="114">
        <v>1643</v>
      </c>
      <c r="N641" s="114">
        <v>7281</v>
      </c>
      <c r="O641" s="114">
        <v>4474</v>
      </c>
      <c r="P641" s="114">
        <v>32346</v>
      </c>
      <c r="Q641" s="114">
        <v>81666</v>
      </c>
      <c r="R641" s="13" t="s">
        <v>25</v>
      </c>
      <c r="S641" s="13" t="s">
        <v>25</v>
      </c>
      <c r="T641" s="13" t="s">
        <v>25</v>
      </c>
    </row>
    <row r="642" spans="1:20" x14ac:dyDescent="0.3">
      <c r="A642" s="14">
        <v>43915.708333333336</v>
      </c>
      <c r="B642" s="13" t="s">
        <v>22</v>
      </c>
      <c r="C642" s="114">
        <v>11</v>
      </c>
      <c r="D642" s="13" t="s">
        <v>51</v>
      </c>
      <c r="E642" s="114">
        <v>4361675973</v>
      </c>
      <c r="F642" s="114">
        <v>135188753</v>
      </c>
      <c r="G642" s="114">
        <v>938</v>
      </c>
      <c r="H642" s="114">
        <v>148</v>
      </c>
      <c r="I642" s="114">
        <v>1086</v>
      </c>
      <c r="J642" s="114">
        <v>1553</v>
      </c>
      <c r="K642" s="114">
        <v>2639</v>
      </c>
      <c r="L642" s="114">
        <v>142</v>
      </c>
      <c r="M642" s="114">
        <v>198</v>
      </c>
      <c r="N642" s="114">
        <v>8</v>
      </c>
      <c r="O642" s="114">
        <v>287</v>
      </c>
      <c r="P642" s="114">
        <v>2934</v>
      </c>
      <c r="Q642" s="114">
        <v>7896</v>
      </c>
      <c r="R642" s="13" t="s">
        <v>25</v>
      </c>
      <c r="S642" s="13" t="s">
        <v>25</v>
      </c>
      <c r="T642" s="13" t="s">
        <v>25</v>
      </c>
    </row>
    <row r="643" spans="1:20" x14ac:dyDescent="0.3">
      <c r="A643" s="14">
        <v>43915.708333333336</v>
      </c>
      <c r="B643" s="13" t="s">
        <v>22</v>
      </c>
      <c r="C643" s="114">
        <v>14</v>
      </c>
      <c r="D643" s="13" t="s">
        <v>52</v>
      </c>
      <c r="E643" s="114">
        <v>4155774754</v>
      </c>
      <c r="F643" s="114">
        <v>1465916051</v>
      </c>
      <c r="G643" s="114">
        <v>26</v>
      </c>
      <c r="H643" s="114">
        <v>7</v>
      </c>
      <c r="I643" s="114">
        <v>33</v>
      </c>
      <c r="J643" s="114">
        <v>20</v>
      </c>
      <c r="K643" s="114">
        <v>53</v>
      </c>
      <c r="L643" s="114">
        <v>-2</v>
      </c>
      <c r="M643" s="114">
        <v>0</v>
      </c>
      <c r="N643" s="114">
        <v>12</v>
      </c>
      <c r="O643" s="114">
        <v>8</v>
      </c>
      <c r="P643" s="114">
        <v>73</v>
      </c>
      <c r="Q643" s="114">
        <v>580</v>
      </c>
      <c r="R643" s="13" t="s">
        <v>25</v>
      </c>
      <c r="S643" s="13" t="s">
        <v>25</v>
      </c>
      <c r="T643" s="13" t="s">
        <v>25</v>
      </c>
    </row>
    <row r="644" spans="1:20" x14ac:dyDescent="0.3">
      <c r="A644" s="14">
        <v>43915.708333333336</v>
      </c>
      <c r="B644" s="13" t="s">
        <v>22</v>
      </c>
      <c r="C644" s="114">
        <v>1</v>
      </c>
      <c r="D644" s="13" t="s">
        <v>53</v>
      </c>
      <c r="E644" s="114">
        <v>450732745</v>
      </c>
      <c r="F644" s="114">
        <v>7680687483</v>
      </c>
      <c r="G644" s="114">
        <v>2544</v>
      </c>
      <c r="H644" s="114">
        <v>381</v>
      </c>
      <c r="I644" s="114">
        <v>2925</v>
      </c>
      <c r="J644" s="114">
        <v>2631</v>
      </c>
      <c r="K644" s="114">
        <v>5556</v>
      </c>
      <c r="L644" s="114">
        <v>432</v>
      </c>
      <c r="M644" s="114">
        <v>509</v>
      </c>
      <c r="N644" s="114">
        <v>19</v>
      </c>
      <c r="O644" s="114">
        <v>449</v>
      </c>
      <c r="P644" s="114">
        <v>6024</v>
      </c>
      <c r="Q644" s="114">
        <v>16655</v>
      </c>
      <c r="R644" s="13" t="s">
        <v>25</v>
      </c>
      <c r="S644" s="13" t="s">
        <v>25</v>
      </c>
      <c r="T644" s="13" t="s">
        <v>25</v>
      </c>
    </row>
    <row r="645" spans="1:20" x14ac:dyDescent="0.3">
      <c r="A645" s="14">
        <v>43915.708333333336</v>
      </c>
      <c r="B645" s="13" t="s">
        <v>22</v>
      </c>
      <c r="C645" s="114">
        <v>16</v>
      </c>
      <c r="D645" s="13" t="s">
        <v>54</v>
      </c>
      <c r="E645" s="114">
        <v>4112559576</v>
      </c>
      <c r="F645" s="114">
        <v>1686736689</v>
      </c>
      <c r="G645" s="114">
        <v>349</v>
      </c>
      <c r="H645" s="114">
        <v>64</v>
      </c>
      <c r="I645" s="114">
        <v>413</v>
      </c>
      <c r="J645" s="114">
        <v>610</v>
      </c>
      <c r="K645" s="114">
        <v>1023</v>
      </c>
      <c r="L645" s="114">
        <v>83</v>
      </c>
      <c r="M645" s="114">
        <v>88</v>
      </c>
      <c r="N645" s="114">
        <v>22</v>
      </c>
      <c r="O645" s="114">
        <v>48</v>
      </c>
      <c r="P645" s="114">
        <v>1093</v>
      </c>
      <c r="Q645" s="114">
        <v>8223</v>
      </c>
      <c r="R645" s="13" t="s">
        <v>25</v>
      </c>
      <c r="S645" s="13" t="s">
        <v>25</v>
      </c>
      <c r="T645" s="13" t="s">
        <v>25</v>
      </c>
    </row>
    <row r="646" spans="1:20" x14ac:dyDescent="0.3">
      <c r="A646" s="14">
        <v>43915.708333333336</v>
      </c>
      <c r="B646" s="13" t="s">
        <v>22</v>
      </c>
      <c r="C646" s="114">
        <v>20</v>
      </c>
      <c r="D646" s="13" t="s">
        <v>55</v>
      </c>
      <c r="E646" s="114">
        <v>3921531192</v>
      </c>
      <c r="F646" s="114">
        <v>9110616306</v>
      </c>
      <c r="G646" s="114">
        <v>82</v>
      </c>
      <c r="H646" s="114">
        <v>19</v>
      </c>
      <c r="I646" s="114">
        <v>101</v>
      </c>
      <c r="J646" s="114">
        <v>311</v>
      </c>
      <c r="K646" s="114">
        <v>412</v>
      </c>
      <c r="L646" s="114">
        <v>17</v>
      </c>
      <c r="M646" s="114">
        <v>21</v>
      </c>
      <c r="N646" s="114">
        <v>12</v>
      </c>
      <c r="O646" s="114">
        <v>18</v>
      </c>
      <c r="P646" s="114">
        <v>442</v>
      </c>
      <c r="Q646" s="114">
        <v>3019</v>
      </c>
      <c r="R646" s="13" t="s">
        <v>25</v>
      </c>
      <c r="S646" s="13" t="s">
        <v>25</v>
      </c>
      <c r="T646" s="13" t="s">
        <v>25</v>
      </c>
    </row>
    <row r="647" spans="1:20" x14ac:dyDescent="0.3">
      <c r="A647" s="14">
        <v>43915.708333333336</v>
      </c>
      <c r="B647" s="13" t="s">
        <v>22</v>
      </c>
      <c r="C647" s="114">
        <v>19</v>
      </c>
      <c r="D647" s="13" t="s">
        <v>56</v>
      </c>
      <c r="E647" s="114">
        <v>3811569725</v>
      </c>
      <c r="F647" s="114">
        <v>133623567</v>
      </c>
      <c r="G647" s="114">
        <v>259</v>
      </c>
      <c r="H647" s="114">
        <v>80</v>
      </c>
      <c r="I647" s="114">
        <v>339</v>
      </c>
      <c r="J647" s="114">
        <v>597</v>
      </c>
      <c r="K647" s="114">
        <v>936</v>
      </c>
      <c r="L647" s="114">
        <v>137</v>
      </c>
      <c r="M647" s="114">
        <v>148</v>
      </c>
      <c r="N647" s="114">
        <v>33</v>
      </c>
      <c r="O647" s="114">
        <v>25</v>
      </c>
      <c r="P647" s="114">
        <v>994</v>
      </c>
      <c r="Q647" s="114">
        <v>8312</v>
      </c>
      <c r="R647" s="13" t="s">
        <v>25</v>
      </c>
      <c r="S647" s="13" t="s">
        <v>25</v>
      </c>
      <c r="T647" s="13" t="s">
        <v>25</v>
      </c>
    </row>
    <row r="648" spans="1:20" x14ac:dyDescent="0.3">
      <c r="A648" s="14">
        <v>43915.708333333336</v>
      </c>
      <c r="B648" s="13" t="s">
        <v>22</v>
      </c>
      <c r="C648" s="114">
        <v>9</v>
      </c>
      <c r="D648" s="13" t="s">
        <v>57</v>
      </c>
      <c r="E648" s="114">
        <v>4376923077</v>
      </c>
      <c r="F648" s="114">
        <v>1125588885</v>
      </c>
      <c r="G648" s="114">
        <v>999</v>
      </c>
      <c r="H648" s="114">
        <v>251</v>
      </c>
      <c r="I648" s="114">
        <v>1250</v>
      </c>
      <c r="J648" s="114">
        <v>1526</v>
      </c>
      <c r="K648" s="114">
        <v>2776</v>
      </c>
      <c r="L648" s="114">
        <v>257</v>
      </c>
      <c r="M648" s="114">
        <v>273</v>
      </c>
      <c r="N648" s="114">
        <v>54</v>
      </c>
      <c r="O648" s="114">
        <v>142</v>
      </c>
      <c r="P648" s="114">
        <v>2972</v>
      </c>
      <c r="Q648" s="114">
        <v>17868</v>
      </c>
      <c r="R648" s="13" t="s">
        <v>25</v>
      </c>
      <c r="S648" s="13" t="s">
        <v>25</v>
      </c>
      <c r="T648" s="13" t="s">
        <v>25</v>
      </c>
    </row>
    <row r="649" spans="1:20" x14ac:dyDescent="0.3">
      <c r="A649" s="14">
        <v>43915.708333333336</v>
      </c>
      <c r="B649" s="13" t="s">
        <v>22</v>
      </c>
      <c r="C649" s="114">
        <v>4</v>
      </c>
      <c r="D649" s="13" t="s">
        <v>58</v>
      </c>
      <c r="E649" s="114">
        <v>4606893511</v>
      </c>
      <c r="F649" s="114">
        <v>1112123097</v>
      </c>
      <c r="G649" s="114">
        <v>308</v>
      </c>
      <c r="H649" s="114">
        <v>65</v>
      </c>
      <c r="I649" s="114">
        <v>373</v>
      </c>
      <c r="J649" s="114">
        <v>685</v>
      </c>
      <c r="K649" s="114">
        <v>1058</v>
      </c>
      <c r="L649" s="114">
        <v>83</v>
      </c>
      <c r="M649" s="114">
        <v>112</v>
      </c>
      <c r="N649" s="114">
        <v>90</v>
      </c>
      <c r="O649" s="114">
        <v>74</v>
      </c>
      <c r="P649" s="114">
        <v>1222</v>
      </c>
      <c r="Q649" s="114">
        <v>4114</v>
      </c>
      <c r="R649" s="13" t="s">
        <v>25</v>
      </c>
      <c r="S649" s="13" t="s">
        <v>25</v>
      </c>
      <c r="T649" s="13" t="s">
        <v>25</v>
      </c>
    </row>
    <row r="650" spans="1:20" x14ac:dyDescent="0.3">
      <c r="A650" s="14">
        <v>43915.708333333336</v>
      </c>
      <c r="B650" s="13" t="s">
        <v>22</v>
      </c>
      <c r="C650" s="114">
        <v>10</v>
      </c>
      <c r="D650" s="13" t="s">
        <v>59</v>
      </c>
      <c r="E650" s="114">
        <v>4310675841</v>
      </c>
      <c r="F650" s="114">
        <v>1238824698</v>
      </c>
      <c r="G650" s="114">
        <v>123</v>
      </c>
      <c r="H650" s="114">
        <v>44</v>
      </c>
      <c r="I650" s="114">
        <v>167</v>
      </c>
      <c r="J650" s="114">
        <v>519</v>
      </c>
      <c r="K650" s="114">
        <v>686</v>
      </c>
      <c r="L650" s="114">
        <v>62</v>
      </c>
      <c r="M650" s="114">
        <v>62</v>
      </c>
      <c r="N650" s="114">
        <v>5</v>
      </c>
      <c r="O650" s="114">
        <v>19</v>
      </c>
      <c r="P650" s="114">
        <v>710</v>
      </c>
      <c r="Q650" s="114">
        <v>4707</v>
      </c>
      <c r="R650" s="13" t="s">
        <v>25</v>
      </c>
      <c r="S650" s="13" t="s">
        <v>25</v>
      </c>
      <c r="T650" s="13" t="s">
        <v>25</v>
      </c>
    </row>
    <row r="651" spans="1:20" x14ac:dyDescent="0.3">
      <c r="A651" s="14">
        <v>43915.708333333336</v>
      </c>
      <c r="B651" s="13" t="s">
        <v>22</v>
      </c>
      <c r="C651" s="114">
        <v>2</v>
      </c>
      <c r="D651" s="13" t="s">
        <v>60</v>
      </c>
      <c r="E651" s="114">
        <v>4573750286</v>
      </c>
      <c r="F651" s="114">
        <v>7320149366</v>
      </c>
      <c r="G651" s="114">
        <v>70</v>
      </c>
      <c r="H651" s="114">
        <v>25</v>
      </c>
      <c r="I651" s="114">
        <v>95</v>
      </c>
      <c r="J651" s="114">
        <v>280</v>
      </c>
      <c r="K651" s="114">
        <v>375</v>
      </c>
      <c r="L651" s="114">
        <v>-4</v>
      </c>
      <c r="M651" s="114">
        <v>1</v>
      </c>
      <c r="N651" s="114">
        <v>2</v>
      </c>
      <c r="O651" s="114">
        <v>24</v>
      </c>
      <c r="P651" s="114">
        <v>401</v>
      </c>
      <c r="Q651" s="114">
        <v>1200</v>
      </c>
      <c r="R651" s="13" t="s">
        <v>25</v>
      </c>
      <c r="S651" s="13" t="s">
        <v>25</v>
      </c>
      <c r="T651" s="13" t="s">
        <v>25</v>
      </c>
    </row>
    <row r="652" spans="1:20" x14ac:dyDescent="0.3">
      <c r="A652" s="14">
        <v>43915.708333333336</v>
      </c>
      <c r="B652" s="13" t="s">
        <v>22</v>
      </c>
      <c r="C652" s="114">
        <v>5</v>
      </c>
      <c r="D652" s="13" t="s">
        <v>61</v>
      </c>
      <c r="E652" s="114">
        <v>4543490485</v>
      </c>
      <c r="F652" s="114">
        <v>1233845213</v>
      </c>
      <c r="G652" s="114">
        <v>1407</v>
      </c>
      <c r="H652" s="114">
        <v>316</v>
      </c>
      <c r="I652" s="114">
        <v>1723</v>
      </c>
      <c r="J652" s="114">
        <v>4022</v>
      </c>
      <c r="K652" s="114">
        <v>5745</v>
      </c>
      <c r="L652" s="114">
        <v>394</v>
      </c>
      <c r="M652" s="114">
        <v>494</v>
      </c>
      <c r="N652" s="114">
        <v>439</v>
      </c>
      <c r="O652" s="114">
        <v>258</v>
      </c>
      <c r="P652" s="114">
        <v>6442</v>
      </c>
      <c r="Q652" s="114">
        <v>70877</v>
      </c>
      <c r="R652" s="13" t="s">
        <v>25</v>
      </c>
      <c r="S652" s="13" t="s">
        <v>25</v>
      </c>
      <c r="T652" s="13" t="s">
        <v>25</v>
      </c>
    </row>
    <row r="653" spans="1:20" x14ac:dyDescent="0.3">
      <c r="A653" s="14">
        <v>43916.708333333336</v>
      </c>
      <c r="B653" s="13" t="s">
        <v>22</v>
      </c>
      <c r="C653" s="114">
        <v>13</v>
      </c>
      <c r="D653" s="13" t="s">
        <v>42</v>
      </c>
      <c r="E653" s="114">
        <v>4235122196</v>
      </c>
      <c r="F653" s="114">
        <v>1339843823</v>
      </c>
      <c r="G653" s="114">
        <v>280</v>
      </c>
      <c r="H653" s="114">
        <v>64</v>
      </c>
      <c r="I653" s="114">
        <v>344</v>
      </c>
      <c r="J653" s="114">
        <v>516</v>
      </c>
      <c r="K653" s="114">
        <v>860</v>
      </c>
      <c r="L653" s="114">
        <v>122</v>
      </c>
      <c r="M653" s="114">
        <v>133</v>
      </c>
      <c r="N653" s="114">
        <v>23</v>
      </c>
      <c r="O653" s="114">
        <v>63</v>
      </c>
      <c r="P653" s="114">
        <v>946</v>
      </c>
      <c r="Q653" s="114">
        <v>5488</v>
      </c>
      <c r="R653" s="13" t="s">
        <v>25</v>
      </c>
      <c r="S653" s="13" t="s">
        <v>25</v>
      </c>
      <c r="T653" s="13" t="s">
        <v>25</v>
      </c>
    </row>
    <row r="654" spans="1:20" x14ac:dyDescent="0.3">
      <c r="A654" s="14">
        <v>43916.708333333336</v>
      </c>
      <c r="B654" s="13" t="s">
        <v>22</v>
      </c>
      <c r="C654" s="114">
        <v>17</v>
      </c>
      <c r="D654" s="13" t="s">
        <v>43</v>
      </c>
      <c r="E654" s="114">
        <v>4063947052</v>
      </c>
      <c r="F654" s="114">
        <v>1580514834</v>
      </c>
      <c r="G654" s="114">
        <v>22</v>
      </c>
      <c r="H654" s="114">
        <v>16</v>
      </c>
      <c r="I654" s="114">
        <v>38</v>
      </c>
      <c r="J654" s="114">
        <v>95</v>
      </c>
      <c r="K654" s="114">
        <v>133</v>
      </c>
      <c r="L654" s="114">
        <v>21</v>
      </c>
      <c r="M654" s="114">
        <v>21</v>
      </c>
      <c r="N654" s="114">
        <v>0</v>
      </c>
      <c r="O654" s="114">
        <v>1</v>
      </c>
      <c r="P654" s="114">
        <v>134</v>
      </c>
      <c r="Q654" s="114">
        <v>1046</v>
      </c>
      <c r="R654" s="13" t="s">
        <v>25</v>
      </c>
      <c r="S654" s="13" t="s">
        <v>25</v>
      </c>
      <c r="T654" s="13" t="s">
        <v>25</v>
      </c>
    </row>
    <row r="655" spans="1:20" x14ac:dyDescent="0.3">
      <c r="A655" s="14">
        <v>43916.708333333336</v>
      </c>
      <c r="B655" s="13" t="s">
        <v>22</v>
      </c>
      <c r="C655" s="114">
        <v>4</v>
      </c>
      <c r="D655" s="13" t="s">
        <v>44</v>
      </c>
      <c r="E655" s="114">
        <v>4649933453</v>
      </c>
      <c r="F655" s="114">
        <v>1135662422</v>
      </c>
      <c r="G655" s="114">
        <v>223</v>
      </c>
      <c r="H655" s="114">
        <v>43</v>
      </c>
      <c r="I655" s="114">
        <v>266</v>
      </c>
      <c r="J655" s="114">
        <v>525</v>
      </c>
      <c r="K655" s="114">
        <v>791</v>
      </c>
      <c r="L655" s="114">
        <v>43</v>
      </c>
      <c r="M655" s="114">
        <v>48</v>
      </c>
      <c r="N655" s="114">
        <v>67</v>
      </c>
      <c r="O655" s="114">
        <v>48</v>
      </c>
      <c r="P655" s="114">
        <v>906</v>
      </c>
      <c r="Q655" s="114">
        <v>7744</v>
      </c>
      <c r="R655" s="13" t="s">
        <v>25</v>
      </c>
      <c r="S655" s="13" t="s">
        <v>25</v>
      </c>
      <c r="T655" s="13" t="s">
        <v>25</v>
      </c>
    </row>
    <row r="656" spans="1:20" x14ac:dyDescent="0.3">
      <c r="A656" s="14">
        <v>43916.708333333336</v>
      </c>
      <c r="B656" s="13" t="s">
        <v>22</v>
      </c>
      <c r="C656" s="114">
        <v>18</v>
      </c>
      <c r="D656" s="13" t="s">
        <v>45</v>
      </c>
      <c r="E656" s="114">
        <v>3890597598</v>
      </c>
      <c r="F656" s="114">
        <v>1659440194</v>
      </c>
      <c r="G656" s="114">
        <v>101</v>
      </c>
      <c r="H656" s="114">
        <v>23</v>
      </c>
      <c r="I656" s="114">
        <v>124</v>
      </c>
      <c r="J656" s="114">
        <v>248</v>
      </c>
      <c r="K656" s="114">
        <v>372</v>
      </c>
      <c r="L656" s="114">
        <v>39</v>
      </c>
      <c r="M656" s="114">
        <v>42</v>
      </c>
      <c r="N656" s="114">
        <v>7</v>
      </c>
      <c r="O656" s="114">
        <v>14</v>
      </c>
      <c r="P656" s="114">
        <v>393</v>
      </c>
      <c r="Q656" s="114">
        <v>5933</v>
      </c>
      <c r="R656" s="13" t="s">
        <v>25</v>
      </c>
      <c r="S656" s="13" t="s">
        <v>25</v>
      </c>
      <c r="T656" s="13" t="s">
        <v>25</v>
      </c>
    </row>
    <row r="657" spans="1:20" x14ac:dyDescent="0.3">
      <c r="A657" s="14">
        <v>43916.708333333336</v>
      </c>
      <c r="B657" s="13" t="s">
        <v>22</v>
      </c>
      <c r="C657" s="114">
        <v>15</v>
      </c>
      <c r="D657" s="13" t="s">
        <v>46</v>
      </c>
      <c r="E657" s="114">
        <v>4083956555</v>
      </c>
      <c r="F657" s="114">
        <v>1425084984</v>
      </c>
      <c r="G657" s="114">
        <v>448</v>
      </c>
      <c r="H657" s="114">
        <v>114</v>
      </c>
      <c r="I657" s="114">
        <v>562</v>
      </c>
      <c r="J657" s="114">
        <v>607</v>
      </c>
      <c r="K657" s="114">
        <v>1169</v>
      </c>
      <c r="L657" s="114">
        <v>97</v>
      </c>
      <c r="M657" s="114">
        <v>111</v>
      </c>
      <c r="N657" s="114">
        <v>58</v>
      </c>
      <c r="O657" s="114">
        <v>83</v>
      </c>
      <c r="P657" s="114">
        <v>1310</v>
      </c>
      <c r="Q657" s="114">
        <v>8346</v>
      </c>
      <c r="R657" s="13" t="s">
        <v>25</v>
      </c>
      <c r="S657" s="13" t="s">
        <v>25</v>
      </c>
      <c r="T657" s="13" t="s">
        <v>25</v>
      </c>
    </row>
    <row r="658" spans="1:20" x14ac:dyDescent="0.3">
      <c r="A658" s="14">
        <v>43916.708333333336</v>
      </c>
      <c r="B658" s="13" t="s">
        <v>22</v>
      </c>
      <c r="C658" s="114">
        <v>8</v>
      </c>
      <c r="D658" s="13" t="s">
        <v>96</v>
      </c>
      <c r="E658" s="114">
        <v>4449436681</v>
      </c>
      <c r="F658" s="114">
        <v>113417208</v>
      </c>
      <c r="G658" s="114">
        <v>3354</v>
      </c>
      <c r="H658" s="114">
        <v>301</v>
      </c>
      <c r="I658" s="114">
        <v>3655</v>
      </c>
      <c r="J658" s="114">
        <v>5195</v>
      </c>
      <c r="K658" s="114">
        <v>8850</v>
      </c>
      <c r="L658" s="114">
        <v>594</v>
      </c>
      <c r="M658" s="114">
        <v>762</v>
      </c>
      <c r="N658" s="114">
        <v>792</v>
      </c>
      <c r="O658" s="114">
        <v>1174</v>
      </c>
      <c r="P658" s="114">
        <v>10816</v>
      </c>
      <c r="Q658" s="114">
        <v>42395</v>
      </c>
      <c r="R658" s="13" t="s">
        <v>25</v>
      </c>
      <c r="S658" s="13" t="s">
        <v>25</v>
      </c>
      <c r="T658" s="13" t="s">
        <v>25</v>
      </c>
    </row>
    <row r="659" spans="1:20" x14ac:dyDescent="0.3">
      <c r="A659" s="14">
        <v>43916.708333333336</v>
      </c>
      <c r="B659" s="13" t="s">
        <v>22</v>
      </c>
      <c r="C659" s="114">
        <v>6</v>
      </c>
      <c r="D659" s="13" t="s">
        <v>47</v>
      </c>
      <c r="E659" s="114">
        <v>456494354</v>
      </c>
      <c r="F659" s="114">
        <v>1376813649</v>
      </c>
      <c r="G659" s="114">
        <v>212</v>
      </c>
      <c r="H659" s="114">
        <v>54</v>
      </c>
      <c r="I659" s="114">
        <v>266</v>
      </c>
      <c r="J659" s="114">
        <v>688</v>
      </c>
      <c r="K659" s="114">
        <v>954</v>
      </c>
      <c r="L659" s="114">
        <v>43</v>
      </c>
      <c r="M659" s="114">
        <v>84</v>
      </c>
      <c r="N659" s="114">
        <v>197</v>
      </c>
      <c r="O659" s="114">
        <v>72</v>
      </c>
      <c r="P659" s="114">
        <v>1223</v>
      </c>
      <c r="Q659" s="114">
        <v>10721</v>
      </c>
      <c r="R659" s="13" t="s">
        <v>25</v>
      </c>
      <c r="S659" s="13" t="s">
        <v>25</v>
      </c>
      <c r="T659" s="13" t="s">
        <v>25</v>
      </c>
    </row>
    <row r="660" spans="1:20" x14ac:dyDescent="0.3">
      <c r="A660" s="14">
        <v>43916.708333333336</v>
      </c>
      <c r="B660" s="13" t="s">
        <v>22</v>
      </c>
      <c r="C660" s="114">
        <v>12</v>
      </c>
      <c r="D660" s="13" t="s">
        <v>48</v>
      </c>
      <c r="E660" s="114">
        <v>4189277044</v>
      </c>
      <c r="F660" s="114">
        <v>1248366722</v>
      </c>
      <c r="G660" s="114">
        <v>878</v>
      </c>
      <c r="H660" s="114">
        <v>113</v>
      </c>
      <c r="I660" s="114">
        <v>991</v>
      </c>
      <c r="J660" s="114">
        <v>844</v>
      </c>
      <c r="K660" s="114">
        <v>1835</v>
      </c>
      <c r="L660" s="114">
        <v>160</v>
      </c>
      <c r="M660" s="114">
        <v>195</v>
      </c>
      <c r="N660" s="114">
        <v>155</v>
      </c>
      <c r="O660" s="114">
        <v>106</v>
      </c>
      <c r="P660" s="114">
        <v>2096</v>
      </c>
      <c r="Q660" s="114">
        <v>22771</v>
      </c>
      <c r="R660" s="13" t="s">
        <v>25</v>
      </c>
      <c r="S660" s="13" t="s">
        <v>25</v>
      </c>
      <c r="T660" s="13" t="s">
        <v>25</v>
      </c>
    </row>
    <row r="661" spans="1:20" x14ac:dyDescent="0.3">
      <c r="A661" s="14">
        <v>43916.708333333336</v>
      </c>
      <c r="B661" s="13" t="s">
        <v>22</v>
      </c>
      <c r="C661" s="114">
        <v>7</v>
      </c>
      <c r="D661" s="13" t="s">
        <v>49</v>
      </c>
      <c r="E661" s="114">
        <v>4441149315</v>
      </c>
      <c r="F661" s="114">
        <v>89326992</v>
      </c>
      <c r="G661" s="114">
        <v>998</v>
      </c>
      <c r="H661" s="114">
        <v>154</v>
      </c>
      <c r="I661" s="114">
        <v>1152</v>
      </c>
      <c r="J661" s="114">
        <v>875</v>
      </c>
      <c r="K661" s="114">
        <v>2027</v>
      </c>
      <c r="L661" s="114">
        <v>201</v>
      </c>
      <c r="M661" s="114">
        <v>262</v>
      </c>
      <c r="N661" s="114">
        <v>260</v>
      </c>
      <c r="O661" s="114">
        <v>280</v>
      </c>
      <c r="P661" s="114">
        <v>2567</v>
      </c>
      <c r="Q661" s="114">
        <v>7304</v>
      </c>
      <c r="R661" s="13" t="s">
        <v>25</v>
      </c>
      <c r="S661" s="13" t="s">
        <v>25</v>
      </c>
      <c r="T661" s="13" t="s">
        <v>25</v>
      </c>
    </row>
    <row r="662" spans="1:20" x14ac:dyDescent="0.3">
      <c r="A662" s="14">
        <v>43916.708333333336</v>
      </c>
      <c r="B662" s="13" t="s">
        <v>22</v>
      </c>
      <c r="C662" s="114">
        <v>3</v>
      </c>
      <c r="D662" s="13" t="s">
        <v>50</v>
      </c>
      <c r="E662" s="114">
        <v>4546679409</v>
      </c>
      <c r="F662" s="114">
        <v>9190347404</v>
      </c>
      <c r="G662" s="114">
        <v>10681</v>
      </c>
      <c r="H662" s="114">
        <v>1263</v>
      </c>
      <c r="I662" s="114">
        <v>11944</v>
      </c>
      <c r="J662" s="114">
        <v>10245</v>
      </c>
      <c r="K662" s="114">
        <v>22189</v>
      </c>
      <c r="L662" s="114">
        <v>1598</v>
      </c>
      <c r="M662" s="114">
        <v>2543</v>
      </c>
      <c r="N662" s="114">
        <v>7839</v>
      </c>
      <c r="O662" s="114">
        <v>4861</v>
      </c>
      <c r="P662" s="114">
        <v>34889</v>
      </c>
      <c r="Q662" s="114">
        <v>87713</v>
      </c>
      <c r="R662" s="13" t="s">
        <v>25</v>
      </c>
      <c r="S662" s="13" t="s">
        <v>25</v>
      </c>
      <c r="T662" s="13" t="s">
        <v>25</v>
      </c>
    </row>
    <row r="663" spans="1:20" x14ac:dyDescent="0.3">
      <c r="A663" s="14">
        <v>43916.708333333336</v>
      </c>
      <c r="B663" s="13" t="s">
        <v>22</v>
      </c>
      <c r="C663" s="114">
        <v>11</v>
      </c>
      <c r="D663" s="13" t="s">
        <v>51</v>
      </c>
      <c r="E663" s="114">
        <v>4361675973</v>
      </c>
      <c r="F663" s="114">
        <v>135188753</v>
      </c>
      <c r="G663" s="114">
        <v>977</v>
      </c>
      <c r="H663" s="114">
        <v>166</v>
      </c>
      <c r="I663" s="114">
        <v>1143</v>
      </c>
      <c r="J663" s="114">
        <v>1652</v>
      </c>
      <c r="K663" s="114">
        <v>2795</v>
      </c>
      <c r="L663" s="114">
        <v>156</v>
      </c>
      <c r="M663" s="114">
        <v>180</v>
      </c>
      <c r="N663" s="114">
        <v>9</v>
      </c>
      <c r="O663" s="114">
        <v>310</v>
      </c>
      <c r="P663" s="114">
        <v>3114</v>
      </c>
      <c r="Q663" s="114">
        <v>8623</v>
      </c>
      <c r="R663" s="13" t="s">
        <v>25</v>
      </c>
      <c r="S663" s="13" t="s">
        <v>25</v>
      </c>
      <c r="T663" s="13" t="s">
        <v>25</v>
      </c>
    </row>
    <row r="664" spans="1:20" x14ac:dyDescent="0.3">
      <c r="A664" s="14">
        <v>43916.708333333336</v>
      </c>
      <c r="B664" s="13" t="s">
        <v>22</v>
      </c>
      <c r="C664" s="114">
        <v>14</v>
      </c>
      <c r="D664" s="13" t="s">
        <v>52</v>
      </c>
      <c r="E664" s="114">
        <v>4155774754</v>
      </c>
      <c r="F664" s="114">
        <v>1465916051</v>
      </c>
      <c r="G664" s="114">
        <v>27</v>
      </c>
      <c r="H664" s="114">
        <v>8</v>
      </c>
      <c r="I664" s="114">
        <v>35</v>
      </c>
      <c r="J664" s="114">
        <v>46</v>
      </c>
      <c r="K664" s="114">
        <v>81</v>
      </c>
      <c r="L664" s="114">
        <v>28</v>
      </c>
      <c r="M664" s="114">
        <v>30</v>
      </c>
      <c r="N664" s="114">
        <v>14</v>
      </c>
      <c r="O664" s="114">
        <v>8</v>
      </c>
      <c r="P664" s="114">
        <v>103</v>
      </c>
      <c r="Q664" s="114">
        <v>670</v>
      </c>
      <c r="R664" s="13" t="s">
        <v>25</v>
      </c>
      <c r="S664" s="13" t="s">
        <v>25</v>
      </c>
      <c r="T664" s="13" t="s">
        <v>25</v>
      </c>
    </row>
    <row r="665" spans="1:20" x14ac:dyDescent="0.3">
      <c r="A665" s="14">
        <v>43916.708333333336</v>
      </c>
      <c r="B665" s="13" t="s">
        <v>22</v>
      </c>
      <c r="C665" s="114">
        <v>1</v>
      </c>
      <c r="D665" s="13" t="s">
        <v>53</v>
      </c>
      <c r="E665" s="114">
        <v>450732745</v>
      </c>
      <c r="F665" s="114">
        <v>7680687483</v>
      </c>
      <c r="G665" s="114">
        <v>2633</v>
      </c>
      <c r="H665" s="114">
        <v>408</v>
      </c>
      <c r="I665" s="114">
        <v>3041</v>
      </c>
      <c r="J665" s="114">
        <v>2909</v>
      </c>
      <c r="K665" s="114">
        <v>5950</v>
      </c>
      <c r="L665" s="114">
        <v>394</v>
      </c>
      <c r="M665" s="114">
        <v>510</v>
      </c>
      <c r="N665" s="114">
        <v>135</v>
      </c>
      <c r="O665" s="114">
        <v>449</v>
      </c>
      <c r="P665" s="114">
        <v>6534</v>
      </c>
      <c r="Q665" s="114">
        <v>18054</v>
      </c>
      <c r="R665" s="13" t="s">
        <v>25</v>
      </c>
      <c r="S665" s="13" t="s">
        <v>89</v>
      </c>
      <c r="T665" s="13" t="s">
        <v>90</v>
      </c>
    </row>
    <row r="666" spans="1:20" x14ac:dyDescent="0.3">
      <c r="A666" s="14">
        <v>43916.708333333336</v>
      </c>
      <c r="B666" s="13" t="s">
        <v>22</v>
      </c>
      <c r="C666" s="114">
        <v>16</v>
      </c>
      <c r="D666" s="13" t="s">
        <v>54</v>
      </c>
      <c r="E666" s="114">
        <v>4112559576</v>
      </c>
      <c r="F666" s="114">
        <v>1686736689</v>
      </c>
      <c r="G666" s="114">
        <v>480</v>
      </c>
      <c r="H666" s="114">
        <v>76</v>
      </c>
      <c r="I666" s="114">
        <v>556</v>
      </c>
      <c r="J666" s="114">
        <v>539</v>
      </c>
      <c r="K666" s="114">
        <v>1095</v>
      </c>
      <c r="L666" s="114">
        <v>72</v>
      </c>
      <c r="M666" s="114">
        <v>89</v>
      </c>
      <c r="N666" s="114">
        <v>22</v>
      </c>
      <c r="O666" s="114">
        <v>65</v>
      </c>
      <c r="P666" s="114">
        <v>1182</v>
      </c>
      <c r="Q666" s="114">
        <v>9191</v>
      </c>
      <c r="R666" s="13" t="s">
        <v>25</v>
      </c>
      <c r="S666" s="13" t="s">
        <v>25</v>
      </c>
      <c r="T666" s="13" t="s">
        <v>25</v>
      </c>
    </row>
    <row r="667" spans="1:20" x14ac:dyDescent="0.3">
      <c r="A667" s="14">
        <v>43916.708333333336</v>
      </c>
      <c r="B667" s="13" t="s">
        <v>22</v>
      </c>
      <c r="C667" s="114">
        <v>20</v>
      </c>
      <c r="D667" s="13" t="s">
        <v>55</v>
      </c>
      <c r="E667" s="114">
        <v>3921531192</v>
      </c>
      <c r="F667" s="114">
        <v>9110616306</v>
      </c>
      <c r="G667" s="114">
        <v>92</v>
      </c>
      <c r="H667" s="114">
        <v>20</v>
      </c>
      <c r="I667" s="114">
        <v>112</v>
      </c>
      <c r="J667" s="114">
        <v>350</v>
      </c>
      <c r="K667" s="114">
        <v>462</v>
      </c>
      <c r="L667" s="114">
        <v>50</v>
      </c>
      <c r="M667" s="114">
        <v>52</v>
      </c>
      <c r="N667" s="114">
        <v>13</v>
      </c>
      <c r="O667" s="114">
        <v>19</v>
      </c>
      <c r="P667" s="114">
        <v>494</v>
      </c>
      <c r="Q667" s="114">
        <v>3461</v>
      </c>
      <c r="R667" s="13" t="s">
        <v>25</v>
      </c>
      <c r="S667" s="13" t="s">
        <v>25</v>
      </c>
      <c r="T667" s="13" t="s">
        <v>25</v>
      </c>
    </row>
    <row r="668" spans="1:20" x14ac:dyDescent="0.3">
      <c r="A668" s="14">
        <v>43916.708333333336</v>
      </c>
      <c r="B668" s="13" t="s">
        <v>22</v>
      </c>
      <c r="C668" s="114">
        <v>19</v>
      </c>
      <c r="D668" s="13" t="s">
        <v>56</v>
      </c>
      <c r="E668" s="114">
        <v>3811569725</v>
      </c>
      <c r="F668" s="114">
        <v>133623567</v>
      </c>
      <c r="G668" s="114">
        <v>346</v>
      </c>
      <c r="H668" s="114">
        <v>68</v>
      </c>
      <c r="I668" s="114">
        <v>414</v>
      </c>
      <c r="J668" s="114">
        <v>681</v>
      </c>
      <c r="K668" s="114">
        <v>1095</v>
      </c>
      <c r="L668" s="114">
        <v>159</v>
      </c>
      <c r="M668" s="114">
        <v>170</v>
      </c>
      <c r="N668" s="114">
        <v>36</v>
      </c>
      <c r="O668" s="114">
        <v>33</v>
      </c>
      <c r="P668" s="114">
        <v>1164</v>
      </c>
      <c r="Q668" s="114">
        <v>9658</v>
      </c>
      <c r="R668" s="13" t="s">
        <v>25</v>
      </c>
      <c r="S668" s="13" t="s">
        <v>25</v>
      </c>
      <c r="T668" s="13" t="s">
        <v>25</v>
      </c>
    </row>
    <row r="669" spans="1:20" x14ac:dyDescent="0.3">
      <c r="A669" s="14">
        <v>43916.708333333336</v>
      </c>
      <c r="B669" s="13" t="s">
        <v>22</v>
      </c>
      <c r="C669" s="114">
        <v>9</v>
      </c>
      <c r="D669" s="13" t="s">
        <v>57</v>
      </c>
      <c r="E669" s="114">
        <v>4376923077</v>
      </c>
      <c r="F669" s="114">
        <v>1125588885</v>
      </c>
      <c r="G669" s="114">
        <v>1037</v>
      </c>
      <c r="H669" s="114">
        <v>259</v>
      </c>
      <c r="I669" s="114">
        <v>1296</v>
      </c>
      <c r="J669" s="114">
        <v>1677</v>
      </c>
      <c r="K669" s="114">
        <v>2973</v>
      </c>
      <c r="L669" s="114">
        <v>197</v>
      </c>
      <c r="M669" s="114">
        <v>254</v>
      </c>
      <c r="N669" s="114">
        <v>95</v>
      </c>
      <c r="O669" s="114">
        <v>158</v>
      </c>
      <c r="P669" s="114">
        <v>3226</v>
      </c>
      <c r="Q669" s="114">
        <v>20952</v>
      </c>
      <c r="R669" s="13" t="s">
        <v>25</v>
      </c>
      <c r="S669" s="13" t="s">
        <v>25</v>
      </c>
      <c r="T669" s="13" t="s">
        <v>25</v>
      </c>
    </row>
    <row r="670" spans="1:20" x14ac:dyDescent="0.3">
      <c r="A670" s="14">
        <v>43916.708333333336</v>
      </c>
      <c r="B670" s="13" t="s">
        <v>22</v>
      </c>
      <c r="C670" s="114">
        <v>4</v>
      </c>
      <c r="D670" s="13" t="s">
        <v>58</v>
      </c>
      <c r="E670" s="114">
        <v>4606893511</v>
      </c>
      <c r="F670" s="114">
        <v>1112123097</v>
      </c>
      <c r="G670" s="114">
        <v>300</v>
      </c>
      <c r="H670" s="114">
        <v>66</v>
      </c>
      <c r="I670" s="114">
        <v>366</v>
      </c>
      <c r="J670" s="114">
        <v>728</v>
      </c>
      <c r="K670" s="114">
        <v>1094</v>
      </c>
      <c r="L670" s="114">
        <v>36</v>
      </c>
      <c r="M670" s="114">
        <v>75</v>
      </c>
      <c r="N670" s="114">
        <v>117</v>
      </c>
      <c r="O670" s="114">
        <v>86</v>
      </c>
      <c r="P670" s="114">
        <v>1297</v>
      </c>
      <c r="Q670" s="114">
        <v>4600</v>
      </c>
      <c r="R670" s="13" t="s">
        <v>25</v>
      </c>
      <c r="S670" s="13" t="s">
        <v>25</v>
      </c>
      <c r="T670" s="13" t="s">
        <v>25</v>
      </c>
    </row>
    <row r="671" spans="1:20" x14ac:dyDescent="0.3">
      <c r="A671" s="14">
        <v>43916.708333333336</v>
      </c>
      <c r="B671" s="13" t="s">
        <v>22</v>
      </c>
      <c r="C671" s="114">
        <v>10</v>
      </c>
      <c r="D671" s="13" t="s">
        <v>59</v>
      </c>
      <c r="E671" s="114">
        <v>4310675841</v>
      </c>
      <c r="F671" s="114">
        <v>1238824698</v>
      </c>
      <c r="G671" s="114">
        <v>144</v>
      </c>
      <c r="H671" s="114">
        <v>46</v>
      </c>
      <c r="I671" s="114">
        <v>190</v>
      </c>
      <c r="J671" s="114">
        <v>580</v>
      </c>
      <c r="K671" s="114">
        <v>770</v>
      </c>
      <c r="L671" s="114">
        <v>84</v>
      </c>
      <c r="M671" s="114">
        <v>92</v>
      </c>
      <c r="N671" s="114">
        <v>12</v>
      </c>
      <c r="O671" s="114">
        <v>20</v>
      </c>
      <c r="P671" s="114">
        <v>802</v>
      </c>
      <c r="Q671" s="114">
        <v>5428</v>
      </c>
      <c r="R671" s="13" t="s">
        <v>25</v>
      </c>
      <c r="S671" s="13" t="s">
        <v>25</v>
      </c>
      <c r="T671" s="13" t="s">
        <v>25</v>
      </c>
    </row>
    <row r="672" spans="1:20" x14ac:dyDescent="0.3">
      <c r="A672" s="14">
        <v>43916.708333333336</v>
      </c>
      <c r="B672" s="13" t="s">
        <v>22</v>
      </c>
      <c r="C672" s="114">
        <v>2</v>
      </c>
      <c r="D672" s="13" t="s">
        <v>60</v>
      </c>
      <c r="E672" s="114">
        <v>4573750286</v>
      </c>
      <c r="F672" s="114">
        <v>7320149366</v>
      </c>
      <c r="G672" s="114">
        <v>73</v>
      </c>
      <c r="H672" s="114">
        <v>24</v>
      </c>
      <c r="I672" s="114">
        <v>97</v>
      </c>
      <c r="J672" s="114">
        <v>281</v>
      </c>
      <c r="K672" s="114">
        <v>378</v>
      </c>
      <c r="L672" s="114">
        <v>3</v>
      </c>
      <c r="M672" s="114">
        <v>7</v>
      </c>
      <c r="N672" s="114">
        <v>2</v>
      </c>
      <c r="O672" s="114">
        <v>28</v>
      </c>
      <c r="P672" s="114">
        <v>408</v>
      </c>
      <c r="Q672" s="114">
        <v>1203</v>
      </c>
      <c r="R672" s="13" t="s">
        <v>25</v>
      </c>
      <c r="S672" s="13" t="s">
        <v>25</v>
      </c>
      <c r="T672" s="13" t="s">
        <v>25</v>
      </c>
    </row>
    <row r="673" spans="1:20" x14ac:dyDescent="0.3">
      <c r="A673" s="14">
        <v>43916.708333333336</v>
      </c>
      <c r="B673" s="13" t="s">
        <v>22</v>
      </c>
      <c r="C673" s="114">
        <v>5</v>
      </c>
      <c r="D673" s="13" t="s">
        <v>61</v>
      </c>
      <c r="E673" s="114">
        <v>4543490485</v>
      </c>
      <c r="F673" s="114">
        <v>1233845213</v>
      </c>
      <c r="G673" s="114">
        <v>1447</v>
      </c>
      <c r="H673" s="114">
        <v>326</v>
      </c>
      <c r="I673" s="114">
        <v>1773</v>
      </c>
      <c r="J673" s="114">
        <v>4367</v>
      </c>
      <c r="K673" s="114">
        <v>6140</v>
      </c>
      <c r="L673" s="114">
        <v>395</v>
      </c>
      <c r="M673" s="114">
        <v>493</v>
      </c>
      <c r="N673" s="114">
        <v>508</v>
      </c>
      <c r="O673" s="114">
        <v>287</v>
      </c>
      <c r="P673" s="114">
        <v>6935</v>
      </c>
      <c r="Q673" s="114">
        <v>79759</v>
      </c>
      <c r="R673" s="13" t="s">
        <v>25</v>
      </c>
      <c r="S673" s="13" t="s">
        <v>25</v>
      </c>
      <c r="T673" s="13" t="s">
        <v>25</v>
      </c>
    </row>
    <row r="674" spans="1:20" x14ac:dyDescent="0.3">
      <c r="A674" s="14">
        <v>43917.708333333336</v>
      </c>
      <c r="B674" s="13" t="s">
        <v>22</v>
      </c>
      <c r="C674" s="114">
        <v>13</v>
      </c>
      <c r="D674" s="13" t="s">
        <v>42</v>
      </c>
      <c r="E674" s="114">
        <v>4235122196</v>
      </c>
      <c r="F674" s="114">
        <v>1339843823</v>
      </c>
      <c r="G674" s="114">
        <v>289</v>
      </c>
      <c r="H674" s="114">
        <v>71</v>
      </c>
      <c r="I674" s="114">
        <v>360</v>
      </c>
      <c r="J674" s="114">
        <v>565</v>
      </c>
      <c r="K674" s="114">
        <v>925</v>
      </c>
      <c r="L674" s="114">
        <v>65</v>
      </c>
      <c r="M674" s="114">
        <v>71</v>
      </c>
      <c r="N674" s="114">
        <v>24</v>
      </c>
      <c r="O674" s="114">
        <v>68</v>
      </c>
      <c r="P674" s="114">
        <v>1017</v>
      </c>
      <c r="Q674" s="114">
        <v>6109</v>
      </c>
      <c r="R674" s="13" t="s">
        <v>25</v>
      </c>
      <c r="S674" s="13" t="s">
        <v>25</v>
      </c>
      <c r="T674" s="13" t="s">
        <v>25</v>
      </c>
    </row>
    <row r="675" spans="1:20" x14ac:dyDescent="0.3">
      <c r="A675" s="14">
        <v>43917.708333333336</v>
      </c>
      <c r="B675" s="13" t="s">
        <v>22</v>
      </c>
      <c r="C675" s="114">
        <v>17</v>
      </c>
      <c r="D675" s="13" t="s">
        <v>43</v>
      </c>
      <c r="E675" s="114">
        <v>4063947052</v>
      </c>
      <c r="F675" s="114">
        <v>1580514834</v>
      </c>
      <c r="G675" s="114">
        <v>22</v>
      </c>
      <c r="H675" s="114">
        <v>15</v>
      </c>
      <c r="I675" s="114">
        <v>37</v>
      </c>
      <c r="J675" s="114">
        <v>110</v>
      </c>
      <c r="K675" s="114">
        <v>147</v>
      </c>
      <c r="L675" s="114">
        <v>14</v>
      </c>
      <c r="M675" s="114">
        <v>17</v>
      </c>
      <c r="N675" s="114">
        <v>1</v>
      </c>
      <c r="O675" s="114">
        <v>3</v>
      </c>
      <c r="P675" s="114">
        <v>151</v>
      </c>
      <c r="Q675" s="114">
        <v>1254</v>
      </c>
      <c r="R675" s="13" t="s">
        <v>25</v>
      </c>
      <c r="S675" s="13" t="s">
        <v>25</v>
      </c>
      <c r="T675" s="13" t="s">
        <v>25</v>
      </c>
    </row>
    <row r="676" spans="1:20" x14ac:dyDescent="0.3">
      <c r="A676" s="14">
        <v>43917.708333333336</v>
      </c>
      <c r="B676" s="13" t="s">
        <v>22</v>
      </c>
      <c r="C676" s="114">
        <v>4</v>
      </c>
      <c r="D676" s="13" t="s">
        <v>44</v>
      </c>
      <c r="E676" s="114">
        <v>4649933453</v>
      </c>
      <c r="F676" s="114">
        <v>1135662422</v>
      </c>
      <c r="G676" s="114">
        <v>249</v>
      </c>
      <c r="H676" s="114">
        <v>45</v>
      </c>
      <c r="I676" s="114">
        <v>294</v>
      </c>
      <c r="J676" s="114">
        <v>539</v>
      </c>
      <c r="K676" s="114">
        <v>833</v>
      </c>
      <c r="L676" s="114">
        <v>42</v>
      </c>
      <c r="M676" s="114">
        <v>97</v>
      </c>
      <c r="N676" s="114">
        <v>110</v>
      </c>
      <c r="O676" s="114">
        <v>60</v>
      </c>
      <c r="P676" s="114">
        <v>1003</v>
      </c>
      <c r="Q676" s="114">
        <v>8520</v>
      </c>
      <c r="R676" s="13" t="s">
        <v>25</v>
      </c>
      <c r="S676" s="13" t="s">
        <v>25</v>
      </c>
      <c r="T676" s="13" t="s">
        <v>25</v>
      </c>
    </row>
    <row r="677" spans="1:20" x14ac:dyDescent="0.3">
      <c r="A677" s="14">
        <v>43917.708333333336</v>
      </c>
      <c r="B677" s="13" t="s">
        <v>22</v>
      </c>
      <c r="C677" s="114">
        <v>18</v>
      </c>
      <c r="D677" s="13" t="s">
        <v>45</v>
      </c>
      <c r="E677" s="114">
        <v>3890597598</v>
      </c>
      <c r="F677" s="114">
        <v>1659440194</v>
      </c>
      <c r="G677" s="114">
        <v>103</v>
      </c>
      <c r="H677" s="114">
        <v>22</v>
      </c>
      <c r="I677" s="114">
        <v>125</v>
      </c>
      <c r="J677" s="114">
        <v>344</v>
      </c>
      <c r="K677" s="114">
        <v>469</v>
      </c>
      <c r="L677" s="114">
        <v>97</v>
      </c>
      <c r="M677" s="114">
        <v>101</v>
      </c>
      <c r="N677" s="114">
        <v>7</v>
      </c>
      <c r="O677" s="114">
        <v>18</v>
      </c>
      <c r="P677" s="114">
        <v>494</v>
      </c>
      <c r="Q677" s="114">
        <v>6901</v>
      </c>
      <c r="R677" s="13" t="s">
        <v>25</v>
      </c>
      <c r="S677" s="13" t="s">
        <v>25</v>
      </c>
      <c r="T677" s="13" t="s">
        <v>25</v>
      </c>
    </row>
    <row r="678" spans="1:20" x14ac:dyDescent="0.3">
      <c r="A678" s="14">
        <v>43917.708333333336</v>
      </c>
      <c r="B678" s="13" t="s">
        <v>22</v>
      </c>
      <c r="C678" s="114">
        <v>15</v>
      </c>
      <c r="D678" s="13" t="s">
        <v>46</v>
      </c>
      <c r="E678" s="114">
        <v>4083956555</v>
      </c>
      <c r="F678" s="114">
        <v>1425084984</v>
      </c>
      <c r="G678" s="114">
        <v>456</v>
      </c>
      <c r="H678" s="114">
        <v>113</v>
      </c>
      <c r="I678" s="114">
        <v>569</v>
      </c>
      <c r="J678" s="114">
        <v>723</v>
      </c>
      <c r="K678" s="114">
        <v>1292</v>
      </c>
      <c r="L678" s="114">
        <v>123</v>
      </c>
      <c r="M678" s="114">
        <v>144</v>
      </c>
      <c r="N678" s="114">
        <v>64</v>
      </c>
      <c r="O678" s="114">
        <v>98</v>
      </c>
      <c r="P678" s="114">
        <v>1454</v>
      </c>
      <c r="Q678" s="114">
        <v>9613</v>
      </c>
      <c r="R678" s="13" t="s">
        <v>25</v>
      </c>
      <c r="S678" s="13" t="s">
        <v>25</v>
      </c>
      <c r="T678" s="13" t="s">
        <v>25</v>
      </c>
    </row>
    <row r="679" spans="1:20" x14ac:dyDescent="0.3">
      <c r="A679" s="14">
        <v>43917.708333333336</v>
      </c>
      <c r="B679" s="13" t="s">
        <v>22</v>
      </c>
      <c r="C679" s="114">
        <v>8</v>
      </c>
      <c r="D679" s="13" t="s">
        <v>96</v>
      </c>
      <c r="E679" s="114">
        <v>4449436681</v>
      </c>
      <c r="F679" s="114">
        <v>113417208</v>
      </c>
      <c r="G679" s="114">
        <v>3461</v>
      </c>
      <c r="H679" s="114">
        <v>308</v>
      </c>
      <c r="I679" s="114">
        <v>3769</v>
      </c>
      <c r="J679" s="114">
        <v>5592</v>
      </c>
      <c r="K679" s="114">
        <v>9361</v>
      </c>
      <c r="L679" s="114">
        <v>511</v>
      </c>
      <c r="M679" s="114">
        <v>772</v>
      </c>
      <c r="N679" s="114">
        <v>960</v>
      </c>
      <c r="O679" s="114">
        <v>1267</v>
      </c>
      <c r="P679" s="114">
        <v>11588</v>
      </c>
      <c r="Q679" s="114">
        <v>47798</v>
      </c>
      <c r="R679" s="13" t="s">
        <v>25</v>
      </c>
      <c r="S679" s="13" t="s">
        <v>25</v>
      </c>
      <c r="T679" s="13" t="s">
        <v>25</v>
      </c>
    </row>
    <row r="680" spans="1:20" x14ac:dyDescent="0.3">
      <c r="A680" s="14">
        <v>43917.708333333336</v>
      </c>
      <c r="B680" s="13" t="s">
        <v>22</v>
      </c>
      <c r="C680" s="114">
        <v>6</v>
      </c>
      <c r="D680" s="13" t="s">
        <v>47</v>
      </c>
      <c r="E680" s="114">
        <v>456494354</v>
      </c>
      <c r="F680" s="114">
        <v>1376813649</v>
      </c>
      <c r="G680" s="114">
        <v>222</v>
      </c>
      <c r="H680" s="114">
        <v>57</v>
      </c>
      <c r="I680" s="114">
        <v>279</v>
      </c>
      <c r="J680" s="114">
        <v>748</v>
      </c>
      <c r="K680" s="114">
        <v>1027</v>
      </c>
      <c r="L680" s="114">
        <v>73</v>
      </c>
      <c r="M680" s="114">
        <v>94</v>
      </c>
      <c r="N680" s="114">
        <v>214</v>
      </c>
      <c r="O680" s="114">
        <v>76</v>
      </c>
      <c r="P680" s="114">
        <v>1317</v>
      </c>
      <c r="Q680" s="114">
        <v>11841</v>
      </c>
      <c r="R680" s="13" t="s">
        <v>25</v>
      </c>
      <c r="S680" s="13" t="s">
        <v>25</v>
      </c>
      <c r="T680" s="13" t="s">
        <v>25</v>
      </c>
    </row>
    <row r="681" spans="1:20" x14ac:dyDescent="0.3">
      <c r="A681" s="14">
        <v>43917.708333333336</v>
      </c>
      <c r="B681" s="13" t="s">
        <v>22</v>
      </c>
      <c r="C681" s="114">
        <v>12</v>
      </c>
      <c r="D681" s="13" t="s">
        <v>48</v>
      </c>
      <c r="E681" s="114">
        <v>4189277044</v>
      </c>
      <c r="F681" s="114">
        <v>1248366722</v>
      </c>
      <c r="G681" s="114">
        <v>992</v>
      </c>
      <c r="H681" s="114">
        <v>126</v>
      </c>
      <c r="I681" s="114">
        <v>1118</v>
      </c>
      <c r="J681" s="114">
        <v>895</v>
      </c>
      <c r="K681" s="114">
        <v>2013</v>
      </c>
      <c r="L681" s="114">
        <v>178</v>
      </c>
      <c r="M681" s="114">
        <v>199</v>
      </c>
      <c r="N681" s="114">
        <v>164</v>
      </c>
      <c r="O681" s="114">
        <v>118</v>
      </c>
      <c r="P681" s="114">
        <v>2295</v>
      </c>
      <c r="Q681" s="114">
        <v>24106</v>
      </c>
      <c r="R681" s="13" t="s">
        <v>25</v>
      </c>
      <c r="S681" s="13" t="s">
        <v>25</v>
      </c>
      <c r="T681" s="13" t="s">
        <v>25</v>
      </c>
    </row>
    <row r="682" spans="1:20" x14ac:dyDescent="0.3">
      <c r="A682" s="14">
        <v>43917.708333333336</v>
      </c>
      <c r="B682" s="13" t="s">
        <v>22</v>
      </c>
      <c r="C682" s="114">
        <v>7</v>
      </c>
      <c r="D682" s="13" t="s">
        <v>49</v>
      </c>
      <c r="E682" s="114">
        <v>4441149315</v>
      </c>
      <c r="F682" s="114">
        <v>89326992</v>
      </c>
      <c r="G682" s="114">
        <v>1023</v>
      </c>
      <c r="H682" s="114">
        <v>157</v>
      </c>
      <c r="I682" s="114">
        <v>1180</v>
      </c>
      <c r="J682" s="114">
        <v>880</v>
      </c>
      <c r="K682" s="114">
        <v>2060</v>
      </c>
      <c r="L682" s="114">
        <v>33</v>
      </c>
      <c r="M682" s="114">
        <v>129</v>
      </c>
      <c r="N682" s="114">
        <v>305</v>
      </c>
      <c r="O682" s="114">
        <v>331</v>
      </c>
      <c r="P682" s="114">
        <v>2696</v>
      </c>
      <c r="Q682" s="114">
        <v>7804</v>
      </c>
      <c r="R682" s="13" t="s">
        <v>25</v>
      </c>
      <c r="S682" s="13" t="s">
        <v>25</v>
      </c>
      <c r="T682" s="13" t="s">
        <v>25</v>
      </c>
    </row>
    <row r="683" spans="1:20" x14ac:dyDescent="0.3">
      <c r="A683" s="14">
        <v>43917.708333333336</v>
      </c>
      <c r="B683" s="13" t="s">
        <v>22</v>
      </c>
      <c r="C683" s="114">
        <v>3</v>
      </c>
      <c r="D683" s="13" t="s">
        <v>50</v>
      </c>
      <c r="E683" s="114">
        <v>4546679409</v>
      </c>
      <c r="F683" s="114">
        <v>9190347404</v>
      </c>
      <c r="G683" s="114">
        <v>11137</v>
      </c>
      <c r="H683" s="114">
        <v>1292</v>
      </c>
      <c r="I683" s="114">
        <v>12429</v>
      </c>
      <c r="J683" s="114">
        <v>11466</v>
      </c>
      <c r="K683" s="114">
        <v>23895</v>
      </c>
      <c r="L683" s="114">
        <v>1706</v>
      </c>
      <c r="M683" s="114">
        <v>2409</v>
      </c>
      <c r="N683" s="114">
        <v>8001</v>
      </c>
      <c r="O683" s="114">
        <v>5402</v>
      </c>
      <c r="P683" s="114">
        <v>37298</v>
      </c>
      <c r="Q683" s="114">
        <v>95860</v>
      </c>
      <c r="R683" s="13" t="s">
        <v>25</v>
      </c>
      <c r="S683" s="13" t="s">
        <v>25</v>
      </c>
      <c r="T683" s="13" t="s">
        <v>25</v>
      </c>
    </row>
    <row r="684" spans="1:20" x14ac:dyDescent="0.3">
      <c r="A684" s="14">
        <v>43917.708333333336</v>
      </c>
      <c r="B684" s="13" t="s">
        <v>22</v>
      </c>
      <c r="C684" s="114">
        <v>11</v>
      </c>
      <c r="D684" s="13" t="s">
        <v>51</v>
      </c>
      <c r="E684" s="114">
        <v>4361675973</v>
      </c>
      <c r="F684" s="114">
        <v>135188753</v>
      </c>
      <c r="G684" s="114">
        <v>979</v>
      </c>
      <c r="H684" s="114">
        <v>162</v>
      </c>
      <c r="I684" s="114">
        <v>1141</v>
      </c>
      <c r="J684" s="114">
        <v>1709</v>
      </c>
      <c r="K684" s="114">
        <v>2850</v>
      </c>
      <c r="L684" s="114">
        <v>55</v>
      </c>
      <c r="M684" s="114">
        <v>82</v>
      </c>
      <c r="N684" s="114">
        <v>10</v>
      </c>
      <c r="O684" s="114">
        <v>336</v>
      </c>
      <c r="P684" s="114">
        <v>3196</v>
      </c>
      <c r="Q684" s="114">
        <v>9060</v>
      </c>
      <c r="R684" s="13" t="s">
        <v>25</v>
      </c>
      <c r="S684" s="13" t="s">
        <v>25</v>
      </c>
      <c r="T684" s="13" t="s">
        <v>25</v>
      </c>
    </row>
    <row r="685" spans="1:20" x14ac:dyDescent="0.3">
      <c r="A685" s="14">
        <v>43917.708333333336</v>
      </c>
      <c r="B685" s="13" t="s">
        <v>22</v>
      </c>
      <c r="C685" s="114">
        <v>14</v>
      </c>
      <c r="D685" s="13" t="s">
        <v>52</v>
      </c>
      <c r="E685" s="114">
        <v>4155774754</v>
      </c>
      <c r="F685" s="114">
        <v>1465916051</v>
      </c>
      <c r="G685" s="114">
        <v>26</v>
      </c>
      <c r="H685" s="114">
        <v>9</v>
      </c>
      <c r="I685" s="114">
        <v>35</v>
      </c>
      <c r="J685" s="114">
        <v>51</v>
      </c>
      <c r="K685" s="114">
        <v>86</v>
      </c>
      <c r="L685" s="114">
        <v>5</v>
      </c>
      <c r="M685" s="114">
        <v>6</v>
      </c>
      <c r="N685" s="114">
        <v>14</v>
      </c>
      <c r="O685" s="114">
        <v>9</v>
      </c>
      <c r="P685" s="114">
        <v>109</v>
      </c>
      <c r="Q685" s="114">
        <v>710</v>
      </c>
      <c r="R685" s="13" t="s">
        <v>25</v>
      </c>
      <c r="S685" s="13" t="s">
        <v>25</v>
      </c>
      <c r="T685" s="13" t="s">
        <v>25</v>
      </c>
    </row>
    <row r="686" spans="1:20" x14ac:dyDescent="0.3">
      <c r="A686" s="14">
        <v>43917.708333333336</v>
      </c>
      <c r="B686" s="13" t="s">
        <v>22</v>
      </c>
      <c r="C686" s="114">
        <v>1</v>
      </c>
      <c r="D686" s="13" t="s">
        <v>53</v>
      </c>
      <c r="E686" s="114">
        <v>450732745</v>
      </c>
      <c r="F686" s="114">
        <v>7680687483</v>
      </c>
      <c r="G686" s="114">
        <v>2852</v>
      </c>
      <c r="H686" s="114">
        <v>431</v>
      </c>
      <c r="I686" s="114">
        <v>3283</v>
      </c>
      <c r="J686" s="114">
        <v>3064</v>
      </c>
      <c r="K686" s="114">
        <v>6347</v>
      </c>
      <c r="L686" s="114">
        <v>397</v>
      </c>
      <c r="M686" s="114">
        <v>558</v>
      </c>
      <c r="N686" s="114">
        <v>176</v>
      </c>
      <c r="O686" s="114">
        <v>569</v>
      </c>
      <c r="P686" s="114">
        <v>7092</v>
      </c>
      <c r="Q686" s="114">
        <v>19705</v>
      </c>
      <c r="R686" s="13" t="s">
        <v>25</v>
      </c>
      <c r="S686" s="13" t="s">
        <v>25</v>
      </c>
      <c r="T686" s="13" t="s">
        <v>25</v>
      </c>
    </row>
    <row r="687" spans="1:20" x14ac:dyDescent="0.3">
      <c r="A687" s="14">
        <v>43917.708333333336</v>
      </c>
      <c r="B687" s="13" t="s">
        <v>22</v>
      </c>
      <c r="C687" s="114">
        <v>16</v>
      </c>
      <c r="D687" s="13" t="s">
        <v>54</v>
      </c>
      <c r="E687" s="114">
        <v>4112559576</v>
      </c>
      <c r="F687" s="114">
        <v>1686736689</v>
      </c>
      <c r="G687" s="114">
        <v>530</v>
      </c>
      <c r="H687" s="114">
        <v>82</v>
      </c>
      <c r="I687" s="114">
        <v>612</v>
      </c>
      <c r="J687" s="114">
        <v>624</v>
      </c>
      <c r="K687" s="114">
        <v>1236</v>
      </c>
      <c r="L687" s="114">
        <v>141</v>
      </c>
      <c r="M687" s="114">
        <v>152</v>
      </c>
      <c r="N687" s="114">
        <v>29</v>
      </c>
      <c r="O687" s="114">
        <v>69</v>
      </c>
      <c r="P687" s="114">
        <v>1334</v>
      </c>
      <c r="Q687" s="114">
        <v>10233</v>
      </c>
      <c r="R687" s="13" t="s">
        <v>25</v>
      </c>
      <c r="S687" s="13" t="s">
        <v>25</v>
      </c>
      <c r="T687" s="13" t="s">
        <v>25</v>
      </c>
    </row>
    <row r="688" spans="1:20" x14ac:dyDescent="0.3">
      <c r="A688" s="14">
        <v>43917.708333333336</v>
      </c>
      <c r="B688" s="13" t="s">
        <v>22</v>
      </c>
      <c r="C688" s="114">
        <v>20</v>
      </c>
      <c r="D688" s="13" t="s">
        <v>55</v>
      </c>
      <c r="E688" s="114">
        <v>3921531192</v>
      </c>
      <c r="F688" s="114">
        <v>9110616306</v>
      </c>
      <c r="G688" s="114">
        <v>93</v>
      </c>
      <c r="H688" s="114">
        <v>19</v>
      </c>
      <c r="I688" s="114">
        <v>112</v>
      </c>
      <c r="J688" s="114">
        <v>384</v>
      </c>
      <c r="K688" s="114">
        <v>496</v>
      </c>
      <c r="L688" s="114">
        <v>34</v>
      </c>
      <c r="M688" s="114">
        <v>36</v>
      </c>
      <c r="N688" s="114">
        <v>13</v>
      </c>
      <c r="O688" s="114">
        <v>21</v>
      </c>
      <c r="P688" s="114">
        <v>530</v>
      </c>
      <c r="Q688" s="114">
        <v>3801</v>
      </c>
      <c r="R688" s="13" t="s">
        <v>25</v>
      </c>
      <c r="S688" s="13" t="s">
        <v>25</v>
      </c>
      <c r="T688" s="13" t="s">
        <v>25</v>
      </c>
    </row>
    <row r="689" spans="1:20" x14ac:dyDescent="0.3">
      <c r="A689" s="14">
        <v>43917.708333333336</v>
      </c>
      <c r="B689" s="13" t="s">
        <v>22</v>
      </c>
      <c r="C689" s="114">
        <v>19</v>
      </c>
      <c r="D689" s="13" t="s">
        <v>56</v>
      </c>
      <c r="E689" s="114">
        <v>3811569725</v>
      </c>
      <c r="F689" s="114">
        <v>133623567</v>
      </c>
      <c r="G689" s="114">
        <v>425</v>
      </c>
      <c r="H689" s="114">
        <v>75</v>
      </c>
      <c r="I689" s="114">
        <v>500</v>
      </c>
      <c r="J689" s="114">
        <v>658</v>
      </c>
      <c r="K689" s="114">
        <v>1158</v>
      </c>
      <c r="L689" s="114">
        <v>63</v>
      </c>
      <c r="M689" s="114">
        <v>86</v>
      </c>
      <c r="N689" s="114">
        <v>53</v>
      </c>
      <c r="O689" s="114">
        <v>39</v>
      </c>
      <c r="P689" s="114">
        <v>1250</v>
      </c>
      <c r="Q689" s="114">
        <v>11079</v>
      </c>
      <c r="R689" s="13" t="s">
        <v>25</v>
      </c>
      <c r="S689" s="13" t="s">
        <v>25</v>
      </c>
      <c r="T689" s="13" t="s">
        <v>25</v>
      </c>
    </row>
    <row r="690" spans="1:20" x14ac:dyDescent="0.3">
      <c r="A690" s="14">
        <v>43917.708333333336</v>
      </c>
      <c r="B690" s="13" t="s">
        <v>22</v>
      </c>
      <c r="C690" s="114">
        <v>9</v>
      </c>
      <c r="D690" s="13" t="s">
        <v>57</v>
      </c>
      <c r="E690" s="114">
        <v>4376923077</v>
      </c>
      <c r="F690" s="114">
        <v>1125588885</v>
      </c>
      <c r="G690" s="114">
        <v>1053</v>
      </c>
      <c r="H690" s="114">
        <v>274</v>
      </c>
      <c r="I690" s="114">
        <v>1327</v>
      </c>
      <c r="J690" s="114">
        <v>1843</v>
      </c>
      <c r="K690" s="114">
        <v>3170</v>
      </c>
      <c r="L690" s="114">
        <v>197</v>
      </c>
      <c r="M690" s="114">
        <v>224</v>
      </c>
      <c r="N690" s="114">
        <v>103</v>
      </c>
      <c r="O690" s="114">
        <v>177</v>
      </c>
      <c r="P690" s="114">
        <v>3450</v>
      </c>
      <c r="Q690" s="114">
        <v>23746</v>
      </c>
      <c r="R690" s="13" t="s">
        <v>25</v>
      </c>
      <c r="S690" s="13" t="s">
        <v>25</v>
      </c>
      <c r="T690" s="13" t="s">
        <v>25</v>
      </c>
    </row>
    <row r="691" spans="1:20" x14ac:dyDescent="0.3">
      <c r="A691" s="14">
        <v>43917.708333333336</v>
      </c>
      <c r="B691" s="13" t="s">
        <v>22</v>
      </c>
      <c r="C691" s="114">
        <v>4</v>
      </c>
      <c r="D691" s="13" t="s">
        <v>58</v>
      </c>
      <c r="E691" s="114">
        <v>4606893511</v>
      </c>
      <c r="F691" s="114">
        <v>1112123097</v>
      </c>
      <c r="G691" s="114">
        <v>341</v>
      </c>
      <c r="H691" s="114">
        <v>66</v>
      </c>
      <c r="I691" s="114">
        <v>407</v>
      </c>
      <c r="J691" s="114">
        <v>757</v>
      </c>
      <c r="K691" s="114">
        <v>1164</v>
      </c>
      <c r="L691" s="114">
        <v>70</v>
      </c>
      <c r="M691" s="114">
        <v>94</v>
      </c>
      <c r="N691" s="114">
        <v>125</v>
      </c>
      <c r="O691" s="114">
        <v>102</v>
      </c>
      <c r="P691" s="114">
        <v>1391</v>
      </c>
      <c r="Q691" s="114">
        <v>4923</v>
      </c>
      <c r="R691" s="13" t="s">
        <v>25</v>
      </c>
      <c r="S691" s="13" t="s">
        <v>25</v>
      </c>
      <c r="T691" s="13" t="s">
        <v>25</v>
      </c>
    </row>
    <row r="692" spans="1:20" x14ac:dyDescent="0.3">
      <c r="A692" s="14">
        <v>43917.708333333336</v>
      </c>
      <c r="B692" s="13" t="s">
        <v>22</v>
      </c>
      <c r="C692" s="114">
        <v>10</v>
      </c>
      <c r="D692" s="13" t="s">
        <v>59</v>
      </c>
      <c r="E692" s="114">
        <v>4310675841</v>
      </c>
      <c r="F692" s="114">
        <v>1238824698</v>
      </c>
      <c r="G692" s="114">
        <v>149</v>
      </c>
      <c r="H692" s="114">
        <v>46</v>
      </c>
      <c r="I692" s="114">
        <v>195</v>
      </c>
      <c r="J692" s="114">
        <v>629</v>
      </c>
      <c r="K692" s="114">
        <v>824</v>
      </c>
      <c r="L692" s="114">
        <v>54</v>
      </c>
      <c r="M692" s="114">
        <v>82</v>
      </c>
      <c r="N692" s="114">
        <v>39</v>
      </c>
      <c r="O692" s="114">
        <v>21</v>
      </c>
      <c r="P692" s="114">
        <v>884</v>
      </c>
      <c r="Q692" s="114">
        <v>6137</v>
      </c>
      <c r="R692" s="13" t="s">
        <v>25</v>
      </c>
      <c r="S692" s="13" t="s">
        <v>25</v>
      </c>
      <c r="T692" s="13" t="s">
        <v>25</v>
      </c>
    </row>
    <row r="693" spans="1:20" x14ac:dyDescent="0.3">
      <c r="A693" s="14">
        <v>43917.708333333336</v>
      </c>
      <c r="B693" s="13" t="s">
        <v>22</v>
      </c>
      <c r="C693" s="114">
        <v>2</v>
      </c>
      <c r="D693" s="13" t="s">
        <v>60</v>
      </c>
      <c r="E693" s="114">
        <v>4573750286</v>
      </c>
      <c r="F693" s="114">
        <v>7320149366</v>
      </c>
      <c r="G693" s="114">
        <v>91</v>
      </c>
      <c r="H693" s="114">
        <v>24</v>
      </c>
      <c r="I693" s="114">
        <v>115</v>
      </c>
      <c r="J693" s="114">
        <v>298</v>
      </c>
      <c r="K693" s="114">
        <v>413</v>
      </c>
      <c r="L693" s="114">
        <v>35</v>
      </c>
      <c r="M693" s="114">
        <v>44</v>
      </c>
      <c r="N693" s="114">
        <v>2</v>
      </c>
      <c r="O693" s="114">
        <v>37</v>
      </c>
      <c r="P693" s="114">
        <v>452</v>
      </c>
      <c r="Q693" s="114">
        <v>1252</v>
      </c>
      <c r="R693" s="13" t="s">
        <v>25</v>
      </c>
      <c r="S693" s="13" t="s">
        <v>25</v>
      </c>
      <c r="T693" s="13" t="s">
        <v>25</v>
      </c>
    </row>
    <row r="694" spans="1:20" x14ac:dyDescent="0.3">
      <c r="A694" s="14">
        <v>43917.708333333336</v>
      </c>
      <c r="B694" s="13" t="s">
        <v>22</v>
      </c>
      <c r="C694" s="114">
        <v>5</v>
      </c>
      <c r="D694" s="13" t="s">
        <v>61</v>
      </c>
      <c r="E694" s="114">
        <v>4543490485</v>
      </c>
      <c r="F694" s="114">
        <v>1233845213</v>
      </c>
      <c r="G694" s="114">
        <v>1536</v>
      </c>
      <c r="H694" s="114">
        <v>338</v>
      </c>
      <c r="I694" s="114">
        <v>1874</v>
      </c>
      <c r="J694" s="114">
        <v>4774</v>
      </c>
      <c r="K694" s="114">
        <v>6648</v>
      </c>
      <c r="L694" s="114">
        <v>508</v>
      </c>
      <c r="M694" s="114">
        <v>562</v>
      </c>
      <c r="N694" s="114">
        <v>536</v>
      </c>
      <c r="O694" s="114">
        <v>313</v>
      </c>
      <c r="P694" s="114">
        <v>7497</v>
      </c>
      <c r="Q694" s="114">
        <v>83627</v>
      </c>
      <c r="R694" s="13" t="s">
        <v>25</v>
      </c>
      <c r="S694" s="13" t="s">
        <v>25</v>
      </c>
      <c r="T694" s="13" t="s">
        <v>25</v>
      </c>
    </row>
    <row r="695" spans="1:20" x14ac:dyDescent="0.3">
      <c r="A695" s="14">
        <v>43918.708333333336</v>
      </c>
      <c r="B695" s="13" t="s">
        <v>22</v>
      </c>
      <c r="C695" s="114">
        <v>13</v>
      </c>
      <c r="D695" s="13" t="s">
        <v>42</v>
      </c>
      <c r="E695" s="114">
        <v>4235122196</v>
      </c>
      <c r="F695" s="114">
        <v>1339843823</v>
      </c>
      <c r="G695" s="114">
        <v>311</v>
      </c>
      <c r="H695" s="114">
        <v>70</v>
      </c>
      <c r="I695" s="114">
        <v>381</v>
      </c>
      <c r="J695" s="114">
        <v>646</v>
      </c>
      <c r="K695" s="114">
        <v>1027</v>
      </c>
      <c r="L695" s="114">
        <v>102</v>
      </c>
      <c r="M695" s="114">
        <v>116</v>
      </c>
      <c r="N695" s="114">
        <v>30</v>
      </c>
      <c r="O695" s="114">
        <v>76</v>
      </c>
      <c r="P695" s="114">
        <v>1133</v>
      </c>
      <c r="Q695" s="114">
        <v>7003</v>
      </c>
      <c r="R695" s="13" t="s">
        <v>25</v>
      </c>
      <c r="S695" s="13" t="s">
        <v>25</v>
      </c>
      <c r="T695" s="13" t="s">
        <v>25</v>
      </c>
    </row>
    <row r="696" spans="1:20" x14ac:dyDescent="0.3">
      <c r="A696" s="14">
        <v>43918.708333333336</v>
      </c>
      <c r="B696" s="13" t="s">
        <v>22</v>
      </c>
      <c r="C696" s="114">
        <v>17</v>
      </c>
      <c r="D696" s="13" t="s">
        <v>43</v>
      </c>
      <c r="E696" s="114">
        <v>4063947052</v>
      </c>
      <c r="F696" s="114">
        <v>1580514834</v>
      </c>
      <c r="G696" s="114">
        <v>26</v>
      </c>
      <c r="H696" s="114">
        <v>19</v>
      </c>
      <c r="I696" s="114">
        <v>45</v>
      </c>
      <c r="J696" s="114">
        <v>133</v>
      </c>
      <c r="K696" s="114">
        <v>178</v>
      </c>
      <c r="L696" s="114">
        <v>31</v>
      </c>
      <c r="M696" s="114">
        <v>31</v>
      </c>
      <c r="N696" s="114">
        <v>1</v>
      </c>
      <c r="O696" s="114">
        <v>3</v>
      </c>
      <c r="P696" s="114">
        <v>182</v>
      </c>
      <c r="Q696" s="114">
        <v>1421</v>
      </c>
      <c r="R696" s="13" t="s">
        <v>25</v>
      </c>
      <c r="S696" s="13" t="s">
        <v>25</v>
      </c>
      <c r="T696" s="13" t="s">
        <v>25</v>
      </c>
    </row>
    <row r="697" spans="1:20" x14ac:dyDescent="0.3">
      <c r="A697" s="14">
        <v>43918.708333333336</v>
      </c>
      <c r="B697" s="13" t="s">
        <v>22</v>
      </c>
      <c r="C697" s="114">
        <v>4</v>
      </c>
      <c r="D697" s="13" t="s">
        <v>44</v>
      </c>
      <c r="E697" s="114">
        <v>4649933453</v>
      </c>
      <c r="F697" s="114">
        <v>1135662422</v>
      </c>
      <c r="G697" s="114">
        <v>225</v>
      </c>
      <c r="H697" s="114">
        <v>51</v>
      </c>
      <c r="I697" s="114">
        <v>276</v>
      </c>
      <c r="J697" s="114">
        <v>653</v>
      </c>
      <c r="K697" s="114">
        <v>929</v>
      </c>
      <c r="L697" s="114">
        <v>96</v>
      </c>
      <c r="M697" s="114">
        <v>106</v>
      </c>
      <c r="N697" s="114">
        <v>116</v>
      </c>
      <c r="O697" s="114">
        <v>64</v>
      </c>
      <c r="P697" s="114">
        <v>1109</v>
      </c>
      <c r="Q697" s="114">
        <v>9168</v>
      </c>
      <c r="R697" s="13" t="s">
        <v>25</v>
      </c>
      <c r="S697" s="13" t="s">
        <v>25</v>
      </c>
      <c r="T697" s="13" t="s">
        <v>25</v>
      </c>
    </row>
    <row r="698" spans="1:20" x14ac:dyDescent="0.3">
      <c r="A698" s="14">
        <v>43918.708333333336</v>
      </c>
      <c r="B698" s="13" t="s">
        <v>22</v>
      </c>
      <c r="C698" s="114">
        <v>18</v>
      </c>
      <c r="D698" s="13" t="s">
        <v>45</v>
      </c>
      <c r="E698" s="114">
        <v>3890597598</v>
      </c>
      <c r="F698" s="114">
        <v>1659440194</v>
      </c>
      <c r="G698" s="114">
        <v>107</v>
      </c>
      <c r="H698" s="114">
        <v>22</v>
      </c>
      <c r="I698" s="114">
        <v>129</v>
      </c>
      <c r="J698" s="114">
        <v>394</v>
      </c>
      <c r="K698" s="114">
        <v>523</v>
      </c>
      <c r="L698" s="114">
        <v>54</v>
      </c>
      <c r="M698" s="114">
        <v>61</v>
      </c>
      <c r="N698" s="114">
        <v>11</v>
      </c>
      <c r="O698" s="114">
        <v>21</v>
      </c>
      <c r="P698" s="114">
        <v>555</v>
      </c>
      <c r="Q698" s="114">
        <v>7760</v>
      </c>
      <c r="R698" s="13" t="s">
        <v>25</v>
      </c>
      <c r="S698" s="13" t="s">
        <v>25</v>
      </c>
      <c r="T698" s="13" t="s">
        <v>25</v>
      </c>
    </row>
    <row r="699" spans="1:20" x14ac:dyDescent="0.3">
      <c r="A699" s="14">
        <v>43918.708333333336</v>
      </c>
      <c r="B699" s="13" t="s">
        <v>22</v>
      </c>
      <c r="C699" s="114">
        <v>15</v>
      </c>
      <c r="D699" s="13" t="s">
        <v>46</v>
      </c>
      <c r="E699" s="114">
        <v>4083956555</v>
      </c>
      <c r="F699" s="114">
        <v>1425084984</v>
      </c>
      <c r="G699" s="114">
        <v>463</v>
      </c>
      <c r="H699" s="114">
        <v>132</v>
      </c>
      <c r="I699" s="114">
        <v>595</v>
      </c>
      <c r="J699" s="114">
        <v>812</v>
      </c>
      <c r="K699" s="114">
        <v>1407</v>
      </c>
      <c r="L699" s="114">
        <v>115</v>
      </c>
      <c r="M699" s="114">
        <v>138</v>
      </c>
      <c r="N699" s="114">
        <v>76</v>
      </c>
      <c r="O699" s="114">
        <v>109</v>
      </c>
      <c r="P699" s="114">
        <v>1592</v>
      </c>
      <c r="Q699" s="114">
        <v>10616</v>
      </c>
      <c r="R699" s="13" t="s">
        <v>25</v>
      </c>
      <c r="S699" s="13" t="s">
        <v>25</v>
      </c>
      <c r="T699" s="13" t="s">
        <v>25</v>
      </c>
    </row>
    <row r="700" spans="1:20" x14ac:dyDescent="0.3">
      <c r="A700" s="14">
        <v>43918.708333333336</v>
      </c>
      <c r="B700" s="13" t="s">
        <v>22</v>
      </c>
      <c r="C700" s="114">
        <v>8</v>
      </c>
      <c r="D700" s="13" t="s">
        <v>96</v>
      </c>
      <c r="E700" s="114">
        <v>4449436681</v>
      </c>
      <c r="F700" s="114">
        <v>113417208</v>
      </c>
      <c r="G700" s="114">
        <v>3695</v>
      </c>
      <c r="H700" s="114">
        <v>316</v>
      </c>
      <c r="I700" s="114">
        <v>4011</v>
      </c>
      <c r="J700" s="114">
        <v>5953</v>
      </c>
      <c r="K700" s="114">
        <v>9964</v>
      </c>
      <c r="L700" s="114">
        <v>603</v>
      </c>
      <c r="M700" s="114">
        <v>795</v>
      </c>
      <c r="N700" s="114">
        <v>1075</v>
      </c>
      <c r="O700" s="114">
        <v>1344</v>
      </c>
      <c r="P700" s="114">
        <v>12383</v>
      </c>
      <c r="Q700" s="114">
        <v>52991</v>
      </c>
      <c r="R700" s="13" t="s">
        <v>25</v>
      </c>
      <c r="S700" s="13" t="s">
        <v>25</v>
      </c>
      <c r="T700" s="13" t="s">
        <v>25</v>
      </c>
    </row>
    <row r="701" spans="1:20" x14ac:dyDescent="0.3">
      <c r="A701" s="14">
        <v>43918.708333333336</v>
      </c>
      <c r="B701" s="13" t="s">
        <v>22</v>
      </c>
      <c r="C701" s="114">
        <v>6</v>
      </c>
      <c r="D701" s="13" t="s">
        <v>47</v>
      </c>
      <c r="E701" s="114">
        <v>456494354</v>
      </c>
      <c r="F701" s="114">
        <v>1376813649</v>
      </c>
      <c r="G701" s="114">
        <v>223</v>
      </c>
      <c r="H701" s="114">
        <v>59</v>
      </c>
      <c r="I701" s="114">
        <v>282</v>
      </c>
      <c r="J701" s="114">
        <v>838</v>
      </c>
      <c r="K701" s="114">
        <v>1120</v>
      </c>
      <c r="L701" s="114">
        <v>93</v>
      </c>
      <c r="M701" s="114">
        <v>119</v>
      </c>
      <c r="N701" s="114">
        <v>229</v>
      </c>
      <c r="O701" s="114">
        <v>87</v>
      </c>
      <c r="P701" s="114">
        <v>1436</v>
      </c>
      <c r="Q701" s="114">
        <v>12723</v>
      </c>
      <c r="R701" s="13" t="s">
        <v>25</v>
      </c>
      <c r="S701" s="13" t="s">
        <v>25</v>
      </c>
      <c r="T701" s="13" t="s">
        <v>25</v>
      </c>
    </row>
    <row r="702" spans="1:20" x14ac:dyDescent="0.3">
      <c r="A702" s="14">
        <v>43918.708333333336</v>
      </c>
      <c r="B702" s="13" t="s">
        <v>22</v>
      </c>
      <c r="C702" s="114">
        <v>12</v>
      </c>
      <c r="D702" s="13" t="s">
        <v>48</v>
      </c>
      <c r="E702" s="114">
        <v>4189277044</v>
      </c>
      <c r="F702" s="114">
        <v>1248366722</v>
      </c>
      <c r="G702" s="114">
        <v>985</v>
      </c>
      <c r="H702" s="114">
        <v>133</v>
      </c>
      <c r="I702" s="114">
        <v>1118</v>
      </c>
      <c r="J702" s="114">
        <v>1063</v>
      </c>
      <c r="K702" s="114">
        <v>2181</v>
      </c>
      <c r="L702" s="114">
        <v>168</v>
      </c>
      <c r="M702" s="114">
        <v>210</v>
      </c>
      <c r="N702" s="114">
        <v>200</v>
      </c>
      <c r="O702" s="114">
        <v>124</v>
      </c>
      <c r="P702" s="114">
        <v>2505</v>
      </c>
      <c r="Q702" s="114">
        <v>27179</v>
      </c>
      <c r="R702" s="13" t="s">
        <v>25</v>
      </c>
      <c r="S702" s="13" t="s">
        <v>25</v>
      </c>
      <c r="T702" s="13" t="s">
        <v>25</v>
      </c>
    </row>
    <row r="703" spans="1:20" x14ac:dyDescent="0.3">
      <c r="A703" s="14">
        <v>43918.708333333336</v>
      </c>
      <c r="B703" s="13" t="s">
        <v>22</v>
      </c>
      <c r="C703" s="114">
        <v>7</v>
      </c>
      <c r="D703" s="13" t="s">
        <v>49</v>
      </c>
      <c r="E703" s="114">
        <v>4441149315</v>
      </c>
      <c r="F703" s="114">
        <v>89326992</v>
      </c>
      <c r="G703" s="114">
        <v>1031</v>
      </c>
      <c r="H703" s="114">
        <v>167</v>
      </c>
      <c r="I703" s="114">
        <v>1198</v>
      </c>
      <c r="J703" s="114">
        <v>888</v>
      </c>
      <c r="K703" s="114">
        <v>2086</v>
      </c>
      <c r="L703" s="114">
        <v>26</v>
      </c>
      <c r="M703" s="114">
        <v>126</v>
      </c>
      <c r="N703" s="114">
        <v>378</v>
      </c>
      <c r="O703" s="114">
        <v>358</v>
      </c>
      <c r="P703" s="114">
        <v>2822</v>
      </c>
      <c r="Q703" s="114">
        <v>8177</v>
      </c>
      <c r="R703" s="13" t="s">
        <v>25</v>
      </c>
      <c r="S703" s="13" t="s">
        <v>25</v>
      </c>
      <c r="T703" s="13" t="s">
        <v>25</v>
      </c>
    </row>
    <row r="704" spans="1:20" x14ac:dyDescent="0.3">
      <c r="A704" s="14">
        <v>43918.708333333336</v>
      </c>
      <c r="B704" s="13" t="s">
        <v>22</v>
      </c>
      <c r="C704" s="114">
        <v>3</v>
      </c>
      <c r="D704" s="13" t="s">
        <v>50</v>
      </c>
      <c r="E704" s="114">
        <v>4546679409</v>
      </c>
      <c r="F704" s="114">
        <v>9190347404</v>
      </c>
      <c r="G704" s="114">
        <v>11152</v>
      </c>
      <c r="H704" s="114">
        <v>1319</v>
      </c>
      <c r="I704" s="114">
        <v>12471</v>
      </c>
      <c r="J704" s="114">
        <v>12038</v>
      </c>
      <c r="K704" s="114">
        <v>24509</v>
      </c>
      <c r="L704" s="114">
        <v>614</v>
      </c>
      <c r="M704" s="114">
        <v>2117</v>
      </c>
      <c r="N704" s="114">
        <v>8962</v>
      </c>
      <c r="O704" s="114">
        <v>5944</v>
      </c>
      <c r="P704" s="114">
        <v>39415</v>
      </c>
      <c r="Q704" s="114">
        <v>102503</v>
      </c>
      <c r="R704" s="13" t="s">
        <v>25</v>
      </c>
      <c r="S704" s="13" t="s">
        <v>25</v>
      </c>
      <c r="T704" s="13" t="s">
        <v>25</v>
      </c>
    </row>
    <row r="705" spans="1:20" x14ac:dyDescent="0.3">
      <c r="A705" s="14">
        <v>43918.708333333336</v>
      </c>
      <c r="B705" s="13" t="s">
        <v>22</v>
      </c>
      <c r="C705" s="114">
        <v>11</v>
      </c>
      <c r="D705" s="13" t="s">
        <v>51</v>
      </c>
      <c r="E705" s="114">
        <v>4361675973</v>
      </c>
      <c r="F705" s="114">
        <v>135188753</v>
      </c>
      <c r="G705" s="114">
        <v>987</v>
      </c>
      <c r="H705" s="114">
        <v>166</v>
      </c>
      <c r="I705" s="114">
        <v>1153</v>
      </c>
      <c r="J705" s="114">
        <v>1846</v>
      </c>
      <c r="K705" s="114">
        <v>2999</v>
      </c>
      <c r="L705" s="114">
        <v>149</v>
      </c>
      <c r="M705" s="114">
        <v>177</v>
      </c>
      <c r="N705" s="114">
        <v>10</v>
      </c>
      <c r="O705" s="114">
        <v>364</v>
      </c>
      <c r="P705" s="114">
        <v>3373</v>
      </c>
      <c r="Q705" s="114">
        <v>9884</v>
      </c>
      <c r="R705" s="13" t="s">
        <v>25</v>
      </c>
      <c r="S705" s="13" t="s">
        <v>25</v>
      </c>
      <c r="T705" s="13" t="s">
        <v>25</v>
      </c>
    </row>
    <row r="706" spans="1:20" x14ac:dyDescent="0.3">
      <c r="A706" s="14">
        <v>43918.708333333336</v>
      </c>
      <c r="B706" s="13" t="s">
        <v>22</v>
      </c>
      <c r="C706" s="114">
        <v>14</v>
      </c>
      <c r="D706" s="13" t="s">
        <v>52</v>
      </c>
      <c r="E706" s="114">
        <v>4155774754</v>
      </c>
      <c r="F706" s="114">
        <v>1465916051</v>
      </c>
      <c r="G706" s="114">
        <v>26</v>
      </c>
      <c r="H706" s="114">
        <v>9</v>
      </c>
      <c r="I706" s="114">
        <v>35</v>
      </c>
      <c r="J706" s="114">
        <v>63</v>
      </c>
      <c r="K706" s="114">
        <v>98</v>
      </c>
      <c r="L706" s="114">
        <v>12</v>
      </c>
      <c r="M706" s="114">
        <v>14</v>
      </c>
      <c r="N706" s="114">
        <v>16</v>
      </c>
      <c r="O706" s="114">
        <v>9</v>
      </c>
      <c r="P706" s="114">
        <v>123</v>
      </c>
      <c r="Q706" s="114">
        <v>807</v>
      </c>
      <c r="R706" s="13" t="s">
        <v>25</v>
      </c>
      <c r="S706" s="13" t="s">
        <v>25</v>
      </c>
      <c r="T706" s="13" t="s">
        <v>25</v>
      </c>
    </row>
    <row r="707" spans="1:20" x14ac:dyDescent="0.3">
      <c r="A707" s="14">
        <v>43918.708333333336</v>
      </c>
      <c r="B707" s="13" t="s">
        <v>22</v>
      </c>
      <c r="C707" s="114">
        <v>1</v>
      </c>
      <c r="D707" s="13" t="s">
        <v>53</v>
      </c>
      <c r="E707" s="114">
        <v>450732745</v>
      </c>
      <c r="F707" s="114">
        <v>7680687483</v>
      </c>
      <c r="G707" s="114">
        <v>3094</v>
      </c>
      <c r="H707" s="114">
        <v>439</v>
      </c>
      <c r="I707" s="114">
        <v>3533</v>
      </c>
      <c r="J707" s="114">
        <v>3318</v>
      </c>
      <c r="K707" s="114">
        <v>6851</v>
      </c>
      <c r="L707" s="114">
        <v>504</v>
      </c>
      <c r="M707" s="114">
        <v>579</v>
      </c>
      <c r="N707" s="114">
        <v>203</v>
      </c>
      <c r="O707" s="114">
        <v>617</v>
      </c>
      <c r="P707" s="114">
        <v>7671</v>
      </c>
      <c r="Q707" s="114">
        <v>21511</v>
      </c>
      <c r="R707" s="13" t="s">
        <v>25</v>
      </c>
      <c r="S707" s="13" t="s">
        <v>25</v>
      </c>
      <c r="T707" s="13" t="s">
        <v>25</v>
      </c>
    </row>
    <row r="708" spans="1:20" x14ac:dyDescent="0.3">
      <c r="A708" s="14">
        <v>43918.708333333336</v>
      </c>
      <c r="B708" s="13" t="s">
        <v>22</v>
      </c>
      <c r="C708" s="114">
        <v>16</v>
      </c>
      <c r="D708" s="13" t="s">
        <v>54</v>
      </c>
      <c r="E708" s="114">
        <v>4112559576</v>
      </c>
      <c r="F708" s="114">
        <v>1686736689</v>
      </c>
      <c r="G708" s="114">
        <v>563</v>
      </c>
      <c r="H708" s="114">
        <v>98</v>
      </c>
      <c r="I708" s="114">
        <v>661</v>
      </c>
      <c r="J708" s="114">
        <v>697</v>
      </c>
      <c r="K708" s="114">
        <v>1358</v>
      </c>
      <c r="L708" s="114">
        <v>122</v>
      </c>
      <c r="M708" s="114">
        <v>124</v>
      </c>
      <c r="N708" s="114">
        <v>29</v>
      </c>
      <c r="O708" s="114">
        <v>71</v>
      </c>
      <c r="P708" s="114">
        <v>1458</v>
      </c>
      <c r="Q708" s="114">
        <v>11500</v>
      </c>
      <c r="R708" s="13" t="s">
        <v>25</v>
      </c>
      <c r="S708" s="13" t="s">
        <v>25</v>
      </c>
      <c r="T708" s="13" t="s">
        <v>25</v>
      </c>
    </row>
    <row r="709" spans="1:20" x14ac:dyDescent="0.3">
      <c r="A709" s="14">
        <v>43918.708333333336</v>
      </c>
      <c r="B709" s="13" t="s">
        <v>22</v>
      </c>
      <c r="C709" s="114">
        <v>20</v>
      </c>
      <c r="D709" s="13" t="s">
        <v>55</v>
      </c>
      <c r="E709" s="114">
        <v>3921531192</v>
      </c>
      <c r="F709" s="114">
        <v>9110616306</v>
      </c>
      <c r="G709" s="114">
        <v>95</v>
      </c>
      <c r="H709" s="114">
        <v>22</v>
      </c>
      <c r="I709" s="114">
        <v>117</v>
      </c>
      <c r="J709" s="114">
        <v>452</v>
      </c>
      <c r="K709" s="114">
        <v>569</v>
      </c>
      <c r="L709" s="114">
        <v>73</v>
      </c>
      <c r="M709" s="114">
        <v>94</v>
      </c>
      <c r="N709" s="114">
        <v>29</v>
      </c>
      <c r="O709" s="114">
        <v>26</v>
      </c>
      <c r="P709" s="114">
        <v>624</v>
      </c>
      <c r="Q709" s="114">
        <v>4225</v>
      </c>
      <c r="R709" s="13" t="s">
        <v>25</v>
      </c>
      <c r="S709" s="13" t="s">
        <v>25</v>
      </c>
      <c r="T709" s="13" t="s">
        <v>25</v>
      </c>
    </row>
    <row r="710" spans="1:20" x14ac:dyDescent="0.3">
      <c r="A710" s="14">
        <v>43918.708333333336</v>
      </c>
      <c r="B710" s="13" t="s">
        <v>22</v>
      </c>
      <c r="C710" s="114">
        <v>19</v>
      </c>
      <c r="D710" s="13" t="s">
        <v>56</v>
      </c>
      <c r="E710" s="114">
        <v>3811569725</v>
      </c>
      <c r="F710" s="114">
        <v>133623567</v>
      </c>
      <c r="G710" s="114">
        <v>441</v>
      </c>
      <c r="H710" s="114">
        <v>71</v>
      </c>
      <c r="I710" s="114">
        <v>512</v>
      </c>
      <c r="J710" s="114">
        <v>730</v>
      </c>
      <c r="K710" s="114">
        <v>1242</v>
      </c>
      <c r="L710" s="114">
        <v>84</v>
      </c>
      <c r="M710" s="114">
        <v>109</v>
      </c>
      <c r="N710" s="114">
        <v>60</v>
      </c>
      <c r="O710" s="114">
        <v>57</v>
      </c>
      <c r="P710" s="114">
        <v>1359</v>
      </c>
      <c r="Q710" s="114">
        <v>13096</v>
      </c>
      <c r="R710" s="13" t="s">
        <v>25</v>
      </c>
      <c r="S710" s="13" t="s">
        <v>25</v>
      </c>
      <c r="T710" s="13" t="s">
        <v>25</v>
      </c>
    </row>
    <row r="711" spans="1:20" x14ac:dyDescent="0.3">
      <c r="A711" s="14">
        <v>43918.708333333336</v>
      </c>
      <c r="B711" s="13" t="s">
        <v>22</v>
      </c>
      <c r="C711" s="114">
        <v>9</v>
      </c>
      <c r="D711" s="13" t="s">
        <v>57</v>
      </c>
      <c r="E711" s="114">
        <v>4376923077</v>
      </c>
      <c r="F711" s="114">
        <v>1125588885</v>
      </c>
      <c r="G711" s="114">
        <v>1093</v>
      </c>
      <c r="H711" s="114">
        <v>277</v>
      </c>
      <c r="I711" s="114">
        <v>1370</v>
      </c>
      <c r="J711" s="114">
        <v>2141</v>
      </c>
      <c r="K711" s="114">
        <v>3511</v>
      </c>
      <c r="L711" s="114">
        <v>341</v>
      </c>
      <c r="M711" s="114">
        <v>367</v>
      </c>
      <c r="N711" s="114">
        <v>108</v>
      </c>
      <c r="O711" s="114">
        <v>198</v>
      </c>
      <c r="P711" s="114">
        <v>3817</v>
      </c>
      <c r="Q711" s="114">
        <v>25613</v>
      </c>
      <c r="R711" s="13" t="s">
        <v>25</v>
      </c>
      <c r="S711" s="13" t="s">
        <v>25</v>
      </c>
      <c r="T711" s="13" t="s">
        <v>25</v>
      </c>
    </row>
    <row r="712" spans="1:20" x14ac:dyDescent="0.3">
      <c r="A712" s="14">
        <v>43918.708333333336</v>
      </c>
      <c r="B712" s="13" t="s">
        <v>22</v>
      </c>
      <c r="C712" s="114">
        <v>4</v>
      </c>
      <c r="D712" s="13" t="s">
        <v>58</v>
      </c>
      <c r="E712" s="114">
        <v>4606893511</v>
      </c>
      <c r="F712" s="114">
        <v>1112123097</v>
      </c>
      <c r="G712" s="114">
        <v>351</v>
      </c>
      <c r="H712" s="114">
        <v>72</v>
      </c>
      <c r="I712" s="114">
        <v>423</v>
      </c>
      <c r="J712" s="114">
        <v>811</v>
      </c>
      <c r="K712" s="114">
        <v>1234</v>
      </c>
      <c r="L712" s="114">
        <v>70</v>
      </c>
      <c r="M712" s="114">
        <v>114</v>
      </c>
      <c r="N712" s="114">
        <v>151</v>
      </c>
      <c r="O712" s="114">
        <v>120</v>
      </c>
      <c r="P712" s="114">
        <v>1505</v>
      </c>
      <c r="Q712" s="114">
        <v>5561</v>
      </c>
      <c r="R712" s="13" t="s">
        <v>25</v>
      </c>
      <c r="S712" s="13" t="s">
        <v>25</v>
      </c>
      <c r="T712" s="13" t="s">
        <v>25</v>
      </c>
    </row>
    <row r="713" spans="1:20" x14ac:dyDescent="0.3">
      <c r="A713" s="14">
        <v>43918.708333333336</v>
      </c>
      <c r="B713" s="13" t="s">
        <v>22</v>
      </c>
      <c r="C713" s="114">
        <v>10</v>
      </c>
      <c r="D713" s="13" t="s">
        <v>59</v>
      </c>
      <c r="E713" s="114">
        <v>4310675841</v>
      </c>
      <c r="F713" s="114">
        <v>1238824698</v>
      </c>
      <c r="G713" s="114">
        <v>159</v>
      </c>
      <c r="H713" s="114">
        <v>44</v>
      </c>
      <c r="I713" s="114">
        <v>203</v>
      </c>
      <c r="J713" s="114">
        <v>695</v>
      </c>
      <c r="K713" s="114">
        <v>898</v>
      </c>
      <c r="L713" s="114">
        <v>74</v>
      </c>
      <c r="M713" s="114">
        <v>85</v>
      </c>
      <c r="N713" s="114">
        <v>43</v>
      </c>
      <c r="O713" s="114">
        <v>28</v>
      </c>
      <c r="P713" s="114">
        <v>969</v>
      </c>
      <c r="Q713" s="114">
        <v>7028</v>
      </c>
      <c r="R713" s="13" t="s">
        <v>25</v>
      </c>
      <c r="S713" s="13" t="s">
        <v>25</v>
      </c>
      <c r="T713" s="13" t="s">
        <v>25</v>
      </c>
    </row>
    <row r="714" spans="1:20" x14ac:dyDescent="0.3">
      <c r="A714" s="14">
        <v>43918.708333333336</v>
      </c>
      <c r="B714" s="13" t="s">
        <v>22</v>
      </c>
      <c r="C714" s="114">
        <v>2</v>
      </c>
      <c r="D714" s="13" t="s">
        <v>60</v>
      </c>
      <c r="E714" s="114">
        <v>4573750286</v>
      </c>
      <c r="F714" s="114">
        <v>7320149366</v>
      </c>
      <c r="G714" s="114">
        <v>90</v>
      </c>
      <c r="H714" s="114">
        <v>26</v>
      </c>
      <c r="I714" s="114">
        <v>116</v>
      </c>
      <c r="J714" s="114">
        <v>352</v>
      </c>
      <c r="K714" s="114">
        <v>468</v>
      </c>
      <c r="L714" s="114">
        <v>55</v>
      </c>
      <c r="M714" s="114">
        <v>59</v>
      </c>
      <c r="N714" s="114">
        <v>2</v>
      </c>
      <c r="O714" s="114">
        <v>41</v>
      </c>
      <c r="P714" s="114">
        <v>511</v>
      </c>
      <c r="Q714" s="114">
        <v>1380</v>
      </c>
      <c r="R714" s="13" t="s">
        <v>25</v>
      </c>
      <c r="S714" s="13" t="s">
        <v>25</v>
      </c>
      <c r="T714" s="13" t="s">
        <v>25</v>
      </c>
    </row>
    <row r="715" spans="1:20" x14ac:dyDescent="0.3">
      <c r="A715" s="14">
        <v>43918.708333333336</v>
      </c>
      <c r="B715" s="13" t="s">
        <v>22</v>
      </c>
      <c r="C715" s="114">
        <v>5</v>
      </c>
      <c r="D715" s="13" t="s">
        <v>61</v>
      </c>
      <c r="E715" s="114">
        <v>4543490485</v>
      </c>
      <c r="F715" s="114">
        <v>1233845213</v>
      </c>
      <c r="G715" s="114">
        <v>1559</v>
      </c>
      <c r="H715" s="114">
        <v>344</v>
      </c>
      <c r="I715" s="114">
        <v>1903</v>
      </c>
      <c r="J715" s="114">
        <v>5010</v>
      </c>
      <c r="K715" s="114">
        <v>6913</v>
      </c>
      <c r="L715" s="114">
        <v>265</v>
      </c>
      <c r="M715" s="114">
        <v>433</v>
      </c>
      <c r="N715" s="114">
        <v>655</v>
      </c>
      <c r="O715" s="114">
        <v>362</v>
      </c>
      <c r="P715" s="114">
        <v>7930</v>
      </c>
      <c r="Q715" s="114">
        <v>89380</v>
      </c>
      <c r="R715" s="13" t="s">
        <v>25</v>
      </c>
      <c r="S715" s="13" t="s">
        <v>25</v>
      </c>
      <c r="T715" s="13" t="s">
        <v>25</v>
      </c>
    </row>
    <row r="716" spans="1:20" x14ac:dyDescent="0.3">
      <c r="A716" s="14">
        <v>43919.708333333336</v>
      </c>
      <c r="B716" s="13" t="s">
        <v>22</v>
      </c>
      <c r="C716" s="114">
        <v>13</v>
      </c>
      <c r="D716" s="13" t="s">
        <v>42</v>
      </c>
      <c r="E716" s="114">
        <v>4235122196</v>
      </c>
      <c r="F716" s="114">
        <v>1339843823</v>
      </c>
      <c r="G716" s="114">
        <v>329</v>
      </c>
      <c r="H716" s="114">
        <v>68</v>
      </c>
      <c r="I716" s="114">
        <v>397</v>
      </c>
      <c r="J716" s="114">
        <v>772</v>
      </c>
      <c r="K716" s="114">
        <v>1169</v>
      </c>
      <c r="L716" s="114">
        <v>142</v>
      </c>
      <c r="M716" s="114">
        <v>160</v>
      </c>
      <c r="N716" s="114">
        <v>36</v>
      </c>
      <c r="O716" s="114">
        <v>88</v>
      </c>
      <c r="P716" s="114">
        <v>1293</v>
      </c>
      <c r="Q716" s="114">
        <v>7730</v>
      </c>
      <c r="R716" s="13" t="s">
        <v>25</v>
      </c>
      <c r="S716" s="13" t="s">
        <v>25</v>
      </c>
      <c r="T716" s="13" t="s">
        <v>25</v>
      </c>
    </row>
    <row r="717" spans="1:20" x14ac:dyDescent="0.3">
      <c r="A717" s="14">
        <v>43919.708333333336</v>
      </c>
      <c r="B717" s="13" t="s">
        <v>22</v>
      </c>
      <c r="C717" s="114">
        <v>17</v>
      </c>
      <c r="D717" s="13" t="s">
        <v>43</v>
      </c>
      <c r="E717" s="114">
        <v>4063947052</v>
      </c>
      <c r="F717" s="114">
        <v>1580514834</v>
      </c>
      <c r="G717" s="114">
        <v>32</v>
      </c>
      <c r="H717" s="114">
        <v>18</v>
      </c>
      <c r="I717" s="114">
        <v>50</v>
      </c>
      <c r="J717" s="114">
        <v>147</v>
      </c>
      <c r="K717" s="114">
        <v>197</v>
      </c>
      <c r="L717" s="114">
        <v>19</v>
      </c>
      <c r="M717" s="114">
        <v>20</v>
      </c>
      <c r="N717" s="114">
        <v>1</v>
      </c>
      <c r="O717" s="114">
        <v>4</v>
      </c>
      <c r="P717" s="114">
        <v>202</v>
      </c>
      <c r="Q717" s="114">
        <v>1585</v>
      </c>
      <c r="R717" s="13" t="s">
        <v>25</v>
      </c>
      <c r="S717" s="13" t="s">
        <v>25</v>
      </c>
      <c r="T717" s="13" t="s">
        <v>25</v>
      </c>
    </row>
    <row r="718" spans="1:20" x14ac:dyDescent="0.3">
      <c r="A718" s="14">
        <v>43919.708333333336</v>
      </c>
      <c r="B718" s="13" t="s">
        <v>22</v>
      </c>
      <c r="C718" s="114">
        <v>4</v>
      </c>
      <c r="D718" s="13" t="s">
        <v>44</v>
      </c>
      <c r="E718" s="114">
        <v>4649933453</v>
      </c>
      <c r="F718" s="114">
        <v>1135662422</v>
      </c>
      <c r="G718" s="114">
        <v>234</v>
      </c>
      <c r="H718" s="114">
        <v>56</v>
      </c>
      <c r="I718" s="114">
        <v>290</v>
      </c>
      <c r="J718" s="114">
        <v>744</v>
      </c>
      <c r="K718" s="114">
        <v>1034</v>
      </c>
      <c r="L718" s="114">
        <v>105</v>
      </c>
      <c r="M718" s="114">
        <v>105</v>
      </c>
      <c r="N718" s="114">
        <v>116</v>
      </c>
      <c r="O718" s="114">
        <v>64</v>
      </c>
      <c r="P718" s="114">
        <v>1214</v>
      </c>
      <c r="Q718" s="114">
        <v>10137</v>
      </c>
      <c r="R718" s="13" t="s">
        <v>25</v>
      </c>
      <c r="S718" s="13" t="s">
        <v>25</v>
      </c>
      <c r="T718" s="13" t="s">
        <v>25</v>
      </c>
    </row>
    <row r="719" spans="1:20" x14ac:dyDescent="0.3">
      <c r="A719" s="14">
        <v>43919.708333333336</v>
      </c>
      <c r="B719" s="13" t="s">
        <v>22</v>
      </c>
      <c r="C719" s="114">
        <v>18</v>
      </c>
      <c r="D719" s="13" t="s">
        <v>45</v>
      </c>
      <c r="E719" s="114">
        <v>3890597598</v>
      </c>
      <c r="F719" s="114">
        <v>1659440194</v>
      </c>
      <c r="G719" s="114">
        <v>124</v>
      </c>
      <c r="H719" s="114">
        <v>19</v>
      </c>
      <c r="I719" s="114">
        <v>143</v>
      </c>
      <c r="J719" s="114">
        <v>434</v>
      </c>
      <c r="K719" s="114">
        <v>577</v>
      </c>
      <c r="L719" s="114">
        <v>54</v>
      </c>
      <c r="M719" s="114">
        <v>59</v>
      </c>
      <c r="N719" s="114">
        <v>12</v>
      </c>
      <c r="O719" s="114">
        <v>25</v>
      </c>
      <c r="P719" s="114">
        <v>614</v>
      </c>
      <c r="Q719" s="114">
        <v>8485</v>
      </c>
      <c r="R719" s="13" t="s">
        <v>25</v>
      </c>
      <c r="S719" s="13" t="s">
        <v>25</v>
      </c>
      <c r="T719" s="13" t="s">
        <v>25</v>
      </c>
    </row>
    <row r="720" spans="1:20" x14ac:dyDescent="0.3">
      <c r="A720" s="14">
        <v>43919.708333333336</v>
      </c>
      <c r="B720" s="13" t="s">
        <v>22</v>
      </c>
      <c r="C720" s="114">
        <v>15</v>
      </c>
      <c r="D720" s="13" t="s">
        <v>46</v>
      </c>
      <c r="E720" s="114">
        <v>4083956555</v>
      </c>
      <c r="F720" s="114">
        <v>1425084984</v>
      </c>
      <c r="G720" s="114">
        <v>476</v>
      </c>
      <c r="H720" s="114">
        <v>135</v>
      </c>
      <c r="I720" s="114">
        <v>611</v>
      </c>
      <c r="J720" s="114">
        <v>945</v>
      </c>
      <c r="K720" s="114">
        <v>1556</v>
      </c>
      <c r="L720" s="114">
        <v>149</v>
      </c>
      <c r="M720" s="114">
        <v>167</v>
      </c>
      <c r="N720" s="114">
        <v>86</v>
      </c>
      <c r="O720" s="114">
        <v>117</v>
      </c>
      <c r="P720" s="114">
        <v>1759</v>
      </c>
      <c r="Q720" s="114">
        <v>11805</v>
      </c>
      <c r="R720" s="13" t="s">
        <v>25</v>
      </c>
      <c r="S720" s="13" t="s">
        <v>25</v>
      </c>
      <c r="T720" s="13" t="s">
        <v>25</v>
      </c>
    </row>
    <row r="721" spans="1:20" x14ac:dyDescent="0.3">
      <c r="A721" s="14">
        <v>43919.708333333336</v>
      </c>
      <c r="B721" s="13" t="s">
        <v>22</v>
      </c>
      <c r="C721" s="114">
        <v>8</v>
      </c>
      <c r="D721" s="13" t="s">
        <v>96</v>
      </c>
      <c r="E721" s="114">
        <v>4449436681</v>
      </c>
      <c r="F721" s="114">
        <v>113417208</v>
      </c>
      <c r="G721" s="114">
        <v>3769</v>
      </c>
      <c r="H721" s="114">
        <v>333</v>
      </c>
      <c r="I721" s="114">
        <v>4102</v>
      </c>
      <c r="J721" s="114">
        <v>6433</v>
      </c>
      <c r="K721" s="114">
        <v>10535</v>
      </c>
      <c r="L721" s="114">
        <v>571</v>
      </c>
      <c r="M721" s="114">
        <v>736</v>
      </c>
      <c r="N721" s="114">
        <v>1141</v>
      </c>
      <c r="O721" s="114">
        <v>1443</v>
      </c>
      <c r="P721" s="114">
        <v>13119</v>
      </c>
      <c r="Q721" s="114">
        <v>52991</v>
      </c>
      <c r="R721" s="13" t="s">
        <v>25</v>
      </c>
      <c r="S721" s="13" t="s">
        <v>97</v>
      </c>
      <c r="T721" s="13" t="s">
        <v>98</v>
      </c>
    </row>
    <row r="722" spans="1:20" x14ac:dyDescent="0.3">
      <c r="A722" s="14">
        <v>43919.708333333336</v>
      </c>
      <c r="B722" s="13" t="s">
        <v>22</v>
      </c>
      <c r="C722" s="114">
        <v>6</v>
      </c>
      <c r="D722" s="13" t="s">
        <v>47</v>
      </c>
      <c r="E722" s="114">
        <v>456494354</v>
      </c>
      <c r="F722" s="114">
        <v>1376813649</v>
      </c>
      <c r="G722" s="114">
        <v>236</v>
      </c>
      <c r="H722" s="114">
        <v>60</v>
      </c>
      <c r="I722" s="114">
        <v>296</v>
      </c>
      <c r="J722" s="114">
        <v>845</v>
      </c>
      <c r="K722" s="114">
        <v>1141</v>
      </c>
      <c r="L722" s="114">
        <v>21</v>
      </c>
      <c r="M722" s="114">
        <v>44</v>
      </c>
      <c r="N722" s="114">
        <v>241</v>
      </c>
      <c r="O722" s="114">
        <v>98</v>
      </c>
      <c r="P722" s="114">
        <v>1480</v>
      </c>
      <c r="Q722" s="114">
        <v>13397</v>
      </c>
      <c r="R722" s="13" t="s">
        <v>25</v>
      </c>
      <c r="S722" s="13" t="s">
        <v>25</v>
      </c>
      <c r="T722" s="13" t="s">
        <v>25</v>
      </c>
    </row>
    <row r="723" spans="1:20" x14ac:dyDescent="0.3">
      <c r="A723" s="14">
        <v>43919.708333333336</v>
      </c>
      <c r="B723" s="13" t="s">
        <v>22</v>
      </c>
      <c r="C723" s="114">
        <v>12</v>
      </c>
      <c r="D723" s="13" t="s">
        <v>48</v>
      </c>
      <c r="E723" s="114">
        <v>4189277044</v>
      </c>
      <c r="F723" s="114">
        <v>1248366722</v>
      </c>
      <c r="G723" s="114">
        <v>1062</v>
      </c>
      <c r="H723" s="114">
        <v>133</v>
      </c>
      <c r="I723" s="114">
        <v>1195</v>
      </c>
      <c r="J723" s="114">
        <v>1167</v>
      </c>
      <c r="K723" s="114">
        <v>2362</v>
      </c>
      <c r="L723" s="114">
        <v>181</v>
      </c>
      <c r="M723" s="114">
        <v>201</v>
      </c>
      <c r="N723" s="114">
        <v>208</v>
      </c>
      <c r="O723" s="114">
        <v>136</v>
      </c>
      <c r="P723" s="114">
        <v>2706</v>
      </c>
      <c r="Q723" s="114">
        <v>27744</v>
      </c>
      <c r="R723" s="13" t="s">
        <v>25</v>
      </c>
      <c r="S723" s="13" t="s">
        <v>25</v>
      </c>
      <c r="T723" s="13" t="s">
        <v>25</v>
      </c>
    </row>
    <row r="724" spans="1:20" x14ac:dyDescent="0.3">
      <c r="A724" s="14">
        <v>43919.708333333336</v>
      </c>
      <c r="B724" s="13" t="s">
        <v>22</v>
      </c>
      <c r="C724" s="114">
        <v>7</v>
      </c>
      <c r="D724" s="13" t="s">
        <v>49</v>
      </c>
      <c r="E724" s="114">
        <v>4441149315</v>
      </c>
      <c r="F724" s="114">
        <v>89326992</v>
      </c>
      <c r="G724" s="114">
        <v>1077</v>
      </c>
      <c r="H724" s="114">
        <v>166</v>
      </c>
      <c r="I724" s="114">
        <v>1243</v>
      </c>
      <c r="J724" s="114">
        <v>1036</v>
      </c>
      <c r="K724" s="114">
        <v>2279</v>
      </c>
      <c r="L724" s="114">
        <v>193</v>
      </c>
      <c r="M724" s="114">
        <v>254</v>
      </c>
      <c r="N724" s="114">
        <v>420</v>
      </c>
      <c r="O724" s="114">
        <v>377</v>
      </c>
      <c r="P724" s="114">
        <v>3076</v>
      </c>
      <c r="Q724" s="114">
        <v>9100</v>
      </c>
      <c r="R724" s="13" t="s">
        <v>25</v>
      </c>
      <c r="S724" s="13" t="s">
        <v>25</v>
      </c>
      <c r="T724" s="13" t="s">
        <v>25</v>
      </c>
    </row>
    <row r="725" spans="1:20" x14ac:dyDescent="0.3">
      <c r="A725" s="14">
        <v>43919.708333333336</v>
      </c>
      <c r="B725" s="13" t="s">
        <v>22</v>
      </c>
      <c r="C725" s="114">
        <v>3</v>
      </c>
      <c r="D725" s="13" t="s">
        <v>50</v>
      </c>
      <c r="E725" s="114">
        <v>4546679409</v>
      </c>
      <c r="F725" s="114">
        <v>9190347404</v>
      </c>
      <c r="G725" s="114">
        <v>11613</v>
      </c>
      <c r="H725" s="114">
        <v>1328</v>
      </c>
      <c r="I725" s="114">
        <v>12941</v>
      </c>
      <c r="J725" s="114">
        <v>12451</v>
      </c>
      <c r="K725" s="114">
        <v>25392</v>
      </c>
      <c r="L725" s="114">
        <v>883</v>
      </c>
      <c r="M725" s="114">
        <v>1592</v>
      </c>
      <c r="N725" s="114">
        <v>9255</v>
      </c>
      <c r="O725" s="114">
        <v>6360</v>
      </c>
      <c r="P725" s="114">
        <v>41007</v>
      </c>
      <c r="Q725" s="114">
        <v>107398</v>
      </c>
      <c r="R725" s="13" t="s">
        <v>25</v>
      </c>
      <c r="S725" s="13" t="s">
        <v>25</v>
      </c>
      <c r="T725" s="13" t="s">
        <v>25</v>
      </c>
    </row>
    <row r="726" spans="1:20" x14ac:dyDescent="0.3">
      <c r="A726" s="14">
        <v>43919.708333333336</v>
      </c>
      <c r="B726" s="13" t="s">
        <v>22</v>
      </c>
      <c r="C726" s="114">
        <v>11</v>
      </c>
      <c r="D726" s="13" t="s">
        <v>51</v>
      </c>
      <c r="E726" s="114">
        <v>4361675973</v>
      </c>
      <c r="F726" s="114">
        <v>135188753</v>
      </c>
      <c r="G726" s="114">
        <v>1000</v>
      </c>
      <c r="H726" s="114">
        <v>168</v>
      </c>
      <c r="I726" s="114">
        <v>1168</v>
      </c>
      <c r="J726" s="114">
        <v>1992</v>
      </c>
      <c r="K726" s="114">
        <v>3160</v>
      </c>
      <c r="L726" s="114">
        <v>161</v>
      </c>
      <c r="M726" s="114">
        <v>185</v>
      </c>
      <c r="N726" s="114">
        <v>12</v>
      </c>
      <c r="O726" s="114">
        <v>386</v>
      </c>
      <c r="P726" s="114">
        <v>3558</v>
      </c>
      <c r="Q726" s="114">
        <v>10431</v>
      </c>
      <c r="R726" s="13" t="s">
        <v>25</v>
      </c>
      <c r="S726" s="13" t="s">
        <v>25</v>
      </c>
      <c r="T726" s="13" t="s">
        <v>25</v>
      </c>
    </row>
    <row r="727" spans="1:20" x14ac:dyDescent="0.3">
      <c r="A727" s="14">
        <v>43919.708333333336</v>
      </c>
      <c r="B727" s="13" t="s">
        <v>22</v>
      </c>
      <c r="C727" s="114">
        <v>14</v>
      </c>
      <c r="D727" s="13" t="s">
        <v>52</v>
      </c>
      <c r="E727" s="114">
        <v>4155774754</v>
      </c>
      <c r="F727" s="114">
        <v>1465916051</v>
      </c>
      <c r="G727" s="114">
        <v>25</v>
      </c>
      <c r="H727" s="114">
        <v>9</v>
      </c>
      <c r="I727" s="114">
        <v>34</v>
      </c>
      <c r="J727" s="114">
        <v>66</v>
      </c>
      <c r="K727" s="114">
        <v>100</v>
      </c>
      <c r="L727" s="114">
        <v>2</v>
      </c>
      <c r="M727" s="114">
        <v>4</v>
      </c>
      <c r="N727" s="114">
        <v>18</v>
      </c>
      <c r="O727" s="114">
        <v>9</v>
      </c>
      <c r="P727" s="114">
        <v>127</v>
      </c>
      <c r="Q727" s="114">
        <v>918</v>
      </c>
      <c r="R727" s="13" t="s">
        <v>25</v>
      </c>
      <c r="S727" s="13" t="s">
        <v>25</v>
      </c>
      <c r="T727" s="13" t="s">
        <v>25</v>
      </c>
    </row>
    <row r="728" spans="1:20" x14ac:dyDescent="0.3">
      <c r="A728" s="14">
        <v>43919.708333333336</v>
      </c>
      <c r="B728" s="13" t="s">
        <v>22</v>
      </c>
      <c r="C728" s="114">
        <v>1</v>
      </c>
      <c r="D728" s="13" t="s">
        <v>53</v>
      </c>
      <c r="E728" s="114">
        <v>450732745</v>
      </c>
      <c r="F728" s="114">
        <v>7680687483</v>
      </c>
      <c r="G728" s="114">
        <v>2985</v>
      </c>
      <c r="H728" s="114">
        <v>443</v>
      </c>
      <c r="I728" s="114">
        <v>3428</v>
      </c>
      <c r="J728" s="114">
        <v>3840</v>
      </c>
      <c r="K728" s="114">
        <v>7268</v>
      </c>
      <c r="L728" s="114">
        <v>417</v>
      </c>
      <c r="M728" s="114">
        <v>535</v>
      </c>
      <c r="N728" s="114">
        <v>254</v>
      </c>
      <c r="O728" s="114">
        <v>684</v>
      </c>
      <c r="P728" s="114">
        <v>8206</v>
      </c>
      <c r="Q728" s="114">
        <v>24058</v>
      </c>
      <c r="R728" s="13" t="s">
        <v>25</v>
      </c>
      <c r="S728" s="13" t="s">
        <v>25</v>
      </c>
      <c r="T728" s="13" t="s">
        <v>25</v>
      </c>
    </row>
    <row r="729" spans="1:20" x14ac:dyDescent="0.3">
      <c r="A729" s="14">
        <v>43919.708333333336</v>
      </c>
      <c r="B729" s="13" t="s">
        <v>22</v>
      </c>
      <c r="C729" s="114">
        <v>16</v>
      </c>
      <c r="D729" s="13" t="s">
        <v>54</v>
      </c>
      <c r="E729" s="114">
        <v>4112559576</v>
      </c>
      <c r="F729" s="114">
        <v>1686736689</v>
      </c>
      <c r="G729" s="114">
        <v>559</v>
      </c>
      <c r="H729" s="114">
        <v>99</v>
      </c>
      <c r="I729" s="114">
        <v>658</v>
      </c>
      <c r="J729" s="114">
        <v>774</v>
      </c>
      <c r="K729" s="114">
        <v>1432</v>
      </c>
      <c r="L729" s="114">
        <v>74</v>
      </c>
      <c r="M729" s="114">
        <v>91</v>
      </c>
      <c r="N729" s="114">
        <v>31</v>
      </c>
      <c r="O729" s="114">
        <v>86</v>
      </c>
      <c r="P729" s="114">
        <v>1549</v>
      </c>
      <c r="Q729" s="114">
        <v>12361</v>
      </c>
      <c r="R729" s="13" t="s">
        <v>25</v>
      </c>
      <c r="S729" s="13" t="s">
        <v>25</v>
      </c>
      <c r="T729" s="13" t="s">
        <v>25</v>
      </c>
    </row>
    <row r="730" spans="1:20" x14ac:dyDescent="0.3">
      <c r="A730" s="14">
        <v>43919.708333333336</v>
      </c>
      <c r="B730" s="13" t="s">
        <v>22</v>
      </c>
      <c r="C730" s="114">
        <v>20</v>
      </c>
      <c r="D730" s="13" t="s">
        <v>55</v>
      </c>
      <c r="E730" s="114">
        <v>3921531192</v>
      </c>
      <c r="F730" s="114">
        <v>9110616306</v>
      </c>
      <c r="G730" s="114">
        <v>105</v>
      </c>
      <c r="H730" s="114">
        <v>23</v>
      </c>
      <c r="I730" s="114">
        <v>128</v>
      </c>
      <c r="J730" s="114">
        <v>454</v>
      </c>
      <c r="K730" s="114">
        <v>582</v>
      </c>
      <c r="L730" s="114">
        <v>13</v>
      </c>
      <c r="M730" s="114">
        <v>14</v>
      </c>
      <c r="N730" s="114">
        <v>29</v>
      </c>
      <c r="O730" s="114">
        <v>27</v>
      </c>
      <c r="P730" s="114">
        <v>638</v>
      </c>
      <c r="Q730" s="114">
        <v>4598</v>
      </c>
      <c r="R730" s="13" t="s">
        <v>25</v>
      </c>
      <c r="S730" s="13" t="s">
        <v>25</v>
      </c>
      <c r="T730" s="13" t="s">
        <v>25</v>
      </c>
    </row>
    <row r="731" spans="1:20" x14ac:dyDescent="0.3">
      <c r="A731" s="14">
        <v>43919.708333333336</v>
      </c>
      <c r="B731" s="13" t="s">
        <v>22</v>
      </c>
      <c r="C731" s="114">
        <v>19</v>
      </c>
      <c r="D731" s="13" t="s">
        <v>56</v>
      </c>
      <c r="E731" s="114">
        <v>3811569725</v>
      </c>
      <c r="F731" s="114">
        <v>133623567</v>
      </c>
      <c r="G731" s="114">
        <v>451</v>
      </c>
      <c r="H731" s="114">
        <v>71</v>
      </c>
      <c r="I731" s="114">
        <v>522</v>
      </c>
      <c r="J731" s="114">
        <v>808</v>
      </c>
      <c r="K731" s="114">
        <v>1330</v>
      </c>
      <c r="L731" s="114">
        <v>88</v>
      </c>
      <c r="M731" s="114">
        <v>101</v>
      </c>
      <c r="N731" s="114">
        <v>65</v>
      </c>
      <c r="O731" s="114">
        <v>65</v>
      </c>
      <c r="P731" s="114">
        <v>1460</v>
      </c>
      <c r="Q731" s="114">
        <v>13814</v>
      </c>
      <c r="R731" s="13" t="s">
        <v>25</v>
      </c>
      <c r="S731" s="13" t="s">
        <v>25</v>
      </c>
      <c r="T731" s="13" t="s">
        <v>25</v>
      </c>
    </row>
    <row r="732" spans="1:20" x14ac:dyDescent="0.3">
      <c r="A732" s="14">
        <v>43919.708333333336</v>
      </c>
      <c r="B732" s="13" t="s">
        <v>22</v>
      </c>
      <c r="C732" s="114">
        <v>9</v>
      </c>
      <c r="D732" s="13" t="s">
        <v>57</v>
      </c>
      <c r="E732" s="114">
        <v>4376923077</v>
      </c>
      <c r="F732" s="114">
        <v>1125588885</v>
      </c>
      <c r="G732" s="114">
        <v>1111</v>
      </c>
      <c r="H732" s="114">
        <v>275</v>
      </c>
      <c r="I732" s="114">
        <v>1386</v>
      </c>
      <c r="J732" s="114">
        <v>2400</v>
      </c>
      <c r="K732" s="114">
        <v>3786</v>
      </c>
      <c r="L732" s="114">
        <v>275</v>
      </c>
      <c r="M732" s="114">
        <v>305</v>
      </c>
      <c r="N732" s="114">
        <v>121</v>
      </c>
      <c r="O732" s="114">
        <v>215</v>
      </c>
      <c r="P732" s="114">
        <v>4122</v>
      </c>
      <c r="Q732" s="114">
        <v>27579</v>
      </c>
      <c r="R732" s="13" t="s">
        <v>25</v>
      </c>
      <c r="S732" s="13" t="s">
        <v>25</v>
      </c>
      <c r="T732" s="13" t="s">
        <v>25</v>
      </c>
    </row>
    <row r="733" spans="1:20" x14ac:dyDescent="0.3">
      <c r="A733" s="14">
        <v>43919.708333333336</v>
      </c>
      <c r="B733" s="13" t="s">
        <v>22</v>
      </c>
      <c r="C733" s="114">
        <v>4</v>
      </c>
      <c r="D733" s="13" t="s">
        <v>58</v>
      </c>
      <c r="E733" s="114">
        <v>4606893511</v>
      </c>
      <c r="F733" s="114">
        <v>1112123097</v>
      </c>
      <c r="G733" s="114">
        <v>356</v>
      </c>
      <c r="H733" s="114">
        <v>75</v>
      </c>
      <c r="I733" s="114">
        <v>431</v>
      </c>
      <c r="J733" s="114">
        <v>862</v>
      </c>
      <c r="K733" s="114">
        <v>1293</v>
      </c>
      <c r="L733" s="114">
        <v>59</v>
      </c>
      <c r="M733" s="114">
        <v>89</v>
      </c>
      <c r="N733" s="114">
        <v>172</v>
      </c>
      <c r="O733" s="114">
        <v>129</v>
      </c>
      <c r="P733" s="114">
        <v>1594</v>
      </c>
      <c r="Q733" s="114">
        <v>5950</v>
      </c>
      <c r="R733" s="13" t="s">
        <v>25</v>
      </c>
      <c r="S733" s="13" t="s">
        <v>25</v>
      </c>
      <c r="T733" s="13" t="s">
        <v>25</v>
      </c>
    </row>
    <row r="734" spans="1:20" x14ac:dyDescent="0.3">
      <c r="A734" s="14">
        <v>43919.708333333336</v>
      </c>
      <c r="B734" s="13" t="s">
        <v>22</v>
      </c>
      <c r="C734" s="114">
        <v>10</v>
      </c>
      <c r="D734" s="13" t="s">
        <v>59</v>
      </c>
      <c r="E734" s="114">
        <v>4310675841</v>
      </c>
      <c r="F734" s="114">
        <v>1238824698</v>
      </c>
      <c r="G734" s="114">
        <v>166</v>
      </c>
      <c r="H734" s="114">
        <v>46</v>
      </c>
      <c r="I734" s="114">
        <v>212</v>
      </c>
      <c r="J734" s="114">
        <v>685</v>
      </c>
      <c r="K734" s="114">
        <v>897</v>
      </c>
      <c r="L734" s="114">
        <v>-1</v>
      </c>
      <c r="M734" s="114">
        <v>54</v>
      </c>
      <c r="N734" s="114">
        <v>95</v>
      </c>
      <c r="O734" s="114">
        <v>31</v>
      </c>
      <c r="P734" s="114">
        <v>1023</v>
      </c>
      <c r="Q734" s="114">
        <v>7685</v>
      </c>
      <c r="R734" s="13" t="s">
        <v>25</v>
      </c>
      <c r="S734" s="13" t="s">
        <v>25</v>
      </c>
      <c r="T734" s="13" t="s">
        <v>25</v>
      </c>
    </row>
    <row r="735" spans="1:20" x14ac:dyDescent="0.3">
      <c r="A735" s="14">
        <v>43919.708333333336</v>
      </c>
      <c r="B735" s="13" t="s">
        <v>22</v>
      </c>
      <c r="C735" s="114">
        <v>2</v>
      </c>
      <c r="D735" s="13" t="s">
        <v>60</v>
      </c>
      <c r="E735" s="114">
        <v>4573750286</v>
      </c>
      <c r="F735" s="114">
        <v>7320149366</v>
      </c>
      <c r="G735" s="114">
        <v>90</v>
      </c>
      <c r="H735" s="114">
        <v>26</v>
      </c>
      <c r="I735" s="114">
        <v>116</v>
      </c>
      <c r="J735" s="114">
        <v>423</v>
      </c>
      <c r="K735" s="114">
        <v>539</v>
      </c>
      <c r="L735" s="114">
        <v>71</v>
      </c>
      <c r="M735" s="114">
        <v>73</v>
      </c>
      <c r="N735" s="114">
        <v>2</v>
      </c>
      <c r="O735" s="114">
        <v>43</v>
      </c>
      <c r="P735" s="114">
        <v>584</v>
      </c>
      <c r="Q735" s="114">
        <v>1480</v>
      </c>
      <c r="R735" s="13" t="s">
        <v>25</v>
      </c>
      <c r="S735" s="13" t="s">
        <v>25</v>
      </c>
      <c r="T735" s="13" t="s">
        <v>25</v>
      </c>
    </row>
    <row r="736" spans="1:20" x14ac:dyDescent="0.3">
      <c r="A736" s="14">
        <v>43919.708333333336</v>
      </c>
      <c r="B736" s="13" t="s">
        <v>22</v>
      </c>
      <c r="C736" s="114">
        <v>5</v>
      </c>
      <c r="D736" s="13" t="s">
        <v>61</v>
      </c>
      <c r="E736" s="114">
        <v>4543490485</v>
      </c>
      <c r="F736" s="114">
        <v>1233845213</v>
      </c>
      <c r="G736" s="114">
        <v>1586</v>
      </c>
      <c r="H736" s="114">
        <v>355</v>
      </c>
      <c r="I736" s="114">
        <v>1941</v>
      </c>
      <c r="J736" s="114">
        <v>5310</v>
      </c>
      <c r="K736" s="114">
        <v>7251</v>
      </c>
      <c r="L736" s="114">
        <v>338</v>
      </c>
      <c r="M736" s="114">
        <v>428</v>
      </c>
      <c r="N736" s="114">
        <v>715</v>
      </c>
      <c r="O736" s="114">
        <v>392</v>
      </c>
      <c r="P736" s="114">
        <v>8358</v>
      </c>
      <c r="Q736" s="114">
        <v>94784</v>
      </c>
      <c r="R736" s="13" t="s">
        <v>25</v>
      </c>
      <c r="S736" s="13" t="s">
        <v>25</v>
      </c>
      <c r="T736" s="13" t="s">
        <v>25</v>
      </c>
    </row>
    <row r="737" spans="1:20" x14ac:dyDescent="0.3">
      <c r="A737" s="14">
        <v>43920.708333333336</v>
      </c>
      <c r="B737" s="13" t="s">
        <v>22</v>
      </c>
      <c r="C737" s="114">
        <v>13</v>
      </c>
      <c r="D737" s="13" t="s">
        <v>42</v>
      </c>
      <c r="E737" s="114">
        <v>4235122196</v>
      </c>
      <c r="F737" s="114">
        <v>1339843823</v>
      </c>
      <c r="G737" s="114">
        <v>322</v>
      </c>
      <c r="H737" s="114">
        <v>69</v>
      </c>
      <c r="I737" s="114">
        <v>391</v>
      </c>
      <c r="J737" s="114">
        <v>778</v>
      </c>
      <c r="K737" s="114">
        <v>1169</v>
      </c>
      <c r="L737" s="114">
        <v>0</v>
      </c>
      <c r="M737" s="114">
        <v>52</v>
      </c>
      <c r="N737" s="114">
        <v>74</v>
      </c>
      <c r="O737" s="114">
        <v>102</v>
      </c>
      <c r="P737" s="114">
        <v>1345</v>
      </c>
      <c r="Q737" s="114">
        <v>7948</v>
      </c>
      <c r="R737" s="13" t="s">
        <v>25</v>
      </c>
      <c r="S737" s="13" t="s">
        <v>25</v>
      </c>
      <c r="T737" s="13" t="s">
        <v>25</v>
      </c>
    </row>
    <row r="738" spans="1:20" x14ac:dyDescent="0.3">
      <c r="A738" s="14">
        <v>43920.708333333336</v>
      </c>
      <c r="B738" s="13" t="s">
        <v>22</v>
      </c>
      <c r="C738" s="114">
        <v>17</v>
      </c>
      <c r="D738" s="13" t="s">
        <v>43</v>
      </c>
      <c r="E738" s="114">
        <v>4063947052</v>
      </c>
      <c r="F738" s="114">
        <v>1580514834</v>
      </c>
      <c r="G738" s="114">
        <v>36</v>
      </c>
      <c r="H738" s="114">
        <v>18</v>
      </c>
      <c r="I738" s="114">
        <v>54</v>
      </c>
      <c r="J738" s="114">
        <v>154</v>
      </c>
      <c r="K738" s="114">
        <v>208</v>
      </c>
      <c r="L738" s="114">
        <v>11</v>
      </c>
      <c r="M738" s="114">
        <v>12</v>
      </c>
      <c r="N738" s="114">
        <v>1</v>
      </c>
      <c r="O738" s="114">
        <v>5</v>
      </c>
      <c r="P738" s="114">
        <v>214</v>
      </c>
      <c r="Q738" s="114">
        <v>1833</v>
      </c>
      <c r="R738" s="13" t="s">
        <v>25</v>
      </c>
      <c r="S738" s="13" t="s">
        <v>25</v>
      </c>
      <c r="T738" s="13" t="s">
        <v>25</v>
      </c>
    </row>
    <row r="739" spans="1:20" x14ac:dyDescent="0.3">
      <c r="A739" s="14">
        <v>43920.708333333336</v>
      </c>
      <c r="B739" s="13" t="s">
        <v>22</v>
      </c>
      <c r="C739" s="114">
        <v>4</v>
      </c>
      <c r="D739" s="13" t="s">
        <v>44</v>
      </c>
      <c r="E739" s="114">
        <v>4649933453</v>
      </c>
      <c r="F739" s="114">
        <v>1135662422</v>
      </c>
      <c r="G739" s="114">
        <v>231</v>
      </c>
      <c r="H739" s="114">
        <v>62</v>
      </c>
      <c r="I739" s="114">
        <v>293</v>
      </c>
      <c r="J739" s="114">
        <v>805</v>
      </c>
      <c r="K739" s="114">
        <v>1098</v>
      </c>
      <c r="L739" s="114">
        <v>64</v>
      </c>
      <c r="M739" s="114">
        <v>111</v>
      </c>
      <c r="N739" s="114">
        <v>153</v>
      </c>
      <c r="O739" s="114">
        <v>74</v>
      </c>
      <c r="P739" s="114">
        <v>1325</v>
      </c>
      <c r="Q739" s="114">
        <v>10640</v>
      </c>
      <c r="R739" s="13" t="s">
        <v>25</v>
      </c>
      <c r="S739" s="13" t="s">
        <v>25</v>
      </c>
      <c r="T739" s="13" t="s">
        <v>25</v>
      </c>
    </row>
    <row r="740" spans="1:20" x14ac:dyDescent="0.3">
      <c r="A740" s="14">
        <v>43920.708333333336</v>
      </c>
      <c r="B740" s="13" t="s">
        <v>22</v>
      </c>
      <c r="C740" s="114">
        <v>18</v>
      </c>
      <c r="D740" s="13" t="s">
        <v>45</v>
      </c>
      <c r="E740" s="114">
        <v>3890597598</v>
      </c>
      <c r="F740" s="114">
        <v>1659440194</v>
      </c>
      <c r="G740" s="114">
        <v>130</v>
      </c>
      <c r="H740" s="114">
        <v>18</v>
      </c>
      <c r="I740" s="114">
        <v>148</v>
      </c>
      <c r="J740" s="114">
        <v>454</v>
      </c>
      <c r="K740" s="114">
        <v>602</v>
      </c>
      <c r="L740" s="114">
        <v>25</v>
      </c>
      <c r="M740" s="114">
        <v>33</v>
      </c>
      <c r="N740" s="114">
        <v>14</v>
      </c>
      <c r="O740" s="114">
        <v>31</v>
      </c>
      <c r="P740" s="114">
        <v>647</v>
      </c>
      <c r="Q740" s="114">
        <v>9013</v>
      </c>
      <c r="R740" s="13" t="s">
        <v>25</v>
      </c>
      <c r="S740" s="13" t="s">
        <v>25</v>
      </c>
      <c r="T740" s="13" t="s">
        <v>25</v>
      </c>
    </row>
    <row r="741" spans="1:20" x14ac:dyDescent="0.3">
      <c r="A741" s="14">
        <v>43920.708333333336</v>
      </c>
      <c r="B741" s="13" t="s">
        <v>22</v>
      </c>
      <c r="C741" s="114">
        <v>15</v>
      </c>
      <c r="D741" s="13" t="s">
        <v>46</v>
      </c>
      <c r="E741" s="114">
        <v>4083956555</v>
      </c>
      <c r="F741" s="114">
        <v>1425084984</v>
      </c>
      <c r="G741" s="114">
        <v>468</v>
      </c>
      <c r="H741" s="114">
        <v>126</v>
      </c>
      <c r="I741" s="114">
        <v>594</v>
      </c>
      <c r="J741" s="114">
        <v>1145</v>
      </c>
      <c r="K741" s="114">
        <v>1739</v>
      </c>
      <c r="L741" s="114">
        <v>183</v>
      </c>
      <c r="M741" s="114">
        <v>193</v>
      </c>
      <c r="N741" s="114">
        <v>88</v>
      </c>
      <c r="O741" s="114">
        <v>125</v>
      </c>
      <c r="P741" s="114">
        <v>1952</v>
      </c>
      <c r="Q741" s="114">
        <v>12969</v>
      </c>
      <c r="R741" s="13" t="s">
        <v>25</v>
      </c>
      <c r="S741" s="13" t="s">
        <v>25</v>
      </c>
      <c r="T741" s="13" t="s">
        <v>25</v>
      </c>
    </row>
    <row r="742" spans="1:20" x14ac:dyDescent="0.3">
      <c r="A742" s="14">
        <v>43920.708333333336</v>
      </c>
      <c r="B742" s="13" t="s">
        <v>22</v>
      </c>
      <c r="C742" s="114">
        <v>8</v>
      </c>
      <c r="D742" s="13" t="s">
        <v>96</v>
      </c>
      <c r="E742" s="114">
        <v>4449436681</v>
      </c>
      <c r="F742" s="114">
        <v>113417208</v>
      </c>
      <c r="G742" s="114">
        <v>3779</v>
      </c>
      <c r="H742" s="114">
        <v>351</v>
      </c>
      <c r="I742" s="114">
        <v>4130</v>
      </c>
      <c r="J742" s="114">
        <v>6636</v>
      </c>
      <c r="K742" s="114">
        <v>10766</v>
      </c>
      <c r="L742" s="114">
        <v>231</v>
      </c>
      <c r="M742" s="114">
        <v>412</v>
      </c>
      <c r="N742" s="114">
        <v>1227</v>
      </c>
      <c r="O742" s="114">
        <v>1538</v>
      </c>
      <c r="P742" s="114">
        <v>13531</v>
      </c>
      <c r="Q742" s="114">
        <v>50990</v>
      </c>
      <c r="R742" s="13" t="s">
        <v>25</v>
      </c>
      <c r="S742" s="13" t="s">
        <v>25</v>
      </c>
      <c r="T742" s="13" t="s">
        <v>25</v>
      </c>
    </row>
    <row r="743" spans="1:20" x14ac:dyDescent="0.3">
      <c r="A743" s="14">
        <v>43920.708333333336</v>
      </c>
      <c r="B743" s="13" t="s">
        <v>22</v>
      </c>
      <c r="C743" s="114">
        <v>6</v>
      </c>
      <c r="D743" s="13" t="s">
        <v>47</v>
      </c>
      <c r="E743" s="114">
        <v>456494354</v>
      </c>
      <c r="F743" s="114">
        <v>1376813649</v>
      </c>
      <c r="G743" s="114">
        <v>229</v>
      </c>
      <c r="H743" s="114">
        <v>60</v>
      </c>
      <c r="I743" s="114">
        <v>289</v>
      </c>
      <c r="J743" s="114">
        <v>820</v>
      </c>
      <c r="K743" s="114">
        <v>1109</v>
      </c>
      <c r="L743" s="114">
        <v>-32</v>
      </c>
      <c r="M743" s="114">
        <v>21</v>
      </c>
      <c r="N743" s="114">
        <v>285</v>
      </c>
      <c r="O743" s="114">
        <v>107</v>
      </c>
      <c r="P743" s="114">
        <v>1501</v>
      </c>
      <c r="Q743" s="114">
        <v>14003</v>
      </c>
      <c r="R743" s="13" t="s">
        <v>25</v>
      </c>
      <c r="S743" s="13" t="s">
        <v>25</v>
      </c>
      <c r="T743" s="13" t="s">
        <v>25</v>
      </c>
    </row>
    <row r="744" spans="1:20" x14ac:dyDescent="0.3">
      <c r="A744" s="14">
        <v>43920.708333333336</v>
      </c>
      <c r="B744" s="13" t="s">
        <v>22</v>
      </c>
      <c r="C744" s="114">
        <v>12</v>
      </c>
      <c r="D744" s="13" t="s">
        <v>48</v>
      </c>
      <c r="E744" s="114">
        <v>4189277044</v>
      </c>
      <c r="F744" s="114">
        <v>1248366722</v>
      </c>
      <c r="G744" s="114">
        <v>1079</v>
      </c>
      <c r="H744" s="114">
        <v>154</v>
      </c>
      <c r="I744" s="114">
        <v>1233</v>
      </c>
      <c r="J744" s="114">
        <v>1264</v>
      </c>
      <c r="K744" s="114">
        <v>2497</v>
      </c>
      <c r="L744" s="114">
        <v>135</v>
      </c>
      <c r="M744" s="114">
        <v>208</v>
      </c>
      <c r="N744" s="114">
        <v>267</v>
      </c>
      <c r="O744" s="114">
        <v>150</v>
      </c>
      <c r="P744" s="114">
        <v>2914</v>
      </c>
      <c r="Q744" s="114">
        <v>32846</v>
      </c>
      <c r="R744" s="13" t="s">
        <v>25</v>
      </c>
      <c r="S744" s="13" t="s">
        <v>25</v>
      </c>
      <c r="T744" s="13" t="s">
        <v>25</v>
      </c>
    </row>
    <row r="745" spans="1:20" x14ac:dyDescent="0.3">
      <c r="A745" s="14">
        <v>43920.708333333336</v>
      </c>
      <c r="B745" s="13" t="s">
        <v>22</v>
      </c>
      <c r="C745" s="114">
        <v>7</v>
      </c>
      <c r="D745" s="13" t="s">
        <v>49</v>
      </c>
      <c r="E745" s="114">
        <v>4441149315</v>
      </c>
      <c r="F745" s="114">
        <v>89326992</v>
      </c>
      <c r="G745" s="114">
        <v>1142</v>
      </c>
      <c r="H745" s="114">
        <v>175</v>
      </c>
      <c r="I745" s="114">
        <v>1317</v>
      </c>
      <c r="J745" s="114">
        <v>1066</v>
      </c>
      <c r="K745" s="114">
        <v>2383</v>
      </c>
      <c r="L745" s="114">
        <v>104</v>
      </c>
      <c r="M745" s="114">
        <v>141</v>
      </c>
      <c r="N745" s="114">
        <v>437</v>
      </c>
      <c r="O745" s="114">
        <v>397</v>
      </c>
      <c r="P745" s="114">
        <v>3217</v>
      </c>
      <c r="Q745" s="114">
        <v>9677</v>
      </c>
      <c r="R745" s="13" t="s">
        <v>25</v>
      </c>
      <c r="S745" s="13" t="s">
        <v>25</v>
      </c>
      <c r="T745" s="13" t="s">
        <v>25</v>
      </c>
    </row>
    <row r="746" spans="1:20" x14ac:dyDescent="0.3">
      <c r="A746" s="14">
        <v>43920.708333333336</v>
      </c>
      <c r="B746" s="13" t="s">
        <v>22</v>
      </c>
      <c r="C746" s="114">
        <v>3</v>
      </c>
      <c r="D746" s="13" t="s">
        <v>50</v>
      </c>
      <c r="E746" s="114">
        <v>4546679409</v>
      </c>
      <c r="F746" s="114">
        <v>9190347404</v>
      </c>
      <c r="G746" s="114">
        <v>11815</v>
      </c>
      <c r="H746" s="114">
        <v>1330</v>
      </c>
      <c r="I746" s="114">
        <v>13145</v>
      </c>
      <c r="J746" s="114">
        <v>11861</v>
      </c>
      <c r="K746" s="114">
        <v>25006</v>
      </c>
      <c r="L746" s="114">
        <v>-386</v>
      </c>
      <c r="M746" s="114">
        <v>1154</v>
      </c>
      <c r="N746" s="114">
        <v>10337</v>
      </c>
      <c r="O746" s="114">
        <v>6818</v>
      </c>
      <c r="P746" s="114">
        <v>42161</v>
      </c>
      <c r="Q746" s="114">
        <v>111057</v>
      </c>
      <c r="R746" s="13" t="s">
        <v>25</v>
      </c>
      <c r="S746" s="13" t="s">
        <v>25</v>
      </c>
      <c r="T746" s="13" t="s">
        <v>25</v>
      </c>
    </row>
    <row r="747" spans="1:20" x14ac:dyDescent="0.3">
      <c r="A747" s="14">
        <v>43920.708333333336</v>
      </c>
      <c r="B747" s="13" t="s">
        <v>22</v>
      </c>
      <c r="C747" s="114">
        <v>11</v>
      </c>
      <c r="D747" s="13" t="s">
        <v>51</v>
      </c>
      <c r="E747" s="114">
        <v>4361675973</v>
      </c>
      <c r="F747" s="114">
        <v>135188753</v>
      </c>
      <c r="G747" s="114">
        <v>998</v>
      </c>
      <c r="H747" s="114">
        <v>167</v>
      </c>
      <c r="I747" s="114">
        <v>1165</v>
      </c>
      <c r="J747" s="114">
        <v>2086</v>
      </c>
      <c r="K747" s="114">
        <v>3251</v>
      </c>
      <c r="L747" s="114">
        <v>91</v>
      </c>
      <c r="M747" s="114">
        <v>126</v>
      </c>
      <c r="N747" s="114">
        <v>16</v>
      </c>
      <c r="O747" s="114">
        <v>417</v>
      </c>
      <c r="P747" s="114">
        <v>3684</v>
      </c>
      <c r="Q747" s="114">
        <v>10979</v>
      </c>
      <c r="R747" s="13" t="s">
        <v>25</v>
      </c>
      <c r="S747" s="13" t="s">
        <v>25</v>
      </c>
      <c r="T747" s="13" t="s">
        <v>25</v>
      </c>
    </row>
    <row r="748" spans="1:20" x14ac:dyDescent="0.3">
      <c r="A748" s="14">
        <v>43920.708333333336</v>
      </c>
      <c r="B748" s="13" t="s">
        <v>22</v>
      </c>
      <c r="C748" s="114">
        <v>14</v>
      </c>
      <c r="D748" s="13" t="s">
        <v>52</v>
      </c>
      <c r="E748" s="114">
        <v>4155774754</v>
      </c>
      <c r="F748" s="114">
        <v>1465916051</v>
      </c>
      <c r="G748" s="114">
        <v>27</v>
      </c>
      <c r="H748" s="114">
        <v>8</v>
      </c>
      <c r="I748" s="114">
        <v>35</v>
      </c>
      <c r="J748" s="114">
        <v>72</v>
      </c>
      <c r="K748" s="114">
        <v>107</v>
      </c>
      <c r="L748" s="114">
        <v>7</v>
      </c>
      <c r="M748" s="114">
        <v>7</v>
      </c>
      <c r="N748" s="114">
        <v>18</v>
      </c>
      <c r="O748" s="114">
        <v>9</v>
      </c>
      <c r="P748" s="114">
        <v>134</v>
      </c>
      <c r="Q748" s="114">
        <v>955</v>
      </c>
      <c r="R748" s="13" t="s">
        <v>25</v>
      </c>
      <c r="S748" s="13" t="s">
        <v>25</v>
      </c>
      <c r="T748" s="13" t="s">
        <v>25</v>
      </c>
    </row>
    <row r="749" spans="1:20" x14ac:dyDescent="0.3">
      <c r="A749" s="14">
        <v>43920.708333333336</v>
      </c>
      <c r="B749" s="13" t="s">
        <v>22</v>
      </c>
      <c r="C749" s="114">
        <v>1</v>
      </c>
      <c r="D749" s="13" t="s">
        <v>53</v>
      </c>
      <c r="E749" s="114">
        <v>450732745</v>
      </c>
      <c r="F749" s="114">
        <v>7680687483</v>
      </c>
      <c r="G749" s="114">
        <v>2985</v>
      </c>
      <c r="H749" s="114">
        <v>452</v>
      </c>
      <c r="I749" s="114">
        <v>3437</v>
      </c>
      <c r="J749" s="114">
        <v>4218</v>
      </c>
      <c r="K749" s="114">
        <v>7655</v>
      </c>
      <c r="L749" s="114">
        <v>387</v>
      </c>
      <c r="M749" s="114">
        <v>506</v>
      </c>
      <c r="N749" s="114">
        <v>308</v>
      </c>
      <c r="O749" s="114">
        <v>749</v>
      </c>
      <c r="P749" s="114">
        <v>8712</v>
      </c>
      <c r="Q749" s="114">
        <v>25478</v>
      </c>
      <c r="R749" s="13" t="s">
        <v>25</v>
      </c>
      <c r="S749" s="13" t="s">
        <v>25</v>
      </c>
      <c r="T749" s="13" t="s">
        <v>25</v>
      </c>
    </row>
    <row r="750" spans="1:20" x14ac:dyDescent="0.3">
      <c r="A750" s="14">
        <v>43920.708333333336</v>
      </c>
      <c r="B750" s="13" t="s">
        <v>22</v>
      </c>
      <c r="C750" s="114">
        <v>16</v>
      </c>
      <c r="D750" s="13" t="s">
        <v>54</v>
      </c>
      <c r="E750" s="114">
        <v>4112559576</v>
      </c>
      <c r="F750" s="114">
        <v>1686736689</v>
      </c>
      <c r="G750" s="114">
        <v>590</v>
      </c>
      <c r="H750" s="114">
        <v>106</v>
      </c>
      <c r="I750" s="114">
        <v>696</v>
      </c>
      <c r="J750" s="114">
        <v>889</v>
      </c>
      <c r="K750" s="114">
        <v>1585</v>
      </c>
      <c r="L750" s="114">
        <v>153</v>
      </c>
      <c r="M750" s="114">
        <v>163</v>
      </c>
      <c r="N750" s="114">
        <v>36</v>
      </c>
      <c r="O750" s="114">
        <v>91</v>
      </c>
      <c r="P750" s="114">
        <v>1712</v>
      </c>
      <c r="Q750" s="114">
        <v>13117</v>
      </c>
      <c r="R750" s="13" t="s">
        <v>25</v>
      </c>
      <c r="S750" s="13" t="s">
        <v>25</v>
      </c>
      <c r="T750" s="13" t="s">
        <v>25</v>
      </c>
    </row>
    <row r="751" spans="1:20" x14ac:dyDescent="0.3">
      <c r="A751" s="14">
        <v>43920.708333333336</v>
      </c>
      <c r="B751" s="13" t="s">
        <v>22</v>
      </c>
      <c r="C751" s="114">
        <v>20</v>
      </c>
      <c r="D751" s="13" t="s">
        <v>55</v>
      </c>
      <c r="E751" s="114">
        <v>3921531192</v>
      </c>
      <c r="F751" s="114">
        <v>9110616306</v>
      </c>
      <c r="G751" s="114">
        <v>113</v>
      </c>
      <c r="H751" s="114">
        <v>24</v>
      </c>
      <c r="I751" s="114">
        <v>137</v>
      </c>
      <c r="J751" s="114">
        <v>485</v>
      </c>
      <c r="K751" s="114">
        <v>622</v>
      </c>
      <c r="L751" s="114">
        <v>40</v>
      </c>
      <c r="M751" s="114">
        <v>44</v>
      </c>
      <c r="N751" s="114">
        <v>32</v>
      </c>
      <c r="O751" s="114">
        <v>28</v>
      </c>
      <c r="P751" s="114">
        <v>682</v>
      </c>
      <c r="Q751" s="114">
        <v>4993</v>
      </c>
      <c r="R751" s="13" t="s">
        <v>25</v>
      </c>
      <c r="S751" s="13" t="s">
        <v>25</v>
      </c>
      <c r="T751" s="13" t="s">
        <v>25</v>
      </c>
    </row>
    <row r="752" spans="1:20" x14ac:dyDescent="0.3">
      <c r="A752" s="14">
        <v>43920.708333333336</v>
      </c>
      <c r="B752" s="13" t="s">
        <v>22</v>
      </c>
      <c r="C752" s="114">
        <v>19</v>
      </c>
      <c r="D752" s="13" t="s">
        <v>56</v>
      </c>
      <c r="E752" s="114">
        <v>3811569725</v>
      </c>
      <c r="F752" s="114">
        <v>133623567</v>
      </c>
      <c r="G752" s="114">
        <v>484</v>
      </c>
      <c r="H752" s="114">
        <v>75</v>
      </c>
      <c r="I752" s="114">
        <v>559</v>
      </c>
      <c r="J752" s="114">
        <v>849</v>
      </c>
      <c r="K752" s="114">
        <v>1408</v>
      </c>
      <c r="L752" s="114">
        <v>78</v>
      </c>
      <c r="M752" s="114">
        <v>95</v>
      </c>
      <c r="N752" s="114">
        <v>71</v>
      </c>
      <c r="O752" s="114">
        <v>76</v>
      </c>
      <c r="P752" s="114">
        <v>1555</v>
      </c>
      <c r="Q752" s="114">
        <v>14758</v>
      </c>
      <c r="R752" s="13" t="s">
        <v>25</v>
      </c>
      <c r="S752" s="13" t="s">
        <v>25</v>
      </c>
      <c r="T752" s="13" t="s">
        <v>25</v>
      </c>
    </row>
    <row r="753" spans="1:20" x14ac:dyDescent="0.3">
      <c r="A753" s="14">
        <v>43920.708333333336</v>
      </c>
      <c r="B753" s="13" t="s">
        <v>22</v>
      </c>
      <c r="C753" s="114">
        <v>9</v>
      </c>
      <c r="D753" s="13" t="s">
        <v>57</v>
      </c>
      <c r="E753" s="114">
        <v>4376923077</v>
      </c>
      <c r="F753" s="114">
        <v>1125588885</v>
      </c>
      <c r="G753" s="114">
        <v>1116</v>
      </c>
      <c r="H753" s="114">
        <v>279</v>
      </c>
      <c r="I753" s="114">
        <v>1395</v>
      </c>
      <c r="J753" s="114">
        <v>2655</v>
      </c>
      <c r="K753" s="114">
        <v>4050</v>
      </c>
      <c r="L753" s="114">
        <v>264</v>
      </c>
      <c r="M753" s="114">
        <v>290</v>
      </c>
      <c r="N753" s="114">
        <v>131</v>
      </c>
      <c r="O753" s="114">
        <v>231</v>
      </c>
      <c r="P753" s="114">
        <v>4412</v>
      </c>
      <c r="Q753" s="114">
        <v>30099</v>
      </c>
      <c r="R753" s="13" t="s">
        <v>25</v>
      </c>
      <c r="S753" s="13" t="s">
        <v>25</v>
      </c>
      <c r="T753" s="13" t="s">
        <v>25</v>
      </c>
    </row>
    <row r="754" spans="1:20" x14ac:dyDescent="0.3">
      <c r="A754" s="14">
        <v>43920.708333333336</v>
      </c>
      <c r="B754" s="13" t="s">
        <v>22</v>
      </c>
      <c r="C754" s="114">
        <v>4</v>
      </c>
      <c r="D754" s="13" t="s">
        <v>58</v>
      </c>
      <c r="E754" s="114">
        <v>4606893511</v>
      </c>
      <c r="F754" s="114">
        <v>1112123097</v>
      </c>
      <c r="G754" s="114">
        <v>353</v>
      </c>
      <c r="H754" s="114">
        <v>78</v>
      </c>
      <c r="I754" s="114">
        <v>431</v>
      </c>
      <c r="J754" s="114">
        <v>926</v>
      </c>
      <c r="K754" s="114">
        <v>1357</v>
      </c>
      <c r="L754" s="114">
        <v>64</v>
      </c>
      <c r="M754" s="114">
        <v>88</v>
      </c>
      <c r="N754" s="114">
        <v>178</v>
      </c>
      <c r="O754" s="114">
        <v>147</v>
      </c>
      <c r="P754" s="114">
        <v>1682</v>
      </c>
      <c r="Q754" s="114">
        <v>6377</v>
      </c>
      <c r="R754" s="13" t="s">
        <v>25</v>
      </c>
      <c r="S754" s="13" t="s">
        <v>25</v>
      </c>
      <c r="T754" s="13" t="s">
        <v>25</v>
      </c>
    </row>
    <row r="755" spans="1:20" x14ac:dyDescent="0.3">
      <c r="A755" s="14">
        <v>43920.708333333336</v>
      </c>
      <c r="B755" s="13" t="s">
        <v>22</v>
      </c>
      <c r="C755" s="114">
        <v>10</v>
      </c>
      <c r="D755" s="13" t="s">
        <v>59</v>
      </c>
      <c r="E755" s="114">
        <v>4310675841</v>
      </c>
      <c r="F755" s="114">
        <v>1238824698</v>
      </c>
      <c r="G755" s="114">
        <v>173</v>
      </c>
      <c r="H755" s="114">
        <v>47</v>
      </c>
      <c r="I755" s="114">
        <v>220</v>
      </c>
      <c r="J755" s="114">
        <v>614</v>
      </c>
      <c r="K755" s="114">
        <v>834</v>
      </c>
      <c r="L755" s="114">
        <v>-63</v>
      </c>
      <c r="M755" s="114">
        <v>28</v>
      </c>
      <c r="N755" s="114">
        <v>184</v>
      </c>
      <c r="O755" s="114">
        <v>33</v>
      </c>
      <c r="P755" s="114">
        <v>1051</v>
      </c>
      <c r="Q755" s="114">
        <v>8150</v>
      </c>
      <c r="R755" s="13" t="s">
        <v>25</v>
      </c>
      <c r="S755" s="13" t="s">
        <v>25</v>
      </c>
      <c r="T755" s="13" t="s">
        <v>25</v>
      </c>
    </row>
    <row r="756" spans="1:20" x14ac:dyDescent="0.3">
      <c r="A756" s="14">
        <v>43920.708333333336</v>
      </c>
      <c r="B756" s="13" t="s">
        <v>22</v>
      </c>
      <c r="C756" s="114">
        <v>2</v>
      </c>
      <c r="D756" s="13" t="s">
        <v>60</v>
      </c>
      <c r="E756" s="114">
        <v>4573750286</v>
      </c>
      <c r="F756" s="114">
        <v>7320149366</v>
      </c>
      <c r="G756" s="114">
        <v>92</v>
      </c>
      <c r="H756" s="114">
        <v>26</v>
      </c>
      <c r="I756" s="114">
        <v>118</v>
      </c>
      <c r="J756" s="114">
        <v>400</v>
      </c>
      <c r="K756" s="114">
        <v>518</v>
      </c>
      <c r="L756" s="114">
        <v>-21</v>
      </c>
      <c r="M756" s="114">
        <v>0</v>
      </c>
      <c r="N756" s="114">
        <v>16</v>
      </c>
      <c r="O756" s="114">
        <v>50</v>
      </c>
      <c r="P756" s="114">
        <v>584</v>
      </c>
      <c r="Q756" s="114">
        <v>1536</v>
      </c>
      <c r="R756" s="13" t="s">
        <v>25</v>
      </c>
      <c r="S756" s="13" t="s">
        <v>25</v>
      </c>
      <c r="T756" s="13" t="s">
        <v>25</v>
      </c>
    </row>
    <row r="757" spans="1:20" x14ac:dyDescent="0.3">
      <c r="A757" s="14">
        <v>43920.708333333336</v>
      </c>
      <c r="B757" s="13" t="s">
        <v>22</v>
      </c>
      <c r="C757" s="114">
        <v>5</v>
      </c>
      <c r="D757" s="13" t="s">
        <v>61</v>
      </c>
      <c r="E757" s="114">
        <v>4543490485</v>
      </c>
      <c r="F757" s="114">
        <v>1233845213</v>
      </c>
      <c r="G757" s="114">
        <v>1633</v>
      </c>
      <c r="H757" s="114">
        <v>356</v>
      </c>
      <c r="I757" s="114">
        <v>1989</v>
      </c>
      <c r="J757" s="114">
        <v>5575</v>
      </c>
      <c r="K757" s="114">
        <v>7564</v>
      </c>
      <c r="L757" s="114">
        <v>313</v>
      </c>
      <c r="M757" s="114">
        <v>366</v>
      </c>
      <c r="N757" s="114">
        <v>747</v>
      </c>
      <c r="O757" s="114">
        <v>413</v>
      </c>
      <c r="P757" s="114">
        <v>8724</v>
      </c>
      <c r="Q757" s="114">
        <v>99941</v>
      </c>
      <c r="R757" s="13" t="s">
        <v>25</v>
      </c>
      <c r="S757" s="13" t="s">
        <v>25</v>
      </c>
      <c r="T757" s="13" t="s">
        <v>25</v>
      </c>
    </row>
    <row r="758" spans="1:20" x14ac:dyDescent="0.3">
      <c r="A758" s="14">
        <v>43921.708333333336</v>
      </c>
      <c r="B758" s="13" t="s">
        <v>22</v>
      </c>
      <c r="C758" s="114">
        <v>13</v>
      </c>
      <c r="D758" s="13" t="s">
        <v>42</v>
      </c>
      <c r="E758" s="114">
        <v>4235122196</v>
      </c>
      <c r="F758" s="114">
        <v>1339843823</v>
      </c>
      <c r="G758" s="114">
        <v>335</v>
      </c>
      <c r="H758" s="114">
        <v>73</v>
      </c>
      <c r="I758" s="114">
        <v>408</v>
      </c>
      <c r="J758" s="114">
        <v>783</v>
      </c>
      <c r="K758" s="114">
        <v>1191</v>
      </c>
      <c r="L758" s="114">
        <v>22</v>
      </c>
      <c r="M758" s="114">
        <v>56</v>
      </c>
      <c r="N758" s="114">
        <v>95</v>
      </c>
      <c r="O758" s="114">
        <v>115</v>
      </c>
      <c r="P758" s="114">
        <v>1401</v>
      </c>
      <c r="Q758" s="114">
        <v>8758</v>
      </c>
      <c r="R758" s="13" t="s">
        <v>25</v>
      </c>
      <c r="S758" s="13" t="s">
        <v>25</v>
      </c>
      <c r="T758" s="13" t="s">
        <v>25</v>
      </c>
    </row>
    <row r="759" spans="1:20" x14ac:dyDescent="0.3">
      <c r="A759" s="14">
        <v>43921.708333333336</v>
      </c>
      <c r="B759" s="13" t="s">
        <v>22</v>
      </c>
      <c r="C759" s="114">
        <v>17</v>
      </c>
      <c r="D759" s="13" t="s">
        <v>43</v>
      </c>
      <c r="E759" s="114">
        <v>4063947052</v>
      </c>
      <c r="F759" s="114">
        <v>1580514834</v>
      </c>
      <c r="G759" s="114">
        <v>37</v>
      </c>
      <c r="H759" s="114">
        <v>17</v>
      </c>
      <c r="I759" s="114">
        <v>54</v>
      </c>
      <c r="J759" s="114">
        <v>162</v>
      </c>
      <c r="K759" s="114">
        <v>216</v>
      </c>
      <c r="L759" s="114">
        <v>8</v>
      </c>
      <c r="M759" s="114">
        <v>12</v>
      </c>
      <c r="N759" s="114">
        <v>3</v>
      </c>
      <c r="O759" s="114">
        <v>7</v>
      </c>
      <c r="P759" s="114">
        <v>226</v>
      </c>
      <c r="Q759" s="114">
        <v>2043</v>
      </c>
      <c r="R759" s="13" t="s">
        <v>25</v>
      </c>
      <c r="S759" s="13" t="s">
        <v>25</v>
      </c>
      <c r="T759" s="13" t="s">
        <v>25</v>
      </c>
    </row>
    <row r="760" spans="1:20" x14ac:dyDescent="0.3">
      <c r="A760" s="14">
        <v>43921.708333333336</v>
      </c>
      <c r="B760" s="13" t="s">
        <v>22</v>
      </c>
      <c r="C760" s="114">
        <v>4</v>
      </c>
      <c r="D760" s="13" t="s">
        <v>44</v>
      </c>
      <c r="E760" s="114">
        <v>4649933453</v>
      </c>
      <c r="F760" s="114">
        <v>1135662422</v>
      </c>
      <c r="G760" s="114">
        <v>249</v>
      </c>
      <c r="H760" s="114">
        <v>62</v>
      </c>
      <c r="I760" s="114">
        <v>311</v>
      </c>
      <c r="J760" s="114">
        <v>831</v>
      </c>
      <c r="K760" s="114">
        <v>1142</v>
      </c>
      <c r="L760" s="114">
        <v>44</v>
      </c>
      <c r="M760" s="114">
        <v>46</v>
      </c>
      <c r="N760" s="114">
        <v>153</v>
      </c>
      <c r="O760" s="114">
        <v>76</v>
      </c>
      <c r="P760" s="114">
        <v>1371</v>
      </c>
      <c r="Q760" s="114">
        <v>11275</v>
      </c>
      <c r="R760" s="13" t="s">
        <v>25</v>
      </c>
      <c r="S760" s="13" t="s">
        <v>25</v>
      </c>
      <c r="T760" s="13" t="s">
        <v>25</v>
      </c>
    </row>
    <row r="761" spans="1:20" x14ac:dyDescent="0.3">
      <c r="A761" s="14">
        <v>43921.708333333336</v>
      </c>
      <c r="B761" s="13" t="s">
        <v>22</v>
      </c>
      <c r="C761" s="114">
        <v>18</v>
      </c>
      <c r="D761" s="13" t="s">
        <v>45</v>
      </c>
      <c r="E761" s="114">
        <v>3890597598</v>
      </c>
      <c r="F761" s="114">
        <v>1659440194</v>
      </c>
      <c r="G761" s="114">
        <v>132</v>
      </c>
      <c r="H761" s="114">
        <v>17</v>
      </c>
      <c r="I761" s="114">
        <v>149</v>
      </c>
      <c r="J761" s="114">
        <v>457</v>
      </c>
      <c r="K761" s="114">
        <v>606</v>
      </c>
      <c r="L761" s="114">
        <v>4</v>
      </c>
      <c r="M761" s="114">
        <v>12</v>
      </c>
      <c r="N761" s="114">
        <v>17</v>
      </c>
      <c r="O761" s="114">
        <v>36</v>
      </c>
      <c r="P761" s="114">
        <v>659</v>
      </c>
      <c r="Q761" s="114">
        <v>9327</v>
      </c>
      <c r="R761" s="13" t="s">
        <v>25</v>
      </c>
      <c r="S761" s="13" t="s">
        <v>25</v>
      </c>
      <c r="T761" s="13" t="s">
        <v>25</v>
      </c>
    </row>
    <row r="762" spans="1:20" x14ac:dyDescent="0.3">
      <c r="A762" s="14">
        <v>43921.708333333336</v>
      </c>
      <c r="B762" s="13" t="s">
        <v>22</v>
      </c>
      <c r="C762" s="114">
        <v>15</v>
      </c>
      <c r="D762" s="13" t="s">
        <v>46</v>
      </c>
      <c r="E762" s="114">
        <v>4083956555</v>
      </c>
      <c r="F762" s="114">
        <v>1425084984</v>
      </c>
      <c r="G762" s="114">
        <v>501</v>
      </c>
      <c r="H762" s="114">
        <v>133</v>
      </c>
      <c r="I762" s="114">
        <v>634</v>
      </c>
      <c r="J762" s="114">
        <v>1237</v>
      </c>
      <c r="K762" s="114">
        <v>1871</v>
      </c>
      <c r="L762" s="114">
        <v>132</v>
      </c>
      <c r="M762" s="114">
        <v>140</v>
      </c>
      <c r="N762" s="114">
        <v>88</v>
      </c>
      <c r="O762" s="114">
        <v>133</v>
      </c>
      <c r="P762" s="114">
        <v>2092</v>
      </c>
      <c r="Q762" s="114">
        <v>14403</v>
      </c>
      <c r="R762" s="13" t="s">
        <v>25</v>
      </c>
      <c r="S762" s="13" t="s">
        <v>25</v>
      </c>
      <c r="T762" s="13" t="s">
        <v>25</v>
      </c>
    </row>
    <row r="763" spans="1:20" x14ac:dyDescent="0.3">
      <c r="A763" s="14">
        <v>43921.708333333336</v>
      </c>
      <c r="B763" s="13" t="s">
        <v>22</v>
      </c>
      <c r="C763" s="114">
        <v>8</v>
      </c>
      <c r="D763" s="13" t="s">
        <v>96</v>
      </c>
      <c r="E763" s="114">
        <v>4449436681</v>
      </c>
      <c r="F763" s="114">
        <v>113417208</v>
      </c>
      <c r="G763" s="114">
        <v>3765</v>
      </c>
      <c r="H763" s="114">
        <v>353</v>
      </c>
      <c r="I763" s="114">
        <v>4118</v>
      </c>
      <c r="J763" s="114">
        <v>6835</v>
      </c>
      <c r="K763" s="114">
        <v>10953</v>
      </c>
      <c r="L763" s="114">
        <v>187</v>
      </c>
      <c r="M763" s="114">
        <v>543</v>
      </c>
      <c r="N763" s="114">
        <v>1477</v>
      </c>
      <c r="O763" s="114">
        <v>1644</v>
      </c>
      <c r="P763" s="114">
        <v>14074</v>
      </c>
      <c r="Q763" s="114">
        <v>54532</v>
      </c>
      <c r="R763" s="13" t="s">
        <v>25</v>
      </c>
      <c r="S763" s="13" t="s">
        <v>25</v>
      </c>
      <c r="T763" s="13" t="s">
        <v>25</v>
      </c>
    </row>
    <row r="764" spans="1:20" x14ac:dyDescent="0.3">
      <c r="A764" s="14">
        <v>43921.708333333336</v>
      </c>
      <c r="B764" s="13" t="s">
        <v>22</v>
      </c>
      <c r="C764" s="114">
        <v>6</v>
      </c>
      <c r="D764" s="13" t="s">
        <v>47</v>
      </c>
      <c r="E764" s="114">
        <v>456494354</v>
      </c>
      <c r="F764" s="114">
        <v>1376813649</v>
      </c>
      <c r="G764" s="114">
        <v>215</v>
      </c>
      <c r="H764" s="114">
        <v>60</v>
      </c>
      <c r="I764" s="114">
        <v>275</v>
      </c>
      <c r="J764" s="114">
        <v>885</v>
      </c>
      <c r="K764" s="114">
        <v>1160</v>
      </c>
      <c r="L764" s="114">
        <v>51</v>
      </c>
      <c r="M764" s="114">
        <v>92</v>
      </c>
      <c r="N764" s="114">
        <v>320</v>
      </c>
      <c r="O764" s="114">
        <v>113</v>
      </c>
      <c r="P764" s="114">
        <v>1593</v>
      </c>
      <c r="Q764" s="114">
        <v>14899</v>
      </c>
      <c r="R764" s="13" t="s">
        <v>25</v>
      </c>
      <c r="S764" s="13" t="s">
        <v>25</v>
      </c>
      <c r="T764" s="13" t="s">
        <v>25</v>
      </c>
    </row>
    <row r="765" spans="1:20" x14ac:dyDescent="0.3">
      <c r="A765" s="14">
        <v>43921.708333333336</v>
      </c>
      <c r="B765" s="13" t="s">
        <v>22</v>
      </c>
      <c r="C765" s="114">
        <v>12</v>
      </c>
      <c r="D765" s="13" t="s">
        <v>48</v>
      </c>
      <c r="E765" s="114">
        <v>4189277044</v>
      </c>
      <c r="F765" s="114">
        <v>1248366722</v>
      </c>
      <c r="G765" s="114">
        <v>1127</v>
      </c>
      <c r="H765" s="114">
        <v>173</v>
      </c>
      <c r="I765" s="114">
        <v>1300</v>
      </c>
      <c r="J765" s="114">
        <v>1342</v>
      </c>
      <c r="K765" s="114">
        <v>2642</v>
      </c>
      <c r="L765" s="114">
        <v>145</v>
      </c>
      <c r="M765" s="114">
        <v>181</v>
      </c>
      <c r="N765" s="114">
        <v>291</v>
      </c>
      <c r="O765" s="114">
        <v>162</v>
      </c>
      <c r="P765" s="114">
        <v>3095</v>
      </c>
      <c r="Q765" s="114">
        <v>34677</v>
      </c>
      <c r="R765" s="13" t="s">
        <v>25</v>
      </c>
      <c r="S765" s="13" t="s">
        <v>25</v>
      </c>
      <c r="T765" s="13" t="s">
        <v>25</v>
      </c>
    </row>
    <row r="766" spans="1:20" x14ac:dyDescent="0.3">
      <c r="A766" s="14">
        <v>43921.708333333336</v>
      </c>
      <c r="B766" s="13" t="s">
        <v>22</v>
      </c>
      <c r="C766" s="114">
        <v>7</v>
      </c>
      <c r="D766" s="13" t="s">
        <v>49</v>
      </c>
      <c r="E766" s="114">
        <v>4441149315</v>
      </c>
      <c r="F766" s="114">
        <v>89326992</v>
      </c>
      <c r="G766" s="114">
        <v>1153</v>
      </c>
      <c r="H766" s="114">
        <v>179</v>
      </c>
      <c r="I766" s="114">
        <v>1332</v>
      </c>
      <c r="J766" s="114">
        <v>1176</v>
      </c>
      <c r="K766" s="114">
        <v>2508</v>
      </c>
      <c r="L766" s="114">
        <v>125</v>
      </c>
      <c r="M766" s="114">
        <v>199</v>
      </c>
      <c r="N766" s="114">
        <v>480</v>
      </c>
      <c r="O766" s="114">
        <v>428</v>
      </c>
      <c r="P766" s="114">
        <v>3416</v>
      </c>
      <c r="Q766" s="114">
        <v>10376</v>
      </c>
      <c r="R766" s="13" t="s">
        <v>25</v>
      </c>
      <c r="S766" s="13" t="s">
        <v>25</v>
      </c>
      <c r="T766" s="13" t="s">
        <v>25</v>
      </c>
    </row>
    <row r="767" spans="1:20" x14ac:dyDescent="0.3">
      <c r="A767" s="14">
        <v>43921.708333333336</v>
      </c>
      <c r="B767" s="13" t="s">
        <v>22</v>
      </c>
      <c r="C767" s="114">
        <v>3</v>
      </c>
      <c r="D767" s="13" t="s">
        <v>50</v>
      </c>
      <c r="E767" s="114">
        <v>4546679409</v>
      </c>
      <c r="F767" s="114">
        <v>9190347404</v>
      </c>
      <c r="G767" s="114">
        <v>11883</v>
      </c>
      <c r="H767" s="114">
        <v>1324</v>
      </c>
      <c r="I767" s="114">
        <v>13207</v>
      </c>
      <c r="J767" s="114">
        <v>11917</v>
      </c>
      <c r="K767" s="114">
        <v>25124</v>
      </c>
      <c r="L767" s="114">
        <v>118</v>
      </c>
      <c r="M767" s="114">
        <v>1047</v>
      </c>
      <c r="N767" s="114">
        <v>10885</v>
      </c>
      <c r="O767" s="114">
        <v>7199</v>
      </c>
      <c r="P767" s="114">
        <v>43208</v>
      </c>
      <c r="Q767" s="114">
        <v>114640</v>
      </c>
      <c r="R767" s="13" t="s">
        <v>25</v>
      </c>
      <c r="S767" s="13" t="s">
        <v>25</v>
      </c>
      <c r="T767" s="13" t="s">
        <v>25</v>
      </c>
    </row>
    <row r="768" spans="1:20" x14ac:dyDescent="0.3">
      <c r="A768" s="14">
        <v>43921.708333333336</v>
      </c>
      <c r="B768" s="13" t="s">
        <v>22</v>
      </c>
      <c r="C768" s="114">
        <v>11</v>
      </c>
      <c r="D768" s="13" t="s">
        <v>51</v>
      </c>
      <c r="E768" s="114">
        <v>4361675973</v>
      </c>
      <c r="F768" s="114">
        <v>135188753</v>
      </c>
      <c r="G768" s="114">
        <v>946</v>
      </c>
      <c r="H768" s="114">
        <v>169</v>
      </c>
      <c r="I768" s="114">
        <v>1115</v>
      </c>
      <c r="J768" s="114">
        <v>2237</v>
      </c>
      <c r="K768" s="114">
        <v>3352</v>
      </c>
      <c r="L768" s="114">
        <v>101</v>
      </c>
      <c r="M768" s="114">
        <v>141</v>
      </c>
      <c r="N768" s="114">
        <v>21</v>
      </c>
      <c r="O768" s="114">
        <v>452</v>
      </c>
      <c r="P768" s="114">
        <v>3825</v>
      </c>
      <c r="Q768" s="114">
        <v>11724</v>
      </c>
      <c r="R768" s="13" t="s">
        <v>25</v>
      </c>
      <c r="S768" s="13" t="s">
        <v>25</v>
      </c>
      <c r="T768" s="13" t="s">
        <v>25</v>
      </c>
    </row>
    <row r="769" spans="1:20" x14ac:dyDescent="0.3">
      <c r="A769" s="14">
        <v>43921.708333333336</v>
      </c>
      <c r="B769" s="13" t="s">
        <v>22</v>
      </c>
      <c r="C769" s="114">
        <v>14</v>
      </c>
      <c r="D769" s="13" t="s">
        <v>52</v>
      </c>
      <c r="E769" s="114">
        <v>4155774754</v>
      </c>
      <c r="F769" s="114">
        <v>1465916051</v>
      </c>
      <c r="G769" s="114">
        <v>29</v>
      </c>
      <c r="H769" s="114">
        <v>8</v>
      </c>
      <c r="I769" s="114">
        <v>37</v>
      </c>
      <c r="J769" s="114">
        <v>80</v>
      </c>
      <c r="K769" s="114">
        <v>117</v>
      </c>
      <c r="L769" s="114">
        <v>10</v>
      </c>
      <c r="M769" s="114">
        <v>10</v>
      </c>
      <c r="N769" s="114">
        <v>18</v>
      </c>
      <c r="O769" s="114">
        <v>9</v>
      </c>
      <c r="P769" s="114">
        <v>144</v>
      </c>
      <c r="Q769" s="114">
        <v>1049</v>
      </c>
      <c r="R769" s="13" t="s">
        <v>25</v>
      </c>
      <c r="S769" s="13" t="s">
        <v>25</v>
      </c>
      <c r="T769" s="13" t="s">
        <v>25</v>
      </c>
    </row>
    <row r="770" spans="1:20" x14ac:dyDescent="0.3">
      <c r="A770" s="14">
        <v>43921.708333333336</v>
      </c>
      <c r="B770" s="13" t="s">
        <v>22</v>
      </c>
      <c r="C770" s="114">
        <v>1</v>
      </c>
      <c r="D770" s="13" t="s">
        <v>53</v>
      </c>
      <c r="E770" s="114">
        <v>450732745</v>
      </c>
      <c r="F770" s="114">
        <v>7680687483</v>
      </c>
      <c r="G770" s="114">
        <v>3174</v>
      </c>
      <c r="H770" s="114">
        <v>452</v>
      </c>
      <c r="I770" s="114">
        <v>3626</v>
      </c>
      <c r="J770" s="114">
        <v>4456</v>
      </c>
      <c r="K770" s="114">
        <v>8082</v>
      </c>
      <c r="L770" s="114">
        <v>427</v>
      </c>
      <c r="M770" s="114">
        <v>589</v>
      </c>
      <c r="N770" s="114">
        <v>365</v>
      </c>
      <c r="O770" s="114">
        <v>854</v>
      </c>
      <c r="P770" s="114">
        <v>9301</v>
      </c>
      <c r="Q770" s="114">
        <v>27658</v>
      </c>
      <c r="R770" s="13" t="s">
        <v>25</v>
      </c>
      <c r="S770" s="13" t="s">
        <v>25</v>
      </c>
      <c r="T770" s="13" t="s">
        <v>25</v>
      </c>
    </row>
    <row r="771" spans="1:20" x14ac:dyDescent="0.3">
      <c r="A771" s="14">
        <v>43921.708333333336</v>
      </c>
      <c r="B771" s="13" t="s">
        <v>22</v>
      </c>
      <c r="C771" s="114">
        <v>16</v>
      </c>
      <c r="D771" s="13" t="s">
        <v>54</v>
      </c>
      <c r="E771" s="114">
        <v>4112559576</v>
      </c>
      <c r="F771" s="114">
        <v>1686736689</v>
      </c>
      <c r="G771" s="114">
        <v>609</v>
      </c>
      <c r="H771" s="114">
        <v>105</v>
      </c>
      <c r="I771" s="114">
        <v>714</v>
      </c>
      <c r="J771" s="114">
        <v>940</v>
      </c>
      <c r="K771" s="114">
        <v>1654</v>
      </c>
      <c r="L771" s="114">
        <v>69</v>
      </c>
      <c r="M771" s="114">
        <v>91</v>
      </c>
      <c r="N771" s="114">
        <v>39</v>
      </c>
      <c r="O771" s="114">
        <v>110</v>
      </c>
      <c r="P771" s="114">
        <v>1803</v>
      </c>
      <c r="Q771" s="114">
        <v>14073</v>
      </c>
      <c r="R771" s="13" t="s">
        <v>25</v>
      </c>
      <c r="S771" s="13" t="s">
        <v>25</v>
      </c>
      <c r="T771" s="13" t="s">
        <v>25</v>
      </c>
    </row>
    <row r="772" spans="1:20" x14ac:dyDescent="0.3">
      <c r="A772" s="14">
        <v>43921.708333333336</v>
      </c>
      <c r="B772" s="13" t="s">
        <v>22</v>
      </c>
      <c r="C772" s="114">
        <v>20</v>
      </c>
      <c r="D772" s="13" t="s">
        <v>55</v>
      </c>
      <c r="E772" s="114">
        <v>3921531192</v>
      </c>
      <c r="F772" s="114">
        <v>9110616306</v>
      </c>
      <c r="G772" s="114">
        <v>113</v>
      </c>
      <c r="H772" s="114">
        <v>28</v>
      </c>
      <c r="I772" s="114">
        <v>141</v>
      </c>
      <c r="J772" s="114">
        <v>516</v>
      </c>
      <c r="K772" s="114">
        <v>657</v>
      </c>
      <c r="L772" s="114">
        <v>35</v>
      </c>
      <c r="M772" s="114">
        <v>40</v>
      </c>
      <c r="N772" s="114">
        <v>34</v>
      </c>
      <c r="O772" s="114">
        <v>31</v>
      </c>
      <c r="P772" s="114">
        <v>722</v>
      </c>
      <c r="Q772" s="114">
        <v>5257</v>
      </c>
      <c r="R772" s="13" t="s">
        <v>25</v>
      </c>
      <c r="S772" s="13" t="s">
        <v>25</v>
      </c>
      <c r="T772" s="13" t="s">
        <v>25</v>
      </c>
    </row>
    <row r="773" spans="1:20" x14ac:dyDescent="0.3">
      <c r="A773" s="14">
        <v>43921.708333333336</v>
      </c>
      <c r="B773" s="13" t="s">
        <v>22</v>
      </c>
      <c r="C773" s="114">
        <v>19</v>
      </c>
      <c r="D773" s="13" t="s">
        <v>56</v>
      </c>
      <c r="E773" s="114">
        <v>3811569725</v>
      </c>
      <c r="F773" s="114">
        <v>133623567</v>
      </c>
      <c r="G773" s="114">
        <v>503</v>
      </c>
      <c r="H773" s="114">
        <v>72</v>
      </c>
      <c r="I773" s="114">
        <v>575</v>
      </c>
      <c r="J773" s="114">
        <v>917</v>
      </c>
      <c r="K773" s="114">
        <v>1492</v>
      </c>
      <c r="L773" s="114">
        <v>84</v>
      </c>
      <c r="M773" s="114">
        <v>92</v>
      </c>
      <c r="N773" s="114">
        <v>74</v>
      </c>
      <c r="O773" s="114">
        <v>81</v>
      </c>
      <c r="P773" s="114">
        <v>1647</v>
      </c>
      <c r="Q773" s="114">
        <v>15634</v>
      </c>
      <c r="R773" s="13" t="s">
        <v>25</v>
      </c>
      <c r="S773" s="13" t="s">
        <v>25</v>
      </c>
      <c r="T773" s="13" t="s">
        <v>25</v>
      </c>
    </row>
    <row r="774" spans="1:20" x14ac:dyDescent="0.3">
      <c r="A774" s="14">
        <v>43921.708333333336</v>
      </c>
      <c r="B774" s="13" t="s">
        <v>22</v>
      </c>
      <c r="C774" s="114">
        <v>9</v>
      </c>
      <c r="D774" s="13" t="s">
        <v>57</v>
      </c>
      <c r="E774" s="114">
        <v>4376923077</v>
      </c>
      <c r="F774" s="114">
        <v>1125588885</v>
      </c>
      <c r="G774" s="114">
        <v>1120</v>
      </c>
      <c r="H774" s="114">
        <v>293</v>
      </c>
      <c r="I774" s="114">
        <v>1413</v>
      </c>
      <c r="J774" s="114">
        <v>2813</v>
      </c>
      <c r="K774" s="114">
        <v>4226</v>
      </c>
      <c r="L774" s="114">
        <v>176</v>
      </c>
      <c r="M774" s="114">
        <v>196</v>
      </c>
      <c r="N774" s="114">
        <v>138</v>
      </c>
      <c r="O774" s="114">
        <v>244</v>
      </c>
      <c r="P774" s="114">
        <v>4608</v>
      </c>
      <c r="Q774" s="114">
        <v>33165</v>
      </c>
      <c r="R774" s="13" t="s">
        <v>25</v>
      </c>
      <c r="S774" s="13" t="s">
        <v>25</v>
      </c>
      <c r="T774" s="13" t="s">
        <v>25</v>
      </c>
    </row>
    <row r="775" spans="1:20" x14ac:dyDescent="0.3">
      <c r="A775" s="14">
        <v>43921.708333333336</v>
      </c>
      <c r="B775" s="13" t="s">
        <v>22</v>
      </c>
      <c r="C775" s="114">
        <v>4</v>
      </c>
      <c r="D775" s="13" t="s">
        <v>58</v>
      </c>
      <c r="E775" s="114">
        <v>4606893511</v>
      </c>
      <c r="F775" s="114">
        <v>1112123097</v>
      </c>
      <c r="G775" s="114">
        <v>354</v>
      </c>
      <c r="H775" s="114">
        <v>80</v>
      </c>
      <c r="I775" s="114">
        <v>434</v>
      </c>
      <c r="J775" s="114">
        <v>955</v>
      </c>
      <c r="K775" s="114">
        <v>1389</v>
      </c>
      <c r="L775" s="114">
        <v>32</v>
      </c>
      <c r="M775" s="114">
        <v>64</v>
      </c>
      <c r="N775" s="114">
        <v>193</v>
      </c>
      <c r="O775" s="114">
        <v>164</v>
      </c>
      <c r="P775" s="114">
        <v>1746</v>
      </c>
      <c r="Q775" s="114">
        <v>6973</v>
      </c>
      <c r="R775" s="13" t="s">
        <v>25</v>
      </c>
      <c r="S775" s="13" t="s">
        <v>25</v>
      </c>
      <c r="T775" s="13" t="s">
        <v>25</v>
      </c>
    </row>
    <row r="776" spans="1:20" x14ac:dyDescent="0.3">
      <c r="A776" s="14">
        <v>43921.708333333336</v>
      </c>
      <c r="B776" s="13" t="s">
        <v>22</v>
      </c>
      <c r="C776" s="114">
        <v>10</v>
      </c>
      <c r="D776" s="13" t="s">
        <v>59</v>
      </c>
      <c r="E776" s="114">
        <v>4310675841</v>
      </c>
      <c r="F776" s="114">
        <v>1238824698</v>
      </c>
      <c r="G776" s="114">
        <v>176</v>
      </c>
      <c r="H776" s="114">
        <v>43</v>
      </c>
      <c r="I776" s="114">
        <v>219</v>
      </c>
      <c r="J776" s="114">
        <v>632</v>
      </c>
      <c r="K776" s="114">
        <v>851</v>
      </c>
      <c r="L776" s="114">
        <v>17</v>
      </c>
      <c r="M776" s="114">
        <v>27</v>
      </c>
      <c r="N776" s="114">
        <v>190</v>
      </c>
      <c r="O776" s="114">
        <v>37</v>
      </c>
      <c r="P776" s="114">
        <v>1078</v>
      </c>
      <c r="Q776" s="114">
        <v>8685</v>
      </c>
      <c r="R776" s="13" t="s">
        <v>25</v>
      </c>
      <c r="S776" s="13" t="s">
        <v>25</v>
      </c>
      <c r="T776" s="13" t="s">
        <v>25</v>
      </c>
    </row>
    <row r="777" spans="1:20" x14ac:dyDescent="0.3">
      <c r="A777" s="14">
        <v>43921.708333333336</v>
      </c>
      <c r="B777" s="13" t="s">
        <v>22</v>
      </c>
      <c r="C777" s="114">
        <v>2</v>
      </c>
      <c r="D777" s="13" t="s">
        <v>60</v>
      </c>
      <c r="E777" s="114">
        <v>4573750286</v>
      </c>
      <c r="F777" s="114">
        <v>7320149366</v>
      </c>
      <c r="G777" s="114">
        <v>91</v>
      </c>
      <c r="H777" s="114">
        <v>26</v>
      </c>
      <c r="I777" s="114">
        <v>117</v>
      </c>
      <c r="J777" s="114">
        <v>435</v>
      </c>
      <c r="K777" s="114">
        <v>552</v>
      </c>
      <c r="L777" s="114">
        <v>34</v>
      </c>
      <c r="M777" s="114">
        <v>44</v>
      </c>
      <c r="N777" s="114">
        <v>20</v>
      </c>
      <c r="O777" s="114">
        <v>56</v>
      </c>
      <c r="P777" s="114">
        <v>628</v>
      </c>
      <c r="Q777" s="114">
        <v>1582</v>
      </c>
      <c r="R777" s="13" t="s">
        <v>25</v>
      </c>
      <c r="S777" s="13" t="s">
        <v>25</v>
      </c>
      <c r="T777" s="13" t="s">
        <v>25</v>
      </c>
    </row>
    <row r="778" spans="1:20" x14ac:dyDescent="0.3">
      <c r="A778" s="14">
        <v>43921.708333333336</v>
      </c>
      <c r="B778" s="13" t="s">
        <v>22</v>
      </c>
      <c r="C778" s="114">
        <v>5</v>
      </c>
      <c r="D778" s="13" t="s">
        <v>61</v>
      </c>
      <c r="E778" s="114">
        <v>4543490485</v>
      </c>
      <c r="F778" s="114">
        <v>1233845213</v>
      </c>
      <c r="G778" s="114">
        <v>1680</v>
      </c>
      <c r="H778" s="114">
        <v>356</v>
      </c>
      <c r="I778" s="114">
        <v>2036</v>
      </c>
      <c r="J778" s="114">
        <v>5814</v>
      </c>
      <c r="K778" s="114">
        <v>7850</v>
      </c>
      <c r="L778" s="114">
        <v>286</v>
      </c>
      <c r="M778" s="114">
        <v>431</v>
      </c>
      <c r="N778" s="114">
        <v>828</v>
      </c>
      <c r="O778" s="114">
        <v>477</v>
      </c>
      <c r="P778" s="114">
        <v>9155</v>
      </c>
      <c r="Q778" s="114">
        <v>106238</v>
      </c>
      <c r="R778" s="13" t="s">
        <v>25</v>
      </c>
      <c r="S778" s="13" t="s">
        <v>25</v>
      </c>
      <c r="T778" s="13" t="s">
        <v>25</v>
      </c>
    </row>
    <row r="779" spans="1:20" x14ac:dyDescent="0.3">
      <c r="A779" s="14">
        <v>43922.708333333336</v>
      </c>
      <c r="B779" s="13" t="s">
        <v>22</v>
      </c>
      <c r="C779" s="114">
        <v>13</v>
      </c>
      <c r="D779" s="13" t="s">
        <v>42</v>
      </c>
      <c r="E779" s="114">
        <v>4235122196</v>
      </c>
      <c r="F779" s="114">
        <v>1339843823</v>
      </c>
      <c r="G779" s="114">
        <v>342</v>
      </c>
      <c r="H779" s="114">
        <v>71</v>
      </c>
      <c r="I779" s="114">
        <v>413</v>
      </c>
      <c r="J779" s="114">
        <v>798</v>
      </c>
      <c r="K779" s="114">
        <v>1211</v>
      </c>
      <c r="L779" s="114">
        <v>20</v>
      </c>
      <c r="M779" s="114">
        <v>35</v>
      </c>
      <c r="N779" s="114">
        <v>102</v>
      </c>
      <c r="O779" s="114">
        <v>123</v>
      </c>
      <c r="P779" s="114">
        <v>1436</v>
      </c>
      <c r="Q779" s="114">
        <v>9610</v>
      </c>
      <c r="R779" s="13" t="s">
        <v>25</v>
      </c>
      <c r="S779" s="13" t="s">
        <v>25</v>
      </c>
      <c r="T779" s="13" t="s">
        <v>25</v>
      </c>
    </row>
    <row r="780" spans="1:20" x14ac:dyDescent="0.3">
      <c r="A780" s="14">
        <v>43922.708333333336</v>
      </c>
      <c r="B780" s="13" t="s">
        <v>22</v>
      </c>
      <c r="C780" s="114">
        <v>17</v>
      </c>
      <c r="D780" s="13" t="s">
        <v>43</v>
      </c>
      <c r="E780" s="114">
        <v>4063947052</v>
      </c>
      <c r="F780" s="114">
        <v>1580514834</v>
      </c>
      <c r="G780" s="114">
        <v>39</v>
      </c>
      <c r="H780" s="114">
        <v>15</v>
      </c>
      <c r="I780" s="114">
        <v>54</v>
      </c>
      <c r="J780" s="114">
        <v>171</v>
      </c>
      <c r="K780" s="114">
        <v>225</v>
      </c>
      <c r="L780" s="114">
        <v>9</v>
      </c>
      <c r="M780" s="114">
        <v>11</v>
      </c>
      <c r="N780" s="114">
        <v>3</v>
      </c>
      <c r="O780" s="114">
        <v>9</v>
      </c>
      <c r="P780" s="114">
        <v>237</v>
      </c>
      <c r="Q780" s="114">
        <v>2262</v>
      </c>
      <c r="R780" s="13" t="s">
        <v>25</v>
      </c>
      <c r="S780" s="13" t="s">
        <v>25</v>
      </c>
      <c r="T780" s="13" t="s">
        <v>25</v>
      </c>
    </row>
    <row r="781" spans="1:20" x14ac:dyDescent="0.3">
      <c r="A781" s="14">
        <v>43922.708333333336</v>
      </c>
      <c r="B781" s="13" t="s">
        <v>22</v>
      </c>
      <c r="C781" s="114">
        <v>4</v>
      </c>
      <c r="D781" s="13" t="s">
        <v>44</v>
      </c>
      <c r="E781" s="114">
        <v>4649933453</v>
      </c>
      <c r="F781" s="114">
        <v>1135662422</v>
      </c>
      <c r="G781" s="114">
        <v>269</v>
      </c>
      <c r="H781" s="114">
        <v>57</v>
      </c>
      <c r="I781" s="114">
        <v>326</v>
      </c>
      <c r="J781" s="114">
        <v>786</v>
      </c>
      <c r="K781" s="114">
        <v>1112</v>
      </c>
      <c r="L781" s="114">
        <v>-30</v>
      </c>
      <c r="M781" s="114">
        <v>47</v>
      </c>
      <c r="N781" s="114">
        <v>190</v>
      </c>
      <c r="O781" s="114">
        <v>116</v>
      </c>
      <c r="P781" s="114">
        <v>1418</v>
      </c>
      <c r="Q781" s="114">
        <v>11951</v>
      </c>
      <c r="R781" s="13" t="s">
        <v>25</v>
      </c>
      <c r="S781" s="13" t="s">
        <v>25</v>
      </c>
      <c r="T781" s="13" t="s">
        <v>25</v>
      </c>
    </row>
    <row r="782" spans="1:20" x14ac:dyDescent="0.3">
      <c r="A782" s="14">
        <v>43922.708333333336</v>
      </c>
      <c r="B782" s="13" t="s">
        <v>22</v>
      </c>
      <c r="C782" s="114">
        <v>18</v>
      </c>
      <c r="D782" s="13" t="s">
        <v>45</v>
      </c>
      <c r="E782" s="114">
        <v>3890597598</v>
      </c>
      <c r="F782" s="114">
        <v>1659440194</v>
      </c>
      <c r="G782" s="114">
        <v>144</v>
      </c>
      <c r="H782" s="114">
        <v>16</v>
      </c>
      <c r="I782" s="114">
        <v>160</v>
      </c>
      <c r="J782" s="114">
        <v>450</v>
      </c>
      <c r="K782" s="114">
        <v>610</v>
      </c>
      <c r="L782" s="114">
        <v>4</v>
      </c>
      <c r="M782" s="114">
        <v>10</v>
      </c>
      <c r="N782" s="114">
        <v>21</v>
      </c>
      <c r="O782" s="114">
        <v>38</v>
      </c>
      <c r="P782" s="114">
        <v>669</v>
      </c>
      <c r="Q782" s="114">
        <v>9983</v>
      </c>
      <c r="R782" s="13" t="s">
        <v>25</v>
      </c>
      <c r="S782" s="13" t="s">
        <v>25</v>
      </c>
      <c r="T782" s="13" t="s">
        <v>25</v>
      </c>
    </row>
    <row r="783" spans="1:20" x14ac:dyDescent="0.3">
      <c r="A783" s="14">
        <v>43922.708333333336</v>
      </c>
      <c r="B783" s="13" t="s">
        <v>22</v>
      </c>
      <c r="C783" s="114">
        <v>15</v>
      </c>
      <c r="D783" s="13" t="s">
        <v>46</v>
      </c>
      <c r="E783" s="114">
        <v>4083956555</v>
      </c>
      <c r="F783" s="114">
        <v>1425084984</v>
      </c>
      <c r="G783" s="114">
        <v>478</v>
      </c>
      <c r="H783" s="114">
        <v>129</v>
      </c>
      <c r="I783" s="114">
        <v>607</v>
      </c>
      <c r="J783" s="114">
        <v>1369</v>
      </c>
      <c r="K783" s="114">
        <v>1976</v>
      </c>
      <c r="L783" s="114">
        <v>105</v>
      </c>
      <c r="M783" s="114">
        <v>139</v>
      </c>
      <c r="N783" s="114">
        <v>107</v>
      </c>
      <c r="O783" s="114">
        <v>148</v>
      </c>
      <c r="P783" s="114">
        <v>2231</v>
      </c>
      <c r="Q783" s="114">
        <v>15728</v>
      </c>
      <c r="R783" s="13" t="s">
        <v>25</v>
      </c>
      <c r="S783" s="13" t="s">
        <v>25</v>
      </c>
      <c r="T783" s="13" t="s">
        <v>25</v>
      </c>
    </row>
    <row r="784" spans="1:20" x14ac:dyDescent="0.3">
      <c r="A784" s="14">
        <v>43922.708333333336</v>
      </c>
      <c r="B784" s="13" t="s">
        <v>22</v>
      </c>
      <c r="C784" s="114">
        <v>8</v>
      </c>
      <c r="D784" s="13" t="s">
        <v>96</v>
      </c>
      <c r="E784" s="114">
        <v>4449436681</v>
      </c>
      <c r="F784" s="114">
        <v>113417208</v>
      </c>
      <c r="G784" s="114">
        <v>3898</v>
      </c>
      <c r="H784" s="114">
        <v>359</v>
      </c>
      <c r="I784" s="114">
        <v>4257</v>
      </c>
      <c r="J784" s="114">
        <v>7232</v>
      </c>
      <c r="K784" s="114">
        <v>11489</v>
      </c>
      <c r="L784" s="114">
        <v>536</v>
      </c>
      <c r="M784" s="114">
        <v>713</v>
      </c>
      <c r="N784" s="114">
        <v>1566</v>
      </c>
      <c r="O784" s="114">
        <v>1732</v>
      </c>
      <c r="P784" s="114">
        <v>14787</v>
      </c>
      <c r="Q784" s="114">
        <v>58457</v>
      </c>
      <c r="R784" s="13" t="s">
        <v>25</v>
      </c>
      <c r="S784" s="13" t="s">
        <v>25</v>
      </c>
      <c r="T784" s="13" t="s">
        <v>25</v>
      </c>
    </row>
    <row r="785" spans="1:20" x14ac:dyDescent="0.3">
      <c r="A785" s="14">
        <v>43922.708333333336</v>
      </c>
      <c r="B785" s="13" t="s">
        <v>22</v>
      </c>
      <c r="C785" s="114">
        <v>6</v>
      </c>
      <c r="D785" s="13" t="s">
        <v>47</v>
      </c>
      <c r="E785" s="114">
        <v>456494354</v>
      </c>
      <c r="F785" s="114">
        <v>1376813649</v>
      </c>
      <c r="G785" s="114">
        <v>206</v>
      </c>
      <c r="H785" s="114">
        <v>60</v>
      </c>
      <c r="I785" s="114">
        <v>266</v>
      </c>
      <c r="J785" s="114">
        <v>940</v>
      </c>
      <c r="K785" s="114">
        <v>1206</v>
      </c>
      <c r="L785" s="114">
        <v>46</v>
      </c>
      <c r="M785" s="114">
        <v>92</v>
      </c>
      <c r="N785" s="114">
        <v>357</v>
      </c>
      <c r="O785" s="114">
        <v>122</v>
      </c>
      <c r="P785" s="114">
        <v>1685</v>
      </c>
      <c r="Q785" s="114">
        <v>15987</v>
      </c>
      <c r="R785" s="13" t="s">
        <v>25</v>
      </c>
      <c r="S785" s="13" t="s">
        <v>25</v>
      </c>
      <c r="T785" s="13" t="s">
        <v>25</v>
      </c>
    </row>
    <row r="786" spans="1:20" x14ac:dyDescent="0.3">
      <c r="A786" s="14">
        <v>43922.708333333336</v>
      </c>
      <c r="B786" s="13" t="s">
        <v>22</v>
      </c>
      <c r="C786" s="114">
        <v>12</v>
      </c>
      <c r="D786" s="13" t="s">
        <v>48</v>
      </c>
      <c r="E786" s="114">
        <v>4189277044</v>
      </c>
      <c r="F786" s="114">
        <v>1248366722</v>
      </c>
      <c r="G786" s="114">
        <v>1131</v>
      </c>
      <c r="H786" s="114">
        <v>177</v>
      </c>
      <c r="I786" s="114">
        <v>1308</v>
      </c>
      <c r="J786" s="114">
        <v>1450</v>
      </c>
      <c r="K786" s="114">
        <v>2758</v>
      </c>
      <c r="L786" s="114">
        <v>116</v>
      </c>
      <c r="M786" s="114">
        <v>169</v>
      </c>
      <c r="N786" s="114">
        <v>337</v>
      </c>
      <c r="O786" s="114">
        <v>169</v>
      </c>
      <c r="P786" s="114">
        <v>3264</v>
      </c>
      <c r="Q786" s="114">
        <v>35810</v>
      </c>
      <c r="R786" s="13" t="s">
        <v>25</v>
      </c>
      <c r="S786" s="13" t="s">
        <v>25</v>
      </c>
      <c r="T786" s="13" t="s">
        <v>25</v>
      </c>
    </row>
    <row r="787" spans="1:20" x14ac:dyDescent="0.3">
      <c r="A787" s="14">
        <v>43922.708333333336</v>
      </c>
      <c r="B787" s="13" t="s">
        <v>22</v>
      </c>
      <c r="C787" s="114">
        <v>7</v>
      </c>
      <c r="D787" s="13" t="s">
        <v>49</v>
      </c>
      <c r="E787" s="114">
        <v>4441149315</v>
      </c>
      <c r="F787" s="114">
        <v>89326992</v>
      </c>
      <c r="G787" s="114">
        <v>1114</v>
      </c>
      <c r="H787" s="114">
        <v>179</v>
      </c>
      <c r="I787" s="114">
        <v>1293</v>
      </c>
      <c r="J787" s="114">
        <v>1352</v>
      </c>
      <c r="K787" s="114">
        <v>2645</v>
      </c>
      <c r="L787" s="114">
        <v>137</v>
      </c>
      <c r="M787" s="114">
        <v>244</v>
      </c>
      <c r="N787" s="114">
        <v>555</v>
      </c>
      <c r="O787" s="114">
        <v>460</v>
      </c>
      <c r="P787" s="114">
        <v>3660</v>
      </c>
      <c r="Q787" s="114">
        <v>11334</v>
      </c>
      <c r="R787" s="13" t="s">
        <v>25</v>
      </c>
      <c r="S787" s="13" t="s">
        <v>25</v>
      </c>
      <c r="T787" s="13" t="s">
        <v>25</v>
      </c>
    </row>
    <row r="788" spans="1:20" x14ac:dyDescent="0.3">
      <c r="A788" s="14">
        <v>43922.708333333336</v>
      </c>
      <c r="B788" s="13" t="s">
        <v>22</v>
      </c>
      <c r="C788" s="114">
        <v>3</v>
      </c>
      <c r="D788" s="13" t="s">
        <v>50</v>
      </c>
      <c r="E788" s="114">
        <v>4546679409</v>
      </c>
      <c r="F788" s="114">
        <v>9190347404</v>
      </c>
      <c r="G788" s="114">
        <v>11927</v>
      </c>
      <c r="H788" s="114">
        <v>1342</v>
      </c>
      <c r="I788" s="114">
        <v>13269</v>
      </c>
      <c r="J788" s="114">
        <v>12496</v>
      </c>
      <c r="K788" s="114">
        <v>25765</v>
      </c>
      <c r="L788" s="114">
        <v>641</v>
      </c>
      <c r="M788" s="114">
        <v>1565</v>
      </c>
      <c r="N788" s="114">
        <v>11415</v>
      </c>
      <c r="O788" s="114">
        <v>7593</v>
      </c>
      <c r="P788" s="114">
        <v>44773</v>
      </c>
      <c r="Q788" s="114">
        <v>121449</v>
      </c>
      <c r="R788" s="13" t="s">
        <v>25</v>
      </c>
      <c r="S788" s="13" t="s">
        <v>25</v>
      </c>
      <c r="T788" s="13" t="s">
        <v>25</v>
      </c>
    </row>
    <row r="789" spans="1:20" x14ac:dyDescent="0.3">
      <c r="A789" s="14">
        <v>43922.708333333336</v>
      </c>
      <c r="B789" s="13" t="s">
        <v>22</v>
      </c>
      <c r="C789" s="114">
        <v>11</v>
      </c>
      <c r="D789" s="13" t="s">
        <v>51</v>
      </c>
      <c r="E789" s="114">
        <v>4361675973</v>
      </c>
      <c r="F789" s="114">
        <v>135188753</v>
      </c>
      <c r="G789" s="114">
        <v>984</v>
      </c>
      <c r="H789" s="114">
        <v>168</v>
      </c>
      <c r="I789" s="114">
        <v>1152</v>
      </c>
      <c r="J789" s="114">
        <v>2304</v>
      </c>
      <c r="K789" s="114">
        <v>3456</v>
      </c>
      <c r="L789" s="114">
        <v>104</v>
      </c>
      <c r="M789" s="114">
        <v>137</v>
      </c>
      <c r="N789" s="114">
        <v>29</v>
      </c>
      <c r="O789" s="114">
        <v>477</v>
      </c>
      <c r="P789" s="114">
        <v>3962</v>
      </c>
      <c r="Q789" s="114">
        <v>12296</v>
      </c>
      <c r="R789" s="13" t="s">
        <v>25</v>
      </c>
      <c r="S789" s="13" t="s">
        <v>25</v>
      </c>
      <c r="T789" s="13" t="s">
        <v>25</v>
      </c>
    </row>
    <row r="790" spans="1:20" x14ac:dyDescent="0.3">
      <c r="A790" s="14">
        <v>43922.708333333336</v>
      </c>
      <c r="B790" s="13" t="s">
        <v>22</v>
      </c>
      <c r="C790" s="114">
        <v>14</v>
      </c>
      <c r="D790" s="13" t="s">
        <v>52</v>
      </c>
      <c r="E790" s="114">
        <v>4155774754</v>
      </c>
      <c r="F790" s="114">
        <v>1465916051</v>
      </c>
      <c r="G790" s="114">
        <v>32</v>
      </c>
      <c r="H790" s="114">
        <v>8</v>
      </c>
      <c r="I790" s="114">
        <v>40</v>
      </c>
      <c r="J790" s="114">
        <v>91</v>
      </c>
      <c r="K790" s="114">
        <v>131</v>
      </c>
      <c r="L790" s="114">
        <v>14</v>
      </c>
      <c r="M790" s="114">
        <v>16</v>
      </c>
      <c r="N790" s="114">
        <v>19</v>
      </c>
      <c r="O790" s="114">
        <v>10</v>
      </c>
      <c r="P790" s="114">
        <v>160</v>
      </c>
      <c r="Q790" s="114">
        <v>1157</v>
      </c>
      <c r="R790" s="13" t="s">
        <v>25</v>
      </c>
      <c r="S790" s="13" t="s">
        <v>25</v>
      </c>
      <c r="T790" s="13" t="s">
        <v>25</v>
      </c>
    </row>
    <row r="791" spans="1:20" x14ac:dyDescent="0.3">
      <c r="A791" s="14">
        <v>43922.708333333336</v>
      </c>
      <c r="B791" s="13" t="s">
        <v>22</v>
      </c>
      <c r="C791" s="114">
        <v>1</v>
      </c>
      <c r="D791" s="13" t="s">
        <v>53</v>
      </c>
      <c r="E791" s="114">
        <v>450732745</v>
      </c>
      <c r="F791" s="114">
        <v>7680687483</v>
      </c>
      <c r="G791" s="114">
        <v>3146</v>
      </c>
      <c r="H791" s="114">
        <v>453</v>
      </c>
      <c r="I791" s="114">
        <v>3599</v>
      </c>
      <c r="J791" s="114">
        <v>4871</v>
      </c>
      <c r="K791" s="114">
        <v>8470</v>
      </c>
      <c r="L791" s="114">
        <v>388</v>
      </c>
      <c r="M791" s="114">
        <v>494</v>
      </c>
      <c r="N791" s="114">
        <v>439</v>
      </c>
      <c r="O791" s="114">
        <v>886</v>
      </c>
      <c r="P791" s="114">
        <v>9795</v>
      </c>
      <c r="Q791" s="114">
        <v>30060</v>
      </c>
      <c r="R791" s="13" t="s">
        <v>25</v>
      </c>
      <c r="S791" s="13" t="s">
        <v>25</v>
      </c>
      <c r="T791" s="13" t="s">
        <v>25</v>
      </c>
    </row>
    <row r="792" spans="1:20" x14ac:dyDescent="0.3">
      <c r="A792" s="14">
        <v>43922.708333333336</v>
      </c>
      <c r="B792" s="13" t="s">
        <v>22</v>
      </c>
      <c r="C792" s="114">
        <v>16</v>
      </c>
      <c r="D792" s="13" t="s">
        <v>54</v>
      </c>
      <c r="E792" s="114">
        <v>4112559576</v>
      </c>
      <c r="F792" s="114">
        <v>1686736689</v>
      </c>
      <c r="G792" s="114">
        <v>637</v>
      </c>
      <c r="H792" s="114">
        <v>107</v>
      </c>
      <c r="I792" s="114">
        <v>744</v>
      </c>
      <c r="J792" s="114">
        <v>1012</v>
      </c>
      <c r="K792" s="114">
        <v>1756</v>
      </c>
      <c r="L792" s="114">
        <v>102</v>
      </c>
      <c r="M792" s="114">
        <v>143</v>
      </c>
      <c r="N792" s="114">
        <v>61</v>
      </c>
      <c r="O792" s="114">
        <v>129</v>
      </c>
      <c r="P792" s="114">
        <v>1946</v>
      </c>
      <c r="Q792" s="114">
        <v>15209</v>
      </c>
      <c r="R792" s="13" t="s">
        <v>25</v>
      </c>
      <c r="S792" s="13" t="s">
        <v>25</v>
      </c>
      <c r="T792" s="13" t="s">
        <v>25</v>
      </c>
    </row>
    <row r="793" spans="1:20" x14ac:dyDescent="0.3">
      <c r="A793" s="14">
        <v>43922.708333333336</v>
      </c>
      <c r="B793" s="13" t="s">
        <v>22</v>
      </c>
      <c r="C793" s="114">
        <v>20</v>
      </c>
      <c r="D793" s="13" t="s">
        <v>55</v>
      </c>
      <c r="E793" s="114">
        <v>3921531192</v>
      </c>
      <c r="F793" s="114">
        <v>9110616306</v>
      </c>
      <c r="G793" s="114">
        <v>119</v>
      </c>
      <c r="H793" s="114">
        <v>27</v>
      </c>
      <c r="I793" s="114">
        <v>146</v>
      </c>
      <c r="J793" s="114">
        <v>529</v>
      </c>
      <c r="K793" s="114">
        <v>675</v>
      </c>
      <c r="L793" s="114">
        <v>18</v>
      </c>
      <c r="M793" s="114">
        <v>23</v>
      </c>
      <c r="N793" s="114">
        <v>36</v>
      </c>
      <c r="O793" s="114">
        <v>34</v>
      </c>
      <c r="P793" s="114">
        <v>745</v>
      </c>
      <c r="Q793" s="114">
        <v>5501</v>
      </c>
      <c r="R793" s="13" t="s">
        <v>25</v>
      </c>
      <c r="S793" s="13" t="s">
        <v>25</v>
      </c>
      <c r="T793" s="13" t="s">
        <v>25</v>
      </c>
    </row>
    <row r="794" spans="1:20" x14ac:dyDescent="0.3">
      <c r="A794" s="14">
        <v>43922.708333333336</v>
      </c>
      <c r="B794" s="13" t="s">
        <v>22</v>
      </c>
      <c r="C794" s="114">
        <v>19</v>
      </c>
      <c r="D794" s="13" t="s">
        <v>56</v>
      </c>
      <c r="E794" s="114">
        <v>3811569725</v>
      </c>
      <c r="F794" s="114">
        <v>133623567</v>
      </c>
      <c r="G794" s="114">
        <v>496</v>
      </c>
      <c r="H794" s="114">
        <v>72</v>
      </c>
      <c r="I794" s="114">
        <v>568</v>
      </c>
      <c r="J794" s="114">
        <v>976</v>
      </c>
      <c r="K794" s="114">
        <v>1544</v>
      </c>
      <c r="L794" s="114">
        <v>52</v>
      </c>
      <c r="M794" s="114">
        <v>71</v>
      </c>
      <c r="N794" s="114">
        <v>86</v>
      </c>
      <c r="O794" s="114">
        <v>88</v>
      </c>
      <c r="P794" s="114">
        <v>1718</v>
      </c>
      <c r="Q794" s="114">
        <v>16836</v>
      </c>
      <c r="R794" s="13" t="s">
        <v>25</v>
      </c>
      <c r="S794" s="13" t="s">
        <v>25</v>
      </c>
      <c r="T794" s="13" t="s">
        <v>25</v>
      </c>
    </row>
    <row r="795" spans="1:20" x14ac:dyDescent="0.3">
      <c r="A795" s="14">
        <v>43922.708333333336</v>
      </c>
      <c r="B795" s="13" t="s">
        <v>22</v>
      </c>
      <c r="C795" s="114">
        <v>9</v>
      </c>
      <c r="D795" s="13" t="s">
        <v>57</v>
      </c>
      <c r="E795" s="114">
        <v>4376923077</v>
      </c>
      <c r="F795" s="114">
        <v>1125588885</v>
      </c>
      <c r="G795" s="114">
        <v>1120</v>
      </c>
      <c r="H795" s="114">
        <v>297</v>
      </c>
      <c r="I795" s="114">
        <v>1417</v>
      </c>
      <c r="J795" s="114">
        <v>3015</v>
      </c>
      <c r="K795" s="114">
        <v>4432</v>
      </c>
      <c r="L795" s="114">
        <v>206</v>
      </c>
      <c r="M795" s="114">
        <v>259</v>
      </c>
      <c r="N795" s="114">
        <v>182</v>
      </c>
      <c r="O795" s="114">
        <v>253</v>
      </c>
      <c r="P795" s="114">
        <v>4867</v>
      </c>
      <c r="Q795" s="114">
        <v>36575</v>
      </c>
      <c r="R795" s="13" t="s">
        <v>25</v>
      </c>
      <c r="S795" s="13" t="s">
        <v>25</v>
      </c>
      <c r="T795" s="13" t="s">
        <v>25</v>
      </c>
    </row>
    <row r="796" spans="1:20" x14ac:dyDescent="0.3">
      <c r="A796" s="14">
        <v>43922.708333333336</v>
      </c>
      <c r="B796" s="13" t="s">
        <v>22</v>
      </c>
      <c r="C796" s="114">
        <v>4</v>
      </c>
      <c r="D796" s="13" t="s">
        <v>58</v>
      </c>
      <c r="E796" s="114">
        <v>4606893511</v>
      </c>
      <c r="F796" s="114">
        <v>1112123097</v>
      </c>
      <c r="G796" s="114">
        <v>345</v>
      </c>
      <c r="H796" s="114">
        <v>76</v>
      </c>
      <c r="I796" s="114">
        <v>421</v>
      </c>
      <c r="J796" s="114">
        <v>1062</v>
      </c>
      <c r="K796" s="114">
        <v>1483</v>
      </c>
      <c r="L796" s="114">
        <v>94</v>
      </c>
      <c r="M796" s="114">
        <v>124</v>
      </c>
      <c r="N796" s="114">
        <v>214</v>
      </c>
      <c r="O796" s="114">
        <v>173</v>
      </c>
      <c r="P796" s="114">
        <v>1870</v>
      </c>
      <c r="Q796" s="114">
        <v>7675</v>
      </c>
      <c r="R796" s="13" t="s">
        <v>25</v>
      </c>
      <c r="S796" s="13" t="s">
        <v>25</v>
      </c>
      <c r="T796" s="13" t="s">
        <v>25</v>
      </c>
    </row>
    <row r="797" spans="1:20" x14ac:dyDescent="0.3">
      <c r="A797" s="14">
        <v>43922.708333333336</v>
      </c>
      <c r="B797" s="13" t="s">
        <v>22</v>
      </c>
      <c r="C797" s="114">
        <v>10</v>
      </c>
      <c r="D797" s="13" t="s">
        <v>59</v>
      </c>
      <c r="E797" s="114">
        <v>4310675841</v>
      </c>
      <c r="F797" s="114">
        <v>1238824698</v>
      </c>
      <c r="G797" s="114">
        <v>173</v>
      </c>
      <c r="H797" s="114">
        <v>45</v>
      </c>
      <c r="I797" s="114">
        <v>218</v>
      </c>
      <c r="J797" s="114">
        <v>646</v>
      </c>
      <c r="K797" s="114">
        <v>864</v>
      </c>
      <c r="L797" s="114">
        <v>13</v>
      </c>
      <c r="M797" s="114">
        <v>17</v>
      </c>
      <c r="N797" s="114">
        <v>194</v>
      </c>
      <c r="O797" s="114">
        <v>37</v>
      </c>
      <c r="P797" s="114">
        <v>1095</v>
      </c>
      <c r="Q797" s="114">
        <v>9080</v>
      </c>
      <c r="R797" s="13" t="s">
        <v>25</v>
      </c>
      <c r="S797" s="13" t="s">
        <v>25</v>
      </c>
      <c r="T797" s="13" t="s">
        <v>25</v>
      </c>
    </row>
    <row r="798" spans="1:20" x14ac:dyDescent="0.3">
      <c r="A798" s="14">
        <v>43922.708333333336</v>
      </c>
      <c r="B798" s="13" t="s">
        <v>22</v>
      </c>
      <c r="C798" s="114">
        <v>2</v>
      </c>
      <c r="D798" s="13" t="s">
        <v>60</v>
      </c>
      <c r="E798" s="114">
        <v>4573750286</v>
      </c>
      <c r="F798" s="114">
        <v>7320149366</v>
      </c>
      <c r="G798" s="114">
        <v>85</v>
      </c>
      <c r="H798" s="114">
        <v>27</v>
      </c>
      <c r="I798" s="114">
        <v>112</v>
      </c>
      <c r="J798" s="114">
        <v>428</v>
      </c>
      <c r="K798" s="114">
        <v>540</v>
      </c>
      <c r="L798" s="114">
        <v>-12</v>
      </c>
      <c r="M798" s="114">
        <v>3</v>
      </c>
      <c r="N798" s="114">
        <v>32</v>
      </c>
      <c r="O798" s="114">
        <v>59</v>
      </c>
      <c r="P798" s="114">
        <v>631</v>
      </c>
      <c r="Q798" s="114">
        <v>1717</v>
      </c>
      <c r="R798" s="13" t="s">
        <v>25</v>
      </c>
      <c r="S798" s="13" t="s">
        <v>25</v>
      </c>
      <c r="T798" s="13" t="s">
        <v>25</v>
      </c>
    </row>
    <row r="799" spans="1:20" x14ac:dyDescent="0.3">
      <c r="A799" s="14">
        <v>43922.708333333336</v>
      </c>
      <c r="B799" s="13" t="s">
        <v>22</v>
      </c>
      <c r="C799" s="114">
        <v>5</v>
      </c>
      <c r="D799" s="13" t="s">
        <v>61</v>
      </c>
      <c r="E799" s="114">
        <v>4543490485</v>
      </c>
      <c r="F799" s="114">
        <v>1233845213</v>
      </c>
      <c r="G799" s="114">
        <v>1718</v>
      </c>
      <c r="H799" s="114">
        <v>350</v>
      </c>
      <c r="I799" s="114">
        <v>2068</v>
      </c>
      <c r="J799" s="114">
        <v>6156</v>
      </c>
      <c r="K799" s="114">
        <v>8224</v>
      </c>
      <c r="L799" s="114">
        <v>374</v>
      </c>
      <c r="M799" s="114">
        <v>470</v>
      </c>
      <c r="N799" s="114">
        <v>902</v>
      </c>
      <c r="O799" s="114">
        <v>499</v>
      </c>
      <c r="P799" s="114">
        <v>9625</v>
      </c>
      <c r="Q799" s="114">
        <v>112746</v>
      </c>
      <c r="R799" s="13" t="s">
        <v>25</v>
      </c>
      <c r="S799" s="13" t="s">
        <v>25</v>
      </c>
      <c r="T799" s="13" t="s">
        <v>25</v>
      </c>
    </row>
    <row r="800" spans="1:20" x14ac:dyDescent="0.3">
      <c r="A800" s="14">
        <v>43923.708333333336</v>
      </c>
      <c r="B800" s="13" t="s">
        <v>22</v>
      </c>
      <c r="C800" s="114">
        <v>13</v>
      </c>
      <c r="D800" s="13" t="s">
        <v>42</v>
      </c>
      <c r="E800" s="114">
        <v>4235122196</v>
      </c>
      <c r="F800" s="114">
        <v>1339843823</v>
      </c>
      <c r="G800" s="114">
        <v>341</v>
      </c>
      <c r="H800" s="114">
        <v>75</v>
      </c>
      <c r="I800" s="114">
        <v>416</v>
      </c>
      <c r="J800" s="114">
        <v>835</v>
      </c>
      <c r="K800" s="114">
        <v>1251</v>
      </c>
      <c r="L800" s="114">
        <v>40</v>
      </c>
      <c r="M800" s="114">
        <v>61</v>
      </c>
      <c r="N800" s="114">
        <v>113</v>
      </c>
      <c r="O800" s="114">
        <v>133</v>
      </c>
      <c r="P800" s="114">
        <v>1497</v>
      </c>
      <c r="Q800" s="114">
        <v>10647</v>
      </c>
      <c r="R800" s="13" t="s">
        <v>25</v>
      </c>
      <c r="S800" s="13" t="s">
        <v>25</v>
      </c>
      <c r="T800" s="13" t="s">
        <v>25</v>
      </c>
    </row>
    <row r="801" spans="1:20" x14ac:dyDescent="0.3">
      <c r="A801" s="14">
        <v>43923.708333333336</v>
      </c>
      <c r="B801" s="13" t="s">
        <v>22</v>
      </c>
      <c r="C801" s="114">
        <v>17</v>
      </c>
      <c r="D801" s="13" t="s">
        <v>43</v>
      </c>
      <c r="E801" s="114">
        <v>4063947052</v>
      </c>
      <c r="F801" s="114">
        <v>1580514834</v>
      </c>
      <c r="G801" s="114">
        <v>38</v>
      </c>
      <c r="H801" s="114">
        <v>19</v>
      </c>
      <c r="I801" s="114">
        <v>57</v>
      </c>
      <c r="J801" s="114">
        <v>176</v>
      </c>
      <c r="K801" s="114">
        <v>233</v>
      </c>
      <c r="L801" s="114">
        <v>8</v>
      </c>
      <c r="M801" s="114">
        <v>9</v>
      </c>
      <c r="N801" s="114">
        <v>3</v>
      </c>
      <c r="O801" s="114">
        <v>10</v>
      </c>
      <c r="P801" s="114">
        <v>246</v>
      </c>
      <c r="Q801" s="114">
        <v>2427</v>
      </c>
      <c r="R801" s="13" t="s">
        <v>25</v>
      </c>
      <c r="S801" s="13" t="s">
        <v>25</v>
      </c>
      <c r="T801" s="13" t="s">
        <v>25</v>
      </c>
    </row>
    <row r="802" spans="1:20" x14ac:dyDescent="0.3">
      <c r="A802" s="14">
        <v>43923.708333333336</v>
      </c>
      <c r="B802" s="13" t="s">
        <v>22</v>
      </c>
      <c r="C802" s="114">
        <v>4</v>
      </c>
      <c r="D802" s="13" t="s">
        <v>44</v>
      </c>
      <c r="E802" s="114">
        <v>4649933453</v>
      </c>
      <c r="F802" s="114">
        <v>1135662422</v>
      </c>
      <c r="G802" s="114">
        <v>279</v>
      </c>
      <c r="H802" s="114">
        <v>60</v>
      </c>
      <c r="I802" s="114">
        <v>339</v>
      </c>
      <c r="J802" s="114">
        <v>821</v>
      </c>
      <c r="K802" s="114">
        <v>1160</v>
      </c>
      <c r="L802" s="114">
        <v>48</v>
      </c>
      <c r="M802" s="114">
        <v>61</v>
      </c>
      <c r="N802" s="114">
        <v>190</v>
      </c>
      <c r="O802" s="114">
        <v>129</v>
      </c>
      <c r="P802" s="114">
        <v>1479</v>
      </c>
      <c r="Q802" s="114">
        <v>12677</v>
      </c>
      <c r="R802" s="13" t="s">
        <v>25</v>
      </c>
      <c r="S802" s="13" t="s">
        <v>25</v>
      </c>
      <c r="T802" s="13" t="s">
        <v>25</v>
      </c>
    </row>
    <row r="803" spans="1:20" x14ac:dyDescent="0.3">
      <c r="A803" s="14">
        <v>43923.708333333336</v>
      </c>
      <c r="B803" s="13" t="s">
        <v>22</v>
      </c>
      <c r="C803" s="114">
        <v>18</v>
      </c>
      <c r="D803" s="13" t="s">
        <v>45</v>
      </c>
      <c r="E803" s="114">
        <v>3890597598</v>
      </c>
      <c r="F803" s="114">
        <v>1659440194</v>
      </c>
      <c r="G803" s="114">
        <v>163</v>
      </c>
      <c r="H803" s="114">
        <v>19</v>
      </c>
      <c r="I803" s="114">
        <v>182</v>
      </c>
      <c r="J803" s="114">
        <v>445</v>
      </c>
      <c r="K803" s="114">
        <v>627</v>
      </c>
      <c r="L803" s="114">
        <v>17</v>
      </c>
      <c r="M803" s="114">
        <v>22</v>
      </c>
      <c r="N803" s="114">
        <v>23</v>
      </c>
      <c r="O803" s="114">
        <v>41</v>
      </c>
      <c r="P803" s="114">
        <v>691</v>
      </c>
      <c r="Q803" s="114">
        <v>10679</v>
      </c>
      <c r="R803" s="13" t="s">
        <v>25</v>
      </c>
      <c r="S803" s="13" t="s">
        <v>25</v>
      </c>
      <c r="T803" s="13" t="s">
        <v>25</v>
      </c>
    </row>
    <row r="804" spans="1:20" x14ac:dyDescent="0.3">
      <c r="A804" s="14">
        <v>43923.708333333336</v>
      </c>
      <c r="B804" s="13" t="s">
        <v>22</v>
      </c>
      <c r="C804" s="114">
        <v>15</v>
      </c>
      <c r="D804" s="13" t="s">
        <v>46</v>
      </c>
      <c r="E804" s="114">
        <v>4083956555</v>
      </c>
      <c r="F804" s="114">
        <v>1425084984</v>
      </c>
      <c r="G804" s="114">
        <v>503</v>
      </c>
      <c r="H804" s="114">
        <v>120</v>
      </c>
      <c r="I804" s="114">
        <v>623</v>
      </c>
      <c r="J804" s="114">
        <v>1517</v>
      </c>
      <c r="K804" s="114">
        <v>2140</v>
      </c>
      <c r="L804" s="114">
        <v>164</v>
      </c>
      <c r="M804" s="114">
        <v>225</v>
      </c>
      <c r="N804" s="114">
        <v>149</v>
      </c>
      <c r="O804" s="114">
        <v>167</v>
      </c>
      <c r="P804" s="114">
        <v>2456</v>
      </c>
      <c r="Q804" s="114">
        <v>17404</v>
      </c>
      <c r="R804" s="13" t="s">
        <v>25</v>
      </c>
      <c r="S804" s="13" t="s">
        <v>25</v>
      </c>
      <c r="T804" s="13" t="s">
        <v>25</v>
      </c>
    </row>
    <row r="805" spans="1:20" x14ac:dyDescent="0.3">
      <c r="A805" s="14">
        <v>43923.708333333336</v>
      </c>
      <c r="B805" s="13" t="s">
        <v>22</v>
      </c>
      <c r="C805" s="114">
        <v>8</v>
      </c>
      <c r="D805" s="13" t="s">
        <v>96</v>
      </c>
      <c r="E805" s="114">
        <v>4449436681</v>
      </c>
      <c r="F805" s="114">
        <v>113417208</v>
      </c>
      <c r="G805" s="114">
        <v>3944</v>
      </c>
      <c r="H805" s="114">
        <v>366</v>
      </c>
      <c r="I805" s="114">
        <v>4310</v>
      </c>
      <c r="J805" s="114">
        <v>7549</v>
      </c>
      <c r="K805" s="114">
        <v>11859</v>
      </c>
      <c r="L805" s="114">
        <v>370</v>
      </c>
      <c r="M805" s="114">
        <v>546</v>
      </c>
      <c r="N805" s="114">
        <v>1663</v>
      </c>
      <c r="O805" s="114">
        <v>1811</v>
      </c>
      <c r="P805" s="114">
        <v>15333</v>
      </c>
      <c r="Q805" s="114">
        <v>60507</v>
      </c>
      <c r="R805" s="13" t="s">
        <v>25</v>
      </c>
      <c r="S805" s="13" t="s">
        <v>25</v>
      </c>
      <c r="T805" s="13" t="s">
        <v>25</v>
      </c>
    </row>
    <row r="806" spans="1:20" x14ac:dyDescent="0.3">
      <c r="A806" s="14">
        <v>43923.708333333336</v>
      </c>
      <c r="B806" s="13" t="s">
        <v>22</v>
      </c>
      <c r="C806" s="114">
        <v>6</v>
      </c>
      <c r="D806" s="13" t="s">
        <v>47</v>
      </c>
      <c r="E806" s="114">
        <v>456494354</v>
      </c>
      <c r="F806" s="114">
        <v>1376813649</v>
      </c>
      <c r="G806" s="114">
        <v>199</v>
      </c>
      <c r="H806" s="114">
        <v>60</v>
      </c>
      <c r="I806" s="114">
        <v>259</v>
      </c>
      <c r="J806" s="114">
        <v>1035</v>
      </c>
      <c r="K806" s="114">
        <v>1294</v>
      </c>
      <c r="L806" s="114">
        <v>88</v>
      </c>
      <c r="M806" s="114">
        <v>114</v>
      </c>
      <c r="N806" s="114">
        <v>376</v>
      </c>
      <c r="O806" s="114">
        <v>129</v>
      </c>
      <c r="P806" s="114">
        <v>1799</v>
      </c>
      <c r="Q806" s="114">
        <v>17121</v>
      </c>
      <c r="R806" s="13" t="s">
        <v>25</v>
      </c>
      <c r="S806" s="13" t="s">
        <v>25</v>
      </c>
      <c r="T806" s="13" t="s">
        <v>25</v>
      </c>
    </row>
    <row r="807" spans="1:20" x14ac:dyDescent="0.3">
      <c r="A807" s="14">
        <v>43923.708333333336</v>
      </c>
      <c r="B807" s="13" t="s">
        <v>22</v>
      </c>
      <c r="C807" s="114">
        <v>12</v>
      </c>
      <c r="D807" s="13" t="s">
        <v>48</v>
      </c>
      <c r="E807" s="114">
        <v>4189277044</v>
      </c>
      <c r="F807" s="114">
        <v>1248366722</v>
      </c>
      <c r="G807" s="114">
        <v>1169</v>
      </c>
      <c r="H807" s="114">
        <v>181</v>
      </c>
      <c r="I807" s="114">
        <v>1350</v>
      </c>
      <c r="J807" s="114">
        <v>1529</v>
      </c>
      <c r="K807" s="114">
        <v>2879</v>
      </c>
      <c r="L807" s="114">
        <v>121</v>
      </c>
      <c r="M807" s="114">
        <v>169</v>
      </c>
      <c r="N807" s="114">
        <v>369</v>
      </c>
      <c r="O807" s="114">
        <v>185</v>
      </c>
      <c r="P807" s="114">
        <v>3433</v>
      </c>
      <c r="Q807" s="114">
        <v>41575</v>
      </c>
      <c r="R807" s="13" t="s">
        <v>25</v>
      </c>
      <c r="S807" s="13" t="s">
        <v>25</v>
      </c>
      <c r="T807" s="13" t="s">
        <v>25</v>
      </c>
    </row>
    <row r="808" spans="1:20" x14ac:dyDescent="0.3">
      <c r="A808" s="14">
        <v>43923.708333333336</v>
      </c>
      <c r="B808" s="13" t="s">
        <v>22</v>
      </c>
      <c r="C808" s="114">
        <v>7</v>
      </c>
      <c r="D808" s="13" t="s">
        <v>49</v>
      </c>
      <c r="E808" s="114">
        <v>4441149315</v>
      </c>
      <c r="F808" s="114">
        <v>89326992</v>
      </c>
      <c r="G808" s="114">
        <v>1120</v>
      </c>
      <c r="H808" s="114">
        <v>172</v>
      </c>
      <c r="I808" s="114">
        <v>1292</v>
      </c>
      <c r="J808" s="114">
        <v>1368</v>
      </c>
      <c r="K808" s="114">
        <v>2660</v>
      </c>
      <c r="L808" s="114">
        <v>15</v>
      </c>
      <c r="M808" s="114">
        <v>122</v>
      </c>
      <c r="N808" s="114">
        <v>634</v>
      </c>
      <c r="O808" s="114">
        <v>488</v>
      </c>
      <c r="P808" s="114">
        <v>3782</v>
      </c>
      <c r="Q808" s="114">
        <v>12069</v>
      </c>
      <c r="R808" s="13" t="s">
        <v>25</v>
      </c>
      <c r="S808" s="13" t="s">
        <v>25</v>
      </c>
      <c r="T808" s="13" t="s">
        <v>25</v>
      </c>
    </row>
    <row r="809" spans="1:20" x14ac:dyDescent="0.3">
      <c r="A809" s="14">
        <v>43923.708333333336</v>
      </c>
      <c r="B809" s="13" t="s">
        <v>22</v>
      </c>
      <c r="C809" s="114">
        <v>3</v>
      </c>
      <c r="D809" s="13" t="s">
        <v>50</v>
      </c>
      <c r="E809" s="114">
        <v>4546679409</v>
      </c>
      <c r="F809" s="114">
        <v>9190347404</v>
      </c>
      <c r="G809" s="114">
        <v>11762</v>
      </c>
      <c r="H809" s="114">
        <v>1351</v>
      </c>
      <c r="I809" s="114">
        <v>13113</v>
      </c>
      <c r="J809" s="114">
        <v>12763</v>
      </c>
      <c r="K809" s="114">
        <v>25876</v>
      </c>
      <c r="L809" s="114">
        <v>111</v>
      </c>
      <c r="M809" s="114">
        <v>1292</v>
      </c>
      <c r="N809" s="114">
        <v>12229</v>
      </c>
      <c r="O809" s="114">
        <v>7960</v>
      </c>
      <c r="P809" s="114">
        <v>46065</v>
      </c>
      <c r="Q809" s="114">
        <v>128286</v>
      </c>
      <c r="R809" s="13" t="s">
        <v>25</v>
      </c>
      <c r="S809" s="13" t="s">
        <v>25</v>
      </c>
      <c r="T809" s="13" t="s">
        <v>25</v>
      </c>
    </row>
    <row r="810" spans="1:20" x14ac:dyDescent="0.3">
      <c r="A810" s="14">
        <v>43923.708333333336</v>
      </c>
      <c r="B810" s="13" t="s">
        <v>22</v>
      </c>
      <c r="C810" s="114">
        <v>11</v>
      </c>
      <c r="D810" s="13" t="s">
        <v>51</v>
      </c>
      <c r="E810" s="114">
        <v>4361675973</v>
      </c>
      <c r="F810" s="114">
        <v>135188753</v>
      </c>
      <c r="G810" s="114">
        <v>986</v>
      </c>
      <c r="H810" s="114">
        <v>164</v>
      </c>
      <c r="I810" s="114">
        <v>1150</v>
      </c>
      <c r="J810" s="114">
        <v>2405</v>
      </c>
      <c r="K810" s="114">
        <v>3555</v>
      </c>
      <c r="L810" s="114">
        <v>99</v>
      </c>
      <c r="M810" s="114">
        <v>136</v>
      </c>
      <c r="N810" s="114">
        <v>40</v>
      </c>
      <c r="O810" s="114">
        <v>503</v>
      </c>
      <c r="P810" s="114">
        <v>4098</v>
      </c>
      <c r="Q810" s="114">
        <v>12943</v>
      </c>
      <c r="R810" s="13" t="s">
        <v>25</v>
      </c>
      <c r="S810" s="13" t="s">
        <v>25</v>
      </c>
      <c r="T810" s="13" t="s">
        <v>25</v>
      </c>
    </row>
    <row r="811" spans="1:20" x14ac:dyDescent="0.3">
      <c r="A811" s="14">
        <v>43923.708333333336</v>
      </c>
      <c r="B811" s="13" t="s">
        <v>22</v>
      </c>
      <c r="C811" s="114">
        <v>14</v>
      </c>
      <c r="D811" s="13" t="s">
        <v>52</v>
      </c>
      <c r="E811" s="114">
        <v>4155774754</v>
      </c>
      <c r="F811" s="114">
        <v>1465916051</v>
      </c>
      <c r="G811" s="114">
        <v>30</v>
      </c>
      <c r="H811" s="114">
        <v>8</v>
      </c>
      <c r="I811" s="114">
        <v>38</v>
      </c>
      <c r="J811" s="114">
        <v>95</v>
      </c>
      <c r="K811" s="114">
        <v>133</v>
      </c>
      <c r="L811" s="114">
        <v>2</v>
      </c>
      <c r="M811" s="114">
        <v>5</v>
      </c>
      <c r="N811" s="114">
        <v>21</v>
      </c>
      <c r="O811" s="114">
        <v>11</v>
      </c>
      <c r="P811" s="114">
        <v>165</v>
      </c>
      <c r="Q811" s="114">
        <v>1229</v>
      </c>
      <c r="R811" s="13" t="s">
        <v>25</v>
      </c>
      <c r="S811" s="13" t="s">
        <v>25</v>
      </c>
      <c r="T811" s="13" t="s">
        <v>25</v>
      </c>
    </row>
    <row r="812" spans="1:20" x14ac:dyDescent="0.3">
      <c r="A812" s="14">
        <v>43923.708333333336</v>
      </c>
      <c r="B812" s="13" t="s">
        <v>22</v>
      </c>
      <c r="C812" s="114">
        <v>1</v>
      </c>
      <c r="D812" s="13" t="s">
        <v>53</v>
      </c>
      <c r="E812" s="114">
        <v>450732745</v>
      </c>
      <c r="F812" s="114">
        <v>7680687483</v>
      </c>
      <c r="G812" s="114">
        <v>3341</v>
      </c>
      <c r="H812" s="114">
        <v>453</v>
      </c>
      <c r="I812" s="114">
        <v>3794</v>
      </c>
      <c r="J812" s="114">
        <v>5005</v>
      </c>
      <c r="K812" s="114">
        <v>8799</v>
      </c>
      <c r="L812" s="114">
        <v>329</v>
      </c>
      <c r="M812" s="114">
        <v>558</v>
      </c>
      <c r="N812" s="114">
        <v>571</v>
      </c>
      <c r="O812" s="114">
        <v>983</v>
      </c>
      <c r="P812" s="114">
        <v>10353</v>
      </c>
      <c r="Q812" s="114">
        <v>32100</v>
      </c>
      <c r="R812" s="13" t="s">
        <v>25</v>
      </c>
      <c r="S812" s="13" t="s">
        <v>25</v>
      </c>
      <c r="T812" s="13" t="s">
        <v>25</v>
      </c>
    </row>
    <row r="813" spans="1:20" x14ac:dyDescent="0.3">
      <c r="A813" s="14">
        <v>43923.708333333336</v>
      </c>
      <c r="B813" s="13" t="s">
        <v>22</v>
      </c>
      <c r="C813" s="114">
        <v>16</v>
      </c>
      <c r="D813" s="13" t="s">
        <v>54</v>
      </c>
      <c r="E813" s="114">
        <v>4112559576</v>
      </c>
      <c r="F813" s="114">
        <v>1686736689</v>
      </c>
      <c r="G813" s="114">
        <v>645</v>
      </c>
      <c r="H813" s="114">
        <v>118</v>
      </c>
      <c r="I813" s="114">
        <v>763</v>
      </c>
      <c r="J813" s="114">
        <v>1101</v>
      </c>
      <c r="K813" s="114">
        <v>1864</v>
      </c>
      <c r="L813" s="114">
        <v>108</v>
      </c>
      <c r="M813" s="114">
        <v>131</v>
      </c>
      <c r="N813" s="114">
        <v>69</v>
      </c>
      <c r="O813" s="114">
        <v>144</v>
      </c>
      <c r="P813" s="114">
        <v>2077</v>
      </c>
      <c r="Q813" s="114">
        <v>16554</v>
      </c>
      <c r="R813" s="13" t="s">
        <v>25</v>
      </c>
      <c r="S813" s="13" t="s">
        <v>25</v>
      </c>
      <c r="T813" s="13" t="s">
        <v>25</v>
      </c>
    </row>
    <row r="814" spans="1:20" x14ac:dyDescent="0.3">
      <c r="A814" s="14">
        <v>43923.708333333336</v>
      </c>
      <c r="B814" s="13" t="s">
        <v>22</v>
      </c>
      <c r="C814" s="114">
        <v>20</v>
      </c>
      <c r="D814" s="13" t="s">
        <v>55</v>
      </c>
      <c r="E814" s="114">
        <v>3921531192</v>
      </c>
      <c r="F814" s="114">
        <v>9110616306</v>
      </c>
      <c r="G814" s="114">
        <v>117</v>
      </c>
      <c r="H814" s="114">
        <v>24</v>
      </c>
      <c r="I814" s="114">
        <v>141</v>
      </c>
      <c r="J814" s="114">
        <v>577</v>
      </c>
      <c r="K814" s="114">
        <v>718</v>
      </c>
      <c r="L814" s="114">
        <v>43</v>
      </c>
      <c r="M814" s="114">
        <v>49</v>
      </c>
      <c r="N814" s="114">
        <v>36</v>
      </c>
      <c r="O814" s="114">
        <v>40</v>
      </c>
      <c r="P814" s="114">
        <v>794</v>
      </c>
      <c r="Q814" s="114">
        <v>5970</v>
      </c>
      <c r="R814" s="13" t="s">
        <v>25</v>
      </c>
      <c r="S814" s="13" t="s">
        <v>25</v>
      </c>
      <c r="T814" s="13" t="s">
        <v>25</v>
      </c>
    </row>
    <row r="815" spans="1:20" x14ac:dyDescent="0.3">
      <c r="A815" s="14">
        <v>43923.708333333336</v>
      </c>
      <c r="B815" s="13" t="s">
        <v>22</v>
      </c>
      <c r="C815" s="114">
        <v>19</v>
      </c>
      <c r="D815" s="13" t="s">
        <v>56</v>
      </c>
      <c r="E815" s="114">
        <v>3811569725</v>
      </c>
      <c r="F815" s="114">
        <v>133623567</v>
      </c>
      <c r="G815" s="114">
        <v>503</v>
      </c>
      <c r="H815" s="114">
        <v>73</v>
      </c>
      <c r="I815" s="114">
        <v>576</v>
      </c>
      <c r="J815" s="114">
        <v>1030</v>
      </c>
      <c r="K815" s="114">
        <v>1606</v>
      </c>
      <c r="L815" s="114">
        <v>62</v>
      </c>
      <c r="M815" s="114">
        <v>73</v>
      </c>
      <c r="N815" s="114">
        <v>92</v>
      </c>
      <c r="O815" s="114">
        <v>93</v>
      </c>
      <c r="P815" s="114">
        <v>1791</v>
      </c>
      <c r="Q815" s="114">
        <v>17833</v>
      </c>
      <c r="R815" s="13" t="s">
        <v>25</v>
      </c>
      <c r="S815" s="13" t="s">
        <v>25</v>
      </c>
      <c r="T815" s="13" t="s">
        <v>25</v>
      </c>
    </row>
    <row r="816" spans="1:20" x14ac:dyDescent="0.3">
      <c r="A816" s="14">
        <v>43923.708333333336</v>
      </c>
      <c r="B816" s="13" t="s">
        <v>22</v>
      </c>
      <c r="C816" s="114">
        <v>9</v>
      </c>
      <c r="D816" s="13" t="s">
        <v>57</v>
      </c>
      <c r="E816" s="114">
        <v>4376923077</v>
      </c>
      <c r="F816" s="114">
        <v>1125588885</v>
      </c>
      <c r="G816" s="114">
        <v>1135</v>
      </c>
      <c r="H816" s="114">
        <v>295</v>
      </c>
      <c r="I816" s="114">
        <v>1430</v>
      </c>
      <c r="J816" s="114">
        <v>3359</v>
      </c>
      <c r="K816" s="114">
        <v>4789</v>
      </c>
      <c r="L816" s="114">
        <v>357</v>
      </c>
      <c r="M816" s="114">
        <v>406</v>
      </c>
      <c r="N816" s="114">
        <v>216</v>
      </c>
      <c r="O816" s="114">
        <v>268</v>
      </c>
      <c r="P816" s="114">
        <v>5273</v>
      </c>
      <c r="Q816" s="114">
        <v>40724</v>
      </c>
      <c r="R816" s="13" t="s">
        <v>25</v>
      </c>
      <c r="S816" s="13" t="s">
        <v>25</v>
      </c>
      <c r="T816" s="13" t="s">
        <v>25</v>
      </c>
    </row>
    <row r="817" spans="1:20" x14ac:dyDescent="0.3">
      <c r="A817" s="14">
        <v>43923.708333333336</v>
      </c>
      <c r="B817" s="13" t="s">
        <v>22</v>
      </c>
      <c r="C817" s="114">
        <v>4</v>
      </c>
      <c r="D817" s="13" t="s">
        <v>58</v>
      </c>
      <c r="E817" s="114">
        <v>4606893511</v>
      </c>
      <c r="F817" s="114">
        <v>1112123097</v>
      </c>
      <c r="G817" s="114">
        <v>339</v>
      </c>
      <c r="H817" s="114">
        <v>78</v>
      </c>
      <c r="I817" s="114">
        <v>417</v>
      </c>
      <c r="J817" s="114">
        <v>1170</v>
      </c>
      <c r="K817" s="114">
        <v>1587</v>
      </c>
      <c r="L817" s="114">
        <v>104</v>
      </c>
      <c r="M817" s="114">
        <v>133</v>
      </c>
      <c r="N817" s="114">
        <v>229</v>
      </c>
      <c r="O817" s="114">
        <v>187</v>
      </c>
      <c r="P817" s="114">
        <v>2003</v>
      </c>
      <c r="Q817" s="114">
        <v>8496</v>
      </c>
      <c r="R817" s="13" t="s">
        <v>25</v>
      </c>
      <c r="S817" s="13" t="s">
        <v>25</v>
      </c>
      <c r="T817" s="13" t="s">
        <v>25</v>
      </c>
    </row>
    <row r="818" spans="1:20" x14ac:dyDescent="0.3">
      <c r="A818" s="14">
        <v>43923.708333333336</v>
      </c>
      <c r="B818" s="13" t="s">
        <v>22</v>
      </c>
      <c r="C818" s="114">
        <v>10</v>
      </c>
      <c r="D818" s="13" t="s">
        <v>59</v>
      </c>
      <c r="E818" s="114">
        <v>4310675841</v>
      </c>
      <c r="F818" s="114">
        <v>1238824698</v>
      </c>
      <c r="G818" s="114">
        <v>171</v>
      </c>
      <c r="H818" s="114">
        <v>47</v>
      </c>
      <c r="I818" s="114">
        <v>218</v>
      </c>
      <c r="J818" s="114">
        <v>667</v>
      </c>
      <c r="K818" s="114">
        <v>885</v>
      </c>
      <c r="L818" s="114">
        <v>21</v>
      </c>
      <c r="M818" s="114">
        <v>33</v>
      </c>
      <c r="N818" s="114">
        <v>205</v>
      </c>
      <c r="O818" s="114">
        <v>38</v>
      </c>
      <c r="P818" s="114">
        <v>1128</v>
      </c>
      <c r="Q818" s="114">
        <v>9737</v>
      </c>
      <c r="R818" s="13" t="s">
        <v>25</v>
      </c>
      <c r="S818" s="13" t="s">
        <v>25</v>
      </c>
      <c r="T818" s="13" t="s">
        <v>25</v>
      </c>
    </row>
    <row r="819" spans="1:20" x14ac:dyDescent="0.3">
      <c r="A819" s="14">
        <v>43923.708333333336</v>
      </c>
      <c r="B819" s="13" t="s">
        <v>22</v>
      </c>
      <c r="C819" s="114">
        <v>2</v>
      </c>
      <c r="D819" s="13" t="s">
        <v>60</v>
      </c>
      <c r="E819" s="114">
        <v>4573750286</v>
      </c>
      <c r="F819" s="114">
        <v>7320149366</v>
      </c>
      <c r="G819" s="114">
        <v>85</v>
      </c>
      <c r="H819" s="114">
        <v>25</v>
      </c>
      <c r="I819" s="114">
        <v>110</v>
      </c>
      <c r="J819" s="114">
        <v>446</v>
      </c>
      <c r="K819" s="114">
        <v>556</v>
      </c>
      <c r="L819" s="114">
        <v>16</v>
      </c>
      <c r="M819" s="114">
        <v>37</v>
      </c>
      <c r="N819" s="114">
        <v>49</v>
      </c>
      <c r="O819" s="114">
        <v>63</v>
      </c>
      <c r="P819" s="114">
        <v>668</v>
      </c>
      <c r="Q819" s="114">
        <v>1934</v>
      </c>
      <c r="R819" s="13" t="s">
        <v>25</v>
      </c>
      <c r="S819" s="13" t="s">
        <v>25</v>
      </c>
      <c r="T819" s="13" t="s">
        <v>25</v>
      </c>
    </row>
    <row r="820" spans="1:20" x14ac:dyDescent="0.3">
      <c r="A820" s="14">
        <v>43923.708333333336</v>
      </c>
      <c r="B820" s="13" t="s">
        <v>22</v>
      </c>
      <c r="C820" s="114">
        <v>5</v>
      </c>
      <c r="D820" s="13" t="s">
        <v>61</v>
      </c>
      <c r="E820" s="114">
        <v>4543490485</v>
      </c>
      <c r="F820" s="114">
        <v>1233845213</v>
      </c>
      <c r="G820" s="114">
        <v>1670</v>
      </c>
      <c r="H820" s="114">
        <v>345</v>
      </c>
      <c r="I820" s="114">
        <v>2015</v>
      </c>
      <c r="J820" s="114">
        <v>6563</v>
      </c>
      <c r="K820" s="114">
        <v>8578</v>
      </c>
      <c r="L820" s="114">
        <v>354</v>
      </c>
      <c r="M820" s="114">
        <v>486</v>
      </c>
      <c r="N820" s="114">
        <v>1001</v>
      </c>
      <c r="O820" s="114">
        <v>532</v>
      </c>
      <c r="P820" s="114">
        <v>10111</v>
      </c>
      <c r="Q820" s="114">
        <v>120320</v>
      </c>
      <c r="R820" s="13" t="s">
        <v>25</v>
      </c>
      <c r="S820" s="13" t="s">
        <v>25</v>
      </c>
      <c r="T820" s="13" t="s">
        <v>25</v>
      </c>
    </row>
    <row r="821" spans="1:20" x14ac:dyDescent="0.3">
      <c r="A821" s="14">
        <v>43924.708333333336</v>
      </c>
      <c r="B821" s="13" t="s">
        <v>22</v>
      </c>
      <c r="C821" s="114">
        <v>13</v>
      </c>
      <c r="D821" s="13" t="s">
        <v>42</v>
      </c>
      <c r="E821" s="114">
        <v>4235122196</v>
      </c>
      <c r="F821" s="114">
        <v>1339843823</v>
      </c>
      <c r="G821" s="114">
        <v>361</v>
      </c>
      <c r="H821" s="114">
        <v>76</v>
      </c>
      <c r="I821" s="114">
        <v>437</v>
      </c>
      <c r="J821" s="114">
        <v>864</v>
      </c>
      <c r="K821" s="114">
        <v>1301</v>
      </c>
      <c r="L821" s="114">
        <v>50</v>
      </c>
      <c r="M821" s="114">
        <v>66</v>
      </c>
      <c r="N821" s="114">
        <v>116</v>
      </c>
      <c r="O821" s="114">
        <v>146</v>
      </c>
      <c r="P821" s="114">
        <v>1563</v>
      </c>
      <c r="Q821" s="114">
        <v>11890</v>
      </c>
      <c r="R821" s="13" t="s">
        <v>25</v>
      </c>
      <c r="S821" s="13" t="s">
        <v>25</v>
      </c>
      <c r="T821" s="13" t="s">
        <v>25</v>
      </c>
    </row>
    <row r="822" spans="1:20" x14ac:dyDescent="0.3">
      <c r="A822" s="14">
        <v>43924.708333333336</v>
      </c>
      <c r="B822" s="13" t="s">
        <v>22</v>
      </c>
      <c r="C822" s="114">
        <v>17</v>
      </c>
      <c r="D822" s="13" t="s">
        <v>43</v>
      </c>
      <c r="E822" s="114">
        <v>4063947052</v>
      </c>
      <c r="F822" s="114">
        <v>1580514834</v>
      </c>
      <c r="G822" s="114">
        <v>41</v>
      </c>
      <c r="H822" s="114">
        <v>19</v>
      </c>
      <c r="I822" s="114">
        <v>60</v>
      </c>
      <c r="J822" s="114">
        <v>187</v>
      </c>
      <c r="K822" s="114">
        <v>247</v>
      </c>
      <c r="L822" s="114">
        <v>14</v>
      </c>
      <c r="M822" s="114">
        <v>15</v>
      </c>
      <c r="N822" s="114">
        <v>3</v>
      </c>
      <c r="O822" s="114">
        <v>11</v>
      </c>
      <c r="P822" s="114">
        <v>261</v>
      </c>
      <c r="Q822" s="114">
        <v>2622</v>
      </c>
      <c r="R822" s="13" t="s">
        <v>25</v>
      </c>
      <c r="S822" s="13" t="s">
        <v>25</v>
      </c>
      <c r="T822" s="13" t="s">
        <v>25</v>
      </c>
    </row>
    <row r="823" spans="1:20" x14ac:dyDescent="0.3">
      <c r="A823" s="14">
        <v>43924.708333333336</v>
      </c>
      <c r="B823" s="13" t="s">
        <v>22</v>
      </c>
      <c r="C823" s="114">
        <v>4</v>
      </c>
      <c r="D823" s="13" t="s">
        <v>44</v>
      </c>
      <c r="E823" s="114">
        <v>4649933453</v>
      </c>
      <c r="F823" s="114">
        <v>1135662422</v>
      </c>
      <c r="G823" s="114">
        <v>291</v>
      </c>
      <c r="H823" s="114">
        <v>60</v>
      </c>
      <c r="I823" s="114">
        <v>351</v>
      </c>
      <c r="J823" s="114">
        <v>858</v>
      </c>
      <c r="K823" s="114">
        <v>1209</v>
      </c>
      <c r="L823" s="114">
        <v>49</v>
      </c>
      <c r="M823" s="114">
        <v>80</v>
      </c>
      <c r="N823" s="114">
        <v>211</v>
      </c>
      <c r="O823" s="114">
        <v>139</v>
      </c>
      <c r="P823" s="114">
        <v>1559</v>
      </c>
      <c r="Q823" s="114">
        <v>13976</v>
      </c>
      <c r="R823" s="13" t="s">
        <v>25</v>
      </c>
      <c r="S823" s="13" t="s">
        <v>25</v>
      </c>
      <c r="T823" s="13" t="s">
        <v>25</v>
      </c>
    </row>
    <row r="824" spans="1:20" x14ac:dyDescent="0.3">
      <c r="A824" s="14">
        <v>43924.708333333336</v>
      </c>
      <c r="B824" s="13" t="s">
        <v>22</v>
      </c>
      <c r="C824" s="114">
        <v>18</v>
      </c>
      <c r="D824" s="13" t="s">
        <v>45</v>
      </c>
      <c r="E824" s="114">
        <v>3890597598</v>
      </c>
      <c r="F824" s="114">
        <v>1659440194</v>
      </c>
      <c r="G824" s="114">
        <v>183</v>
      </c>
      <c r="H824" s="114">
        <v>17</v>
      </c>
      <c r="I824" s="114">
        <v>200</v>
      </c>
      <c r="J824" s="114">
        <v>462</v>
      </c>
      <c r="K824" s="114">
        <v>662</v>
      </c>
      <c r="L824" s="114">
        <v>35</v>
      </c>
      <c r="M824" s="114">
        <v>42</v>
      </c>
      <c r="N824" s="114">
        <v>26</v>
      </c>
      <c r="O824" s="114">
        <v>45</v>
      </c>
      <c r="P824" s="114">
        <v>733</v>
      </c>
      <c r="Q824" s="114">
        <v>11608</v>
      </c>
      <c r="R824" s="13" t="s">
        <v>25</v>
      </c>
      <c r="S824" s="13" t="s">
        <v>25</v>
      </c>
      <c r="T824" s="13" t="s">
        <v>25</v>
      </c>
    </row>
    <row r="825" spans="1:20" x14ac:dyDescent="0.3">
      <c r="A825" s="14">
        <v>43924.708333333336</v>
      </c>
      <c r="B825" s="13" t="s">
        <v>22</v>
      </c>
      <c r="C825" s="114">
        <v>15</v>
      </c>
      <c r="D825" s="13" t="s">
        <v>46</v>
      </c>
      <c r="E825" s="114">
        <v>4083956555</v>
      </c>
      <c r="F825" s="114">
        <v>1425084984</v>
      </c>
      <c r="G825" s="114">
        <v>532</v>
      </c>
      <c r="H825" s="114">
        <v>115</v>
      </c>
      <c r="I825" s="114">
        <v>647</v>
      </c>
      <c r="J825" s="114">
        <v>1705</v>
      </c>
      <c r="K825" s="114">
        <v>2352</v>
      </c>
      <c r="L825" s="114">
        <v>212</v>
      </c>
      <c r="M825" s="114">
        <v>221</v>
      </c>
      <c r="N825" s="114">
        <v>144</v>
      </c>
      <c r="O825" s="114">
        <v>181</v>
      </c>
      <c r="P825" s="114">
        <v>2677</v>
      </c>
      <c r="Q825" s="114">
        <v>19237</v>
      </c>
      <c r="R825" s="13" t="s">
        <v>25</v>
      </c>
      <c r="S825" s="13" t="s">
        <v>25</v>
      </c>
      <c r="T825" s="13" t="s">
        <v>25</v>
      </c>
    </row>
    <row r="826" spans="1:20" x14ac:dyDescent="0.3">
      <c r="A826" s="14">
        <v>43924.708333333336</v>
      </c>
      <c r="B826" s="13" t="s">
        <v>22</v>
      </c>
      <c r="C826" s="114">
        <v>8</v>
      </c>
      <c r="D826" s="13" t="s">
        <v>96</v>
      </c>
      <c r="E826" s="114">
        <v>4449436681</v>
      </c>
      <c r="F826" s="114">
        <v>113417208</v>
      </c>
      <c r="G826" s="114">
        <v>3915</v>
      </c>
      <c r="H826" s="114">
        <v>364</v>
      </c>
      <c r="I826" s="114">
        <v>4279</v>
      </c>
      <c r="J826" s="114">
        <v>7899</v>
      </c>
      <c r="K826" s="114">
        <v>12178</v>
      </c>
      <c r="L826" s="114">
        <v>319</v>
      </c>
      <c r="M826" s="114">
        <v>599</v>
      </c>
      <c r="N826" s="114">
        <v>1852</v>
      </c>
      <c r="O826" s="114">
        <v>1902</v>
      </c>
      <c r="P826" s="114">
        <v>15932</v>
      </c>
      <c r="Q826" s="114">
        <v>63682</v>
      </c>
      <c r="R826" s="13" t="s">
        <v>25</v>
      </c>
      <c r="S826" s="13" t="s">
        <v>25</v>
      </c>
      <c r="T826" s="13" t="s">
        <v>25</v>
      </c>
    </row>
    <row r="827" spans="1:20" x14ac:dyDescent="0.3">
      <c r="A827" s="14">
        <v>43924.708333333336</v>
      </c>
      <c r="B827" s="13" t="s">
        <v>22</v>
      </c>
      <c r="C827" s="114">
        <v>6</v>
      </c>
      <c r="D827" s="13" t="s">
        <v>47</v>
      </c>
      <c r="E827" s="114">
        <v>456494354</v>
      </c>
      <c r="F827" s="114">
        <v>1376813649</v>
      </c>
      <c r="G827" s="114">
        <v>201</v>
      </c>
      <c r="H827" s="114">
        <v>61</v>
      </c>
      <c r="I827" s="114">
        <v>262</v>
      </c>
      <c r="J827" s="114">
        <v>1062</v>
      </c>
      <c r="K827" s="114">
        <v>1324</v>
      </c>
      <c r="L827" s="114">
        <v>30</v>
      </c>
      <c r="M827" s="114">
        <v>80</v>
      </c>
      <c r="N827" s="114">
        <v>419</v>
      </c>
      <c r="O827" s="114">
        <v>136</v>
      </c>
      <c r="P827" s="114">
        <v>1879</v>
      </c>
      <c r="Q827" s="114">
        <v>19985</v>
      </c>
      <c r="R827" s="13" t="s">
        <v>25</v>
      </c>
      <c r="S827" s="13" t="s">
        <v>25</v>
      </c>
      <c r="T827" s="13" t="s">
        <v>25</v>
      </c>
    </row>
    <row r="828" spans="1:20" x14ac:dyDescent="0.3">
      <c r="A828" s="14">
        <v>43924.708333333336</v>
      </c>
      <c r="B828" s="13" t="s">
        <v>22</v>
      </c>
      <c r="C828" s="114">
        <v>12</v>
      </c>
      <c r="D828" s="13" t="s">
        <v>48</v>
      </c>
      <c r="E828" s="114">
        <v>4189277044</v>
      </c>
      <c r="F828" s="114">
        <v>1248366722</v>
      </c>
      <c r="G828" s="114">
        <v>1194</v>
      </c>
      <c r="H828" s="114">
        <v>188</v>
      </c>
      <c r="I828" s="114">
        <v>1382</v>
      </c>
      <c r="J828" s="114">
        <v>1627</v>
      </c>
      <c r="K828" s="114">
        <v>3009</v>
      </c>
      <c r="L828" s="114">
        <v>130</v>
      </c>
      <c r="M828" s="114">
        <v>167</v>
      </c>
      <c r="N828" s="114">
        <v>392</v>
      </c>
      <c r="O828" s="114">
        <v>199</v>
      </c>
      <c r="P828" s="114">
        <v>3600</v>
      </c>
      <c r="Q828" s="114">
        <v>43776</v>
      </c>
      <c r="R828" s="13" t="s">
        <v>25</v>
      </c>
      <c r="S828" s="13" t="s">
        <v>25</v>
      </c>
      <c r="T828" s="13" t="s">
        <v>25</v>
      </c>
    </row>
    <row r="829" spans="1:20" x14ac:dyDescent="0.3">
      <c r="A829" s="14">
        <v>43924.708333333336</v>
      </c>
      <c r="B829" s="13" t="s">
        <v>22</v>
      </c>
      <c r="C829" s="114">
        <v>7</v>
      </c>
      <c r="D829" s="13" t="s">
        <v>49</v>
      </c>
      <c r="E829" s="114">
        <v>4441149315</v>
      </c>
      <c r="F829" s="114">
        <v>89326992</v>
      </c>
      <c r="G829" s="114">
        <v>1147</v>
      </c>
      <c r="H829" s="114">
        <v>173</v>
      </c>
      <c r="I829" s="114">
        <v>1320</v>
      </c>
      <c r="J829" s="114">
        <v>1426</v>
      </c>
      <c r="K829" s="114">
        <v>2746</v>
      </c>
      <c r="L829" s="114">
        <v>86</v>
      </c>
      <c r="M829" s="114">
        <v>183</v>
      </c>
      <c r="N829" s="114">
        <v>700</v>
      </c>
      <c r="O829" s="114">
        <v>519</v>
      </c>
      <c r="P829" s="114">
        <v>3965</v>
      </c>
      <c r="Q829" s="114">
        <v>12934</v>
      </c>
      <c r="R829" s="13" t="s">
        <v>25</v>
      </c>
      <c r="S829" s="13" t="s">
        <v>25</v>
      </c>
      <c r="T829" s="13" t="s">
        <v>25</v>
      </c>
    </row>
    <row r="830" spans="1:20" x14ac:dyDescent="0.3">
      <c r="A830" s="14">
        <v>43924.708333333336</v>
      </c>
      <c r="B830" s="13" t="s">
        <v>22</v>
      </c>
      <c r="C830" s="114">
        <v>3</v>
      </c>
      <c r="D830" s="13" t="s">
        <v>50</v>
      </c>
      <c r="E830" s="114">
        <v>4546679409</v>
      </c>
      <c r="F830" s="114">
        <v>9190347404</v>
      </c>
      <c r="G830" s="114">
        <v>11802</v>
      </c>
      <c r="H830" s="114">
        <v>1381</v>
      </c>
      <c r="I830" s="114">
        <v>13183</v>
      </c>
      <c r="J830" s="114">
        <v>13006</v>
      </c>
      <c r="K830" s="114">
        <v>26189</v>
      </c>
      <c r="L830" s="114">
        <v>313</v>
      </c>
      <c r="M830" s="114">
        <v>1455</v>
      </c>
      <c r="N830" s="114">
        <v>13020</v>
      </c>
      <c r="O830" s="114">
        <v>8311</v>
      </c>
      <c r="P830" s="114">
        <v>47520</v>
      </c>
      <c r="Q830" s="114">
        <v>135051</v>
      </c>
      <c r="R830" s="13" t="s">
        <v>25</v>
      </c>
      <c r="S830" s="13" t="s">
        <v>25</v>
      </c>
      <c r="T830" s="13" t="s">
        <v>25</v>
      </c>
    </row>
    <row r="831" spans="1:20" x14ac:dyDescent="0.3">
      <c r="A831" s="14">
        <v>43924.708333333336</v>
      </c>
      <c r="B831" s="13" t="s">
        <v>22</v>
      </c>
      <c r="C831" s="114">
        <v>11</v>
      </c>
      <c r="D831" s="13" t="s">
        <v>51</v>
      </c>
      <c r="E831" s="114">
        <v>4361675973</v>
      </c>
      <c r="F831" s="114">
        <v>135188753</v>
      </c>
      <c r="G831" s="114">
        <v>982</v>
      </c>
      <c r="H831" s="114">
        <v>158</v>
      </c>
      <c r="I831" s="114">
        <v>1140</v>
      </c>
      <c r="J831" s="114">
        <v>2491</v>
      </c>
      <c r="K831" s="114">
        <v>3631</v>
      </c>
      <c r="L831" s="114">
        <v>76</v>
      </c>
      <c r="M831" s="114">
        <v>132</v>
      </c>
      <c r="N831" s="114">
        <v>42</v>
      </c>
      <c r="O831" s="114">
        <v>557</v>
      </c>
      <c r="P831" s="114">
        <v>4230</v>
      </c>
      <c r="Q831" s="114">
        <v>13678</v>
      </c>
      <c r="R831" s="13" t="s">
        <v>25</v>
      </c>
      <c r="S831" s="13" t="s">
        <v>25</v>
      </c>
      <c r="T831" s="13" t="s">
        <v>25</v>
      </c>
    </row>
    <row r="832" spans="1:20" x14ac:dyDescent="0.3">
      <c r="A832" s="14">
        <v>43924.708333333336</v>
      </c>
      <c r="B832" s="13" t="s">
        <v>22</v>
      </c>
      <c r="C832" s="114">
        <v>14</v>
      </c>
      <c r="D832" s="13" t="s">
        <v>52</v>
      </c>
      <c r="E832" s="114">
        <v>4155774754</v>
      </c>
      <c r="F832" s="114">
        <v>1465916051</v>
      </c>
      <c r="G832" s="114">
        <v>31</v>
      </c>
      <c r="H832" s="114">
        <v>8</v>
      </c>
      <c r="I832" s="114">
        <v>39</v>
      </c>
      <c r="J832" s="114">
        <v>105</v>
      </c>
      <c r="K832" s="114">
        <v>144</v>
      </c>
      <c r="L832" s="114">
        <v>11</v>
      </c>
      <c r="M832" s="114">
        <v>11</v>
      </c>
      <c r="N832" s="114">
        <v>21</v>
      </c>
      <c r="O832" s="114">
        <v>11</v>
      </c>
      <c r="P832" s="114">
        <v>176</v>
      </c>
      <c r="Q832" s="114">
        <v>1378</v>
      </c>
      <c r="R832" s="13" t="s">
        <v>25</v>
      </c>
      <c r="S832" s="13" t="s">
        <v>25</v>
      </c>
      <c r="T832" s="13" t="s">
        <v>25</v>
      </c>
    </row>
    <row r="833" spans="1:20" x14ac:dyDescent="0.3">
      <c r="A833" s="14">
        <v>43924.708333333336</v>
      </c>
      <c r="B833" s="13" t="s">
        <v>22</v>
      </c>
      <c r="C833" s="114">
        <v>1</v>
      </c>
      <c r="D833" s="13" t="s">
        <v>53</v>
      </c>
      <c r="E833" s="114">
        <v>450732745</v>
      </c>
      <c r="F833" s="114">
        <v>7680687483</v>
      </c>
      <c r="G833" s="114">
        <v>3300</v>
      </c>
      <c r="H833" s="114">
        <v>452</v>
      </c>
      <c r="I833" s="114">
        <v>3752</v>
      </c>
      <c r="J833" s="114">
        <v>5378</v>
      </c>
      <c r="K833" s="114">
        <v>9130</v>
      </c>
      <c r="L833" s="114">
        <v>331</v>
      </c>
      <c r="M833" s="114">
        <v>543</v>
      </c>
      <c r="N833" s="114">
        <v>723</v>
      </c>
      <c r="O833" s="114">
        <v>1043</v>
      </c>
      <c r="P833" s="114">
        <v>10896</v>
      </c>
      <c r="Q833" s="114">
        <v>34281</v>
      </c>
      <c r="R833" s="13" t="s">
        <v>25</v>
      </c>
      <c r="S833" s="13" t="s">
        <v>25</v>
      </c>
      <c r="T833" s="13" t="s">
        <v>25</v>
      </c>
    </row>
    <row r="834" spans="1:20" x14ac:dyDescent="0.3">
      <c r="A834" s="14">
        <v>43924.708333333336</v>
      </c>
      <c r="B834" s="13" t="s">
        <v>22</v>
      </c>
      <c r="C834" s="114">
        <v>16</v>
      </c>
      <c r="D834" s="13" t="s">
        <v>54</v>
      </c>
      <c r="E834" s="114">
        <v>4112559576</v>
      </c>
      <c r="F834" s="114">
        <v>1686736689</v>
      </c>
      <c r="G834" s="114">
        <v>648</v>
      </c>
      <c r="H834" s="114">
        <v>123</v>
      </c>
      <c r="I834" s="114">
        <v>771</v>
      </c>
      <c r="J834" s="114">
        <v>1178</v>
      </c>
      <c r="K834" s="114">
        <v>1949</v>
      </c>
      <c r="L834" s="114">
        <v>85</v>
      </c>
      <c r="M834" s="114">
        <v>105</v>
      </c>
      <c r="N834" s="114">
        <v>69</v>
      </c>
      <c r="O834" s="114">
        <v>164</v>
      </c>
      <c r="P834" s="114">
        <v>2182</v>
      </c>
      <c r="Q834" s="114">
        <v>17924</v>
      </c>
      <c r="R834" s="13" t="s">
        <v>25</v>
      </c>
      <c r="S834" s="13" t="s">
        <v>25</v>
      </c>
      <c r="T834" s="13" t="s">
        <v>25</v>
      </c>
    </row>
    <row r="835" spans="1:20" x14ac:dyDescent="0.3">
      <c r="A835" s="14">
        <v>43924.708333333336</v>
      </c>
      <c r="B835" s="13" t="s">
        <v>22</v>
      </c>
      <c r="C835" s="114">
        <v>20</v>
      </c>
      <c r="D835" s="13" t="s">
        <v>55</v>
      </c>
      <c r="E835" s="114">
        <v>3921531192</v>
      </c>
      <c r="F835" s="114">
        <v>9110616306</v>
      </c>
      <c r="G835" s="114">
        <v>122</v>
      </c>
      <c r="H835" s="114">
        <v>24</v>
      </c>
      <c r="I835" s="114">
        <v>146</v>
      </c>
      <c r="J835" s="114">
        <v>598</v>
      </c>
      <c r="K835" s="114">
        <v>744</v>
      </c>
      <c r="L835" s="114">
        <v>26</v>
      </c>
      <c r="M835" s="114">
        <v>31</v>
      </c>
      <c r="N835" s="114">
        <v>40</v>
      </c>
      <c r="O835" s="114">
        <v>41</v>
      </c>
      <c r="P835" s="114">
        <v>825</v>
      </c>
      <c r="Q835" s="114">
        <v>6478</v>
      </c>
      <c r="R835" s="13" t="s">
        <v>25</v>
      </c>
      <c r="S835" s="13" t="s">
        <v>25</v>
      </c>
      <c r="T835" s="13" t="s">
        <v>25</v>
      </c>
    </row>
    <row r="836" spans="1:20" x14ac:dyDescent="0.3">
      <c r="A836" s="14">
        <v>43924.708333333336</v>
      </c>
      <c r="B836" s="13" t="s">
        <v>22</v>
      </c>
      <c r="C836" s="114">
        <v>19</v>
      </c>
      <c r="D836" s="13" t="s">
        <v>56</v>
      </c>
      <c r="E836" s="114">
        <v>3811569725</v>
      </c>
      <c r="F836" s="114">
        <v>133623567</v>
      </c>
      <c r="G836" s="114">
        <v>535</v>
      </c>
      <c r="H836" s="114">
        <v>73</v>
      </c>
      <c r="I836" s="114">
        <v>608</v>
      </c>
      <c r="J836" s="114">
        <v>1056</v>
      </c>
      <c r="K836" s="114">
        <v>1664</v>
      </c>
      <c r="L836" s="114">
        <v>58</v>
      </c>
      <c r="M836" s="114">
        <v>68</v>
      </c>
      <c r="N836" s="114">
        <v>94</v>
      </c>
      <c r="O836" s="114">
        <v>101</v>
      </c>
      <c r="P836" s="114">
        <v>1859</v>
      </c>
      <c r="Q836" s="114">
        <v>18686</v>
      </c>
      <c r="R836" s="13" t="s">
        <v>25</v>
      </c>
      <c r="S836" s="13" t="s">
        <v>25</v>
      </c>
      <c r="T836" s="13" t="s">
        <v>25</v>
      </c>
    </row>
    <row r="837" spans="1:20" x14ac:dyDescent="0.3">
      <c r="A837" s="14">
        <v>43924.708333333336</v>
      </c>
      <c r="B837" s="13" t="s">
        <v>22</v>
      </c>
      <c r="C837" s="114">
        <v>9</v>
      </c>
      <c r="D837" s="13" t="s">
        <v>57</v>
      </c>
      <c r="E837" s="114">
        <v>4376923077</v>
      </c>
      <c r="F837" s="114">
        <v>1125588885</v>
      </c>
      <c r="G837" s="114">
        <v>1149</v>
      </c>
      <c r="H837" s="114">
        <v>288</v>
      </c>
      <c r="I837" s="114">
        <v>1437</v>
      </c>
      <c r="J837" s="114">
        <v>3472</v>
      </c>
      <c r="K837" s="114">
        <v>4909</v>
      </c>
      <c r="L837" s="114">
        <v>120</v>
      </c>
      <c r="M837" s="114">
        <v>226</v>
      </c>
      <c r="N837" s="114">
        <v>300</v>
      </c>
      <c r="O837" s="114">
        <v>290</v>
      </c>
      <c r="P837" s="114">
        <v>5499</v>
      </c>
      <c r="Q837" s="114">
        <v>44460</v>
      </c>
      <c r="R837" s="13" t="s">
        <v>25</v>
      </c>
      <c r="S837" s="13" t="s">
        <v>25</v>
      </c>
      <c r="T837" s="13" t="s">
        <v>25</v>
      </c>
    </row>
    <row r="838" spans="1:20" x14ac:dyDescent="0.3">
      <c r="A838" s="14">
        <v>43924.708333333336</v>
      </c>
      <c r="B838" s="13" t="s">
        <v>22</v>
      </c>
      <c r="C838" s="114">
        <v>4</v>
      </c>
      <c r="D838" s="13" t="s">
        <v>58</v>
      </c>
      <c r="E838" s="114">
        <v>4606893511</v>
      </c>
      <c r="F838" s="114">
        <v>1112123097</v>
      </c>
      <c r="G838" s="114">
        <v>343</v>
      </c>
      <c r="H838" s="114">
        <v>80</v>
      </c>
      <c r="I838" s="114">
        <v>423</v>
      </c>
      <c r="J838" s="114">
        <v>1236</v>
      </c>
      <c r="K838" s="114">
        <v>1659</v>
      </c>
      <c r="L838" s="114">
        <v>72</v>
      </c>
      <c r="M838" s="114">
        <v>106</v>
      </c>
      <c r="N838" s="114">
        <v>246</v>
      </c>
      <c r="O838" s="114">
        <v>204</v>
      </c>
      <c r="P838" s="114">
        <v>2109</v>
      </c>
      <c r="Q838" s="114">
        <v>8993</v>
      </c>
      <c r="R838" s="13" t="s">
        <v>25</v>
      </c>
      <c r="S838" s="13" t="s">
        <v>25</v>
      </c>
      <c r="T838" s="13" t="s">
        <v>25</v>
      </c>
    </row>
    <row r="839" spans="1:20" x14ac:dyDescent="0.3">
      <c r="A839" s="14">
        <v>43924.708333333336</v>
      </c>
      <c r="B839" s="13" t="s">
        <v>22</v>
      </c>
      <c r="C839" s="114">
        <v>10</v>
      </c>
      <c r="D839" s="13" t="s">
        <v>59</v>
      </c>
      <c r="E839" s="114">
        <v>4310675841</v>
      </c>
      <c r="F839" s="114">
        <v>1238824698</v>
      </c>
      <c r="G839" s="114">
        <v>165</v>
      </c>
      <c r="H839" s="114">
        <v>48</v>
      </c>
      <c r="I839" s="114">
        <v>213</v>
      </c>
      <c r="J839" s="114">
        <v>707</v>
      </c>
      <c r="K839" s="114">
        <v>920</v>
      </c>
      <c r="L839" s="114">
        <v>35</v>
      </c>
      <c r="M839" s="114">
        <v>51</v>
      </c>
      <c r="N839" s="114">
        <v>220</v>
      </c>
      <c r="O839" s="114">
        <v>39</v>
      </c>
      <c r="P839" s="114">
        <v>1179</v>
      </c>
      <c r="Q839" s="114">
        <v>10614</v>
      </c>
      <c r="R839" s="13" t="s">
        <v>25</v>
      </c>
      <c r="S839" s="13" t="s">
        <v>25</v>
      </c>
      <c r="T839" s="13" t="s">
        <v>25</v>
      </c>
    </row>
    <row r="840" spans="1:20" x14ac:dyDescent="0.3">
      <c r="A840" s="14">
        <v>43924.708333333336</v>
      </c>
      <c r="B840" s="13" t="s">
        <v>22</v>
      </c>
      <c r="C840" s="114">
        <v>2</v>
      </c>
      <c r="D840" s="13" t="s">
        <v>60</v>
      </c>
      <c r="E840" s="114">
        <v>4573750286</v>
      </c>
      <c r="F840" s="114">
        <v>7320149366</v>
      </c>
      <c r="G840" s="114">
        <v>85</v>
      </c>
      <c r="H840" s="114">
        <v>25</v>
      </c>
      <c r="I840" s="114">
        <v>110</v>
      </c>
      <c r="J840" s="114">
        <v>450</v>
      </c>
      <c r="K840" s="114">
        <v>560</v>
      </c>
      <c r="L840" s="114">
        <v>4</v>
      </c>
      <c r="M840" s="114">
        <v>51</v>
      </c>
      <c r="N840" s="114">
        <v>89</v>
      </c>
      <c r="O840" s="114">
        <v>70</v>
      </c>
      <c r="P840" s="114">
        <v>719</v>
      </c>
      <c r="Q840" s="114">
        <v>2106</v>
      </c>
      <c r="R840" s="13" t="s">
        <v>25</v>
      </c>
      <c r="S840" s="13" t="s">
        <v>25</v>
      </c>
      <c r="T840" s="13" t="s">
        <v>25</v>
      </c>
    </row>
    <row r="841" spans="1:20" x14ac:dyDescent="0.3">
      <c r="A841" s="14">
        <v>43924.708333333336</v>
      </c>
      <c r="B841" s="13" t="s">
        <v>22</v>
      </c>
      <c r="C841" s="114">
        <v>5</v>
      </c>
      <c r="D841" s="13" t="s">
        <v>61</v>
      </c>
      <c r="E841" s="114">
        <v>4543490485</v>
      </c>
      <c r="F841" s="114">
        <v>1233845213</v>
      </c>
      <c r="G841" s="114">
        <v>1714</v>
      </c>
      <c r="H841" s="114">
        <v>335</v>
      </c>
      <c r="I841" s="114">
        <v>2049</v>
      </c>
      <c r="J841" s="114">
        <v>6812</v>
      </c>
      <c r="K841" s="114">
        <v>8861</v>
      </c>
      <c r="L841" s="114">
        <v>283</v>
      </c>
      <c r="M841" s="114">
        <v>353</v>
      </c>
      <c r="N841" s="114">
        <v>1031</v>
      </c>
      <c r="O841" s="114">
        <v>572</v>
      </c>
      <c r="P841" s="114">
        <v>10464</v>
      </c>
      <c r="Q841" s="114">
        <v>126490</v>
      </c>
      <c r="R841" s="13" t="s">
        <v>25</v>
      </c>
      <c r="S841" s="13" t="s">
        <v>25</v>
      </c>
      <c r="T841" s="13" t="s">
        <v>25</v>
      </c>
    </row>
    <row r="842" spans="1:20" x14ac:dyDescent="0.3">
      <c r="A842" s="14">
        <v>43925.708333333336</v>
      </c>
      <c r="B842" s="13" t="s">
        <v>22</v>
      </c>
      <c r="C842" s="114">
        <v>13</v>
      </c>
      <c r="D842" s="13" t="s">
        <v>42</v>
      </c>
      <c r="E842" s="114">
        <v>4235122196</v>
      </c>
      <c r="F842" s="114">
        <v>1339843823</v>
      </c>
      <c r="G842" s="114">
        <v>354</v>
      </c>
      <c r="H842" s="114">
        <v>71</v>
      </c>
      <c r="I842" s="114">
        <v>425</v>
      </c>
      <c r="J842" s="114">
        <v>931</v>
      </c>
      <c r="K842" s="114">
        <v>1356</v>
      </c>
      <c r="L842" s="114">
        <v>55</v>
      </c>
      <c r="M842" s="114">
        <v>65</v>
      </c>
      <c r="N842" s="114">
        <v>119</v>
      </c>
      <c r="O842" s="114">
        <v>153</v>
      </c>
      <c r="P842" s="114">
        <v>1628</v>
      </c>
      <c r="Q842" s="114">
        <v>12837</v>
      </c>
      <c r="R842" s="13" t="s">
        <v>25</v>
      </c>
      <c r="S842" s="13" t="s">
        <v>25</v>
      </c>
      <c r="T842" s="13" t="s">
        <v>25</v>
      </c>
    </row>
    <row r="843" spans="1:20" x14ac:dyDescent="0.3">
      <c r="A843" s="14">
        <v>43925.708333333336</v>
      </c>
      <c r="B843" s="13" t="s">
        <v>22</v>
      </c>
      <c r="C843" s="114">
        <v>17</v>
      </c>
      <c r="D843" s="13" t="s">
        <v>43</v>
      </c>
      <c r="E843" s="114">
        <v>4063947052</v>
      </c>
      <c r="F843" s="114">
        <v>1580514834</v>
      </c>
      <c r="G843" s="114">
        <v>44</v>
      </c>
      <c r="H843" s="114">
        <v>19</v>
      </c>
      <c r="I843" s="114">
        <v>63</v>
      </c>
      <c r="J843" s="114">
        <v>181</v>
      </c>
      <c r="K843" s="114">
        <v>244</v>
      </c>
      <c r="L843" s="114">
        <v>-3</v>
      </c>
      <c r="M843" s="114">
        <v>3</v>
      </c>
      <c r="N843" s="114">
        <v>9</v>
      </c>
      <c r="O843" s="114">
        <v>11</v>
      </c>
      <c r="P843" s="114">
        <v>264</v>
      </c>
      <c r="Q843" s="114">
        <v>2765</v>
      </c>
      <c r="R843" s="13" t="s">
        <v>25</v>
      </c>
      <c r="S843" s="13" t="s">
        <v>25</v>
      </c>
      <c r="T843" s="13" t="s">
        <v>25</v>
      </c>
    </row>
    <row r="844" spans="1:20" x14ac:dyDescent="0.3">
      <c r="A844" s="14">
        <v>43925.708333333336</v>
      </c>
      <c r="B844" s="13" t="s">
        <v>22</v>
      </c>
      <c r="C844" s="114">
        <v>4</v>
      </c>
      <c r="D844" s="13" t="s">
        <v>44</v>
      </c>
      <c r="E844" s="114">
        <v>4649933453</v>
      </c>
      <c r="F844" s="114">
        <v>1135662422</v>
      </c>
      <c r="G844" s="114">
        <v>291</v>
      </c>
      <c r="H844" s="114">
        <v>61</v>
      </c>
      <c r="I844" s="114">
        <v>352</v>
      </c>
      <c r="J844" s="114">
        <v>849</v>
      </c>
      <c r="K844" s="114">
        <v>1201</v>
      </c>
      <c r="L844" s="114">
        <v>-8</v>
      </c>
      <c r="M844" s="114">
        <v>33</v>
      </c>
      <c r="N844" s="114">
        <v>245</v>
      </c>
      <c r="O844" s="114">
        <v>146</v>
      </c>
      <c r="P844" s="114">
        <v>1592</v>
      </c>
      <c r="Q844" s="114">
        <v>15045</v>
      </c>
      <c r="R844" s="13" t="s">
        <v>25</v>
      </c>
      <c r="S844" s="13" t="s">
        <v>25</v>
      </c>
      <c r="T844" s="13" t="s">
        <v>25</v>
      </c>
    </row>
    <row r="845" spans="1:20" x14ac:dyDescent="0.3">
      <c r="A845" s="14">
        <v>43925.708333333336</v>
      </c>
      <c r="B845" s="13" t="s">
        <v>22</v>
      </c>
      <c r="C845" s="114">
        <v>18</v>
      </c>
      <c r="D845" s="13" t="s">
        <v>45</v>
      </c>
      <c r="E845" s="114">
        <v>3890597598</v>
      </c>
      <c r="F845" s="114">
        <v>1659440194</v>
      </c>
      <c r="G845" s="114">
        <v>178</v>
      </c>
      <c r="H845" s="114">
        <v>15</v>
      </c>
      <c r="I845" s="114">
        <v>193</v>
      </c>
      <c r="J845" s="114">
        <v>469</v>
      </c>
      <c r="K845" s="114">
        <v>662</v>
      </c>
      <c r="L845" s="114">
        <v>0</v>
      </c>
      <c r="M845" s="114">
        <v>8</v>
      </c>
      <c r="N845" s="114">
        <v>30</v>
      </c>
      <c r="O845" s="114">
        <v>49</v>
      </c>
      <c r="P845" s="114">
        <v>741</v>
      </c>
      <c r="Q845" s="114">
        <v>12314</v>
      </c>
      <c r="R845" s="13" t="s">
        <v>25</v>
      </c>
      <c r="S845" s="13" t="s">
        <v>25</v>
      </c>
      <c r="T845" s="13" t="s">
        <v>25</v>
      </c>
    </row>
    <row r="846" spans="1:20" x14ac:dyDescent="0.3">
      <c r="A846" s="14">
        <v>43925.708333333336</v>
      </c>
      <c r="B846" s="13" t="s">
        <v>22</v>
      </c>
      <c r="C846" s="114">
        <v>15</v>
      </c>
      <c r="D846" s="13" t="s">
        <v>46</v>
      </c>
      <c r="E846" s="114">
        <v>4083956555</v>
      </c>
      <c r="F846" s="114">
        <v>1425084984</v>
      </c>
      <c r="G846" s="114">
        <v>567</v>
      </c>
      <c r="H846" s="114">
        <v>114</v>
      </c>
      <c r="I846" s="114">
        <v>681</v>
      </c>
      <c r="J846" s="114">
        <v>1815</v>
      </c>
      <c r="K846" s="114">
        <v>2496</v>
      </c>
      <c r="L846" s="114">
        <v>144</v>
      </c>
      <c r="M846" s="114">
        <v>151</v>
      </c>
      <c r="N846" s="114">
        <v>146</v>
      </c>
      <c r="O846" s="114">
        <v>186</v>
      </c>
      <c r="P846" s="114">
        <v>2828</v>
      </c>
      <c r="Q846" s="114">
        <v>21534</v>
      </c>
      <c r="R846" s="13" t="s">
        <v>25</v>
      </c>
      <c r="S846" s="13" t="s">
        <v>25</v>
      </c>
      <c r="T846" s="13" t="s">
        <v>25</v>
      </c>
    </row>
    <row r="847" spans="1:20" x14ac:dyDescent="0.3">
      <c r="A847" s="14">
        <v>43925.708333333336</v>
      </c>
      <c r="B847" s="13" t="s">
        <v>22</v>
      </c>
      <c r="C847" s="114">
        <v>8</v>
      </c>
      <c r="D847" s="13" t="s">
        <v>96</v>
      </c>
      <c r="E847" s="114">
        <v>4449436681</v>
      </c>
      <c r="F847" s="114">
        <v>113417208</v>
      </c>
      <c r="G847" s="114">
        <v>3859</v>
      </c>
      <c r="H847" s="114">
        <v>358</v>
      </c>
      <c r="I847" s="114">
        <v>4217</v>
      </c>
      <c r="J847" s="114">
        <v>8306</v>
      </c>
      <c r="K847" s="114">
        <v>12523</v>
      </c>
      <c r="L847" s="114">
        <v>345</v>
      </c>
      <c r="M847" s="114">
        <v>608</v>
      </c>
      <c r="N847" s="114">
        <v>2040</v>
      </c>
      <c r="O847" s="114">
        <v>1977</v>
      </c>
      <c r="P847" s="114">
        <v>16540</v>
      </c>
      <c r="Q847" s="114">
        <v>67075</v>
      </c>
      <c r="R847" s="13" t="s">
        <v>25</v>
      </c>
      <c r="S847" s="13" t="s">
        <v>25</v>
      </c>
      <c r="T847" s="13" t="s">
        <v>25</v>
      </c>
    </row>
    <row r="848" spans="1:20" x14ac:dyDescent="0.3">
      <c r="A848" s="14">
        <v>43925.708333333336</v>
      </c>
      <c r="B848" s="13" t="s">
        <v>22</v>
      </c>
      <c r="C848" s="114">
        <v>6</v>
      </c>
      <c r="D848" s="13" t="s">
        <v>47</v>
      </c>
      <c r="E848" s="114">
        <v>456494354</v>
      </c>
      <c r="F848" s="114">
        <v>1376813649</v>
      </c>
      <c r="G848" s="114">
        <v>183</v>
      </c>
      <c r="H848" s="114">
        <v>50</v>
      </c>
      <c r="I848" s="114">
        <v>233</v>
      </c>
      <c r="J848" s="114">
        <v>1103</v>
      </c>
      <c r="K848" s="114">
        <v>1336</v>
      </c>
      <c r="L848" s="114">
        <v>12</v>
      </c>
      <c r="M848" s="114">
        <v>107</v>
      </c>
      <c r="N848" s="114">
        <v>505</v>
      </c>
      <c r="O848" s="114">
        <v>145</v>
      </c>
      <c r="P848" s="114">
        <v>1986</v>
      </c>
      <c r="Q848" s="114">
        <v>21126</v>
      </c>
      <c r="R848" s="13" t="s">
        <v>25</v>
      </c>
      <c r="S848" s="13" t="s">
        <v>25</v>
      </c>
      <c r="T848" s="13" t="s">
        <v>25</v>
      </c>
    </row>
    <row r="849" spans="1:20" x14ac:dyDescent="0.3">
      <c r="A849" s="14">
        <v>43925.708333333336</v>
      </c>
      <c r="B849" s="13" t="s">
        <v>22</v>
      </c>
      <c r="C849" s="114">
        <v>12</v>
      </c>
      <c r="D849" s="13" t="s">
        <v>48</v>
      </c>
      <c r="E849" s="114">
        <v>4189277044</v>
      </c>
      <c r="F849" s="114">
        <v>1248366722</v>
      </c>
      <c r="G849" s="114">
        <v>1236</v>
      </c>
      <c r="H849" s="114">
        <v>193</v>
      </c>
      <c r="I849" s="114">
        <v>1429</v>
      </c>
      <c r="J849" s="114">
        <v>1677</v>
      </c>
      <c r="K849" s="114">
        <v>3106</v>
      </c>
      <c r="L849" s="114">
        <v>97</v>
      </c>
      <c r="M849" s="114">
        <v>157</v>
      </c>
      <c r="N849" s="114">
        <v>439</v>
      </c>
      <c r="O849" s="114">
        <v>212</v>
      </c>
      <c r="P849" s="114">
        <v>3757</v>
      </c>
      <c r="Q849" s="114">
        <v>44624</v>
      </c>
      <c r="R849" s="13" t="s">
        <v>25</v>
      </c>
      <c r="S849" s="13" t="s">
        <v>25</v>
      </c>
      <c r="T849" s="13" t="s">
        <v>25</v>
      </c>
    </row>
    <row r="850" spans="1:20" x14ac:dyDescent="0.3">
      <c r="A850" s="14">
        <v>43925.708333333336</v>
      </c>
      <c r="B850" s="13" t="s">
        <v>22</v>
      </c>
      <c r="C850" s="114">
        <v>7</v>
      </c>
      <c r="D850" s="13" t="s">
        <v>49</v>
      </c>
      <c r="E850" s="114">
        <v>4441149315</v>
      </c>
      <c r="F850" s="114">
        <v>89326992</v>
      </c>
      <c r="G850" s="114">
        <v>1121</v>
      </c>
      <c r="H850" s="114">
        <v>169</v>
      </c>
      <c r="I850" s="114">
        <v>1290</v>
      </c>
      <c r="J850" s="114">
        <v>1604</v>
      </c>
      <c r="K850" s="114">
        <v>2894</v>
      </c>
      <c r="L850" s="114">
        <v>148</v>
      </c>
      <c r="M850" s="114">
        <v>238</v>
      </c>
      <c r="N850" s="114">
        <v>767</v>
      </c>
      <c r="O850" s="114">
        <v>542</v>
      </c>
      <c r="P850" s="114">
        <v>4203</v>
      </c>
      <c r="Q850" s="114">
        <v>14087</v>
      </c>
      <c r="R850" s="13" t="s">
        <v>25</v>
      </c>
      <c r="S850" s="13" t="s">
        <v>25</v>
      </c>
      <c r="T850" s="13" t="s">
        <v>25</v>
      </c>
    </row>
    <row r="851" spans="1:20" x14ac:dyDescent="0.3">
      <c r="A851" s="14">
        <v>43925.708333333336</v>
      </c>
      <c r="B851" s="13" t="s">
        <v>22</v>
      </c>
      <c r="C851" s="114">
        <v>3</v>
      </c>
      <c r="D851" s="13" t="s">
        <v>50</v>
      </c>
      <c r="E851" s="114">
        <v>4546679409</v>
      </c>
      <c r="F851" s="114">
        <v>9190347404</v>
      </c>
      <c r="G851" s="114">
        <v>12002</v>
      </c>
      <c r="H851" s="114">
        <v>1326</v>
      </c>
      <c r="I851" s="114">
        <v>13328</v>
      </c>
      <c r="J851" s="114">
        <v>13892</v>
      </c>
      <c r="K851" s="114">
        <v>27220</v>
      </c>
      <c r="L851" s="114">
        <v>1031</v>
      </c>
      <c r="M851" s="114">
        <v>1598</v>
      </c>
      <c r="N851" s="114">
        <v>13242</v>
      </c>
      <c r="O851" s="114">
        <v>8656</v>
      </c>
      <c r="P851" s="114">
        <v>49118</v>
      </c>
      <c r="Q851" s="114">
        <v>141877</v>
      </c>
      <c r="R851" s="13" t="s">
        <v>25</v>
      </c>
      <c r="S851" s="13" t="s">
        <v>25</v>
      </c>
      <c r="T851" s="13" t="s">
        <v>25</v>
      </c>
    </row>
    <row r="852" spans="1:20" x14ac:dyDescent="0.3">
      <c r="A852" s="14">
        <v>43925.708333333336</v>
      </c>
      <c r="B852" s="13" t="s">
        <v>22</v>
      </c>
      <c r="C852" s="114">
        <v>11</v>
      </c>
      <c r="D852" s="13" t="s">
        <v>51</v>
      </c>
      <c r="E852" s="114">
        <v>4361675973</v>
      </c>
      <c r="F852" s="114">
        <v>135188753</v>
      </c>
      <c r="G852" s="114">
        <v>997</v>
      </c>
      <c r="H852" s="114">
        <v>153</v>
      </c>
      <c r="I852" s="114">
        <v>1150</v>
      </c>
      <c r="J852" s="114">
        <v>2347</v>
      </c>
      <c r="K852" s="114">
        <v>3497</v>
      </c>
      <c r="L852" s="114">
        <v>-134</v>
      </c>
      <c r="M852" s="114">
        <v>111</v>
      </c>
      <c r="N852" s="114">
        <v>270</v>
      </c>
      <c r="O852" s="114">
        <v>574</v>
      </c>
      <c r="P852" s="114">
        <v>4341</v>
      </c>
      <c r="Q852" s="114">
        <v>14472</v>
      </c>
      <c r="R852" s="13" t="s">
        <v>25</v>
      </c>
      <c r="S852" s="13" t="s">
        <v>25</v>
      </c>
      <c r="T852" s="13" t="s">
        <v>25</v>
      </c>
    </row>
    <row r="853" spans="1:20" x14ac:dyDescent="0.3">
      <c r="A853" s="14">
        <v>43925.708333333336</v>
      </c>
      <c r="B853" s="13" t="s">
        <v>22</v>
      </c>
      <c r="C853" s="114">
        <v>14</v>
      </c>
      <c r="D853" s="13" t="s">
        <v>52</v>
      </c>
      <c r="E853" s="114">
        <v>4155774754</v>
      </c>
      <c r="F853" s="114">
        <v>1465916051</v>
      </c>
      <c r="G853" s="114">
        <v>31</v>
      </c>
      <c r="H853" s="114">
        <v>6</v>
      </c>
      <c r="I853" s="114">
        <v>37</v>
      </c>
      <c r="J853" s="114">
        <v>134</v>
      </c>
      <c r="K853" s="114">
        <v>171</v>
      </c>
      <c r="L853" s="114">
        <v>27</v>
      </c>
      <c r="M853" s="114">
        <v>30</v>
      </c>
      <c r="N853" s="114">
        <v>24</v>
      </c>
      <c r="O853" s="114">
        <v>11</v>
      </c>
      <c r="P853" s="114">
        <v>206</v>
      </c>
      <c r="Q853" s="114">
        <v>1504</v>
      </c>
      <c r="R853" s="13" t="s">
        <v>25</v>
      </c>
      <c r="S853" s="13" t="s">
        <v>25</v>
      </c>
      <c r="T853" s="13" t="s">
        <v>25</v>
      </c>
    </row>
    <row r="854" spans="1:20" x14ac:dyDescent="0.3">
      <c r="A854" s="14">
        <v>43925.708333333336</v>
      </c>
      <c r="B854" s="13" t="s">
        <v>22</v>
      </c>
      <c r="C854" s="114">
        <v>1</v>
      </c>
      <c r="D854" s="13" t="s">
        <v>53</v>
      </c>
      <c r="E854" s="114">
        <v>450732745</v>
      </c>
      <c r="F854" s="114">
        <v>7680687483</v>
      </c>
      <c r="G854" s="114">
        <v>3441</v>
      </c>
      <c r="H854" s="114">
        <v>450</v>
      </c>
      <c r="I854" s="114">
        <v>3891</v>
      </c>
      <c r="J854" s="114">
        <v>5802</v>
      </c>
      <c r="K854" s="114">
        <v>9693</v>
      </c>
      <c r="L854" s="114">
        <v>563</v>
      </c>
      <c r="M854" s="114">
        <v>813</v>
      </c>
      <c r="N854" s="114">
        <v>888</v>
      </c>
      <c r="O854" s="114">
        <v>1128</v>
      </c>
      <c r="P854" s="114">
        <v>11709</v>
      </c>
      <c r="Q854" s="114">
        <v>37181</v>
      </c>
      <c r="R854" s="13" t="s">
        <v>25</v>
      </c>
      <c r="S854" s="13" t="s">
        <v>25</v>
      </c>
      <c r="T854" s="13" t="s">
        <v>25</v>
      </c>
    </row>
    <row r="855" spans="1:20" x14ac:dyDescent="0.3">
      <c r="A855" s="14">
        <v>43925.708333333336</v>
      </c>
      <c r="B855" s="13" t="s">
        <v>22</v>
      </c>
      <c r="C855" s="114">
        <v>16</v>
      </c>
      <c r="D855" s="13" t="s">
        <v>54</v>
      </c>
      <c r="E855" s="114">
        <v>4112559576</v>
      </c>
      <c r="F855" s="114">
        <v>1686736689</v>
      </c>
      <c r="G855" s="114">
        <v>627</v>
      </c>
      <c r="H855" s="114">
        <v>153</v>
      </c>
      <c r="I855" s="114">
        <v>780</v>
      </c>
      <c r="J855" s="114">
        <v>1193</v>
      </c>
      <c r="K855" s="114">
        <v>1973</v>
      </c>
      <c r="L855" s="114">
        <v>24</v>
      </c>
      <c r="M855" s="114">
        <v>58</v>
      </c>
      <c r="N855" s="114">
        <v>94</v>
      </c>
      <c r="O855" s="114">
        <v>173</v>
      </c>
      <c r="P855" s="114">
        <v>2240</v>
      </c>
      <c r="Q855" s="114">
        <v>18977</v>
      </c>
      <c r="R855" s="13" t="s">
        <v>25</v>
      </c>
      <c r="S855" s="13" t="s">
        <v>25</v>
      </c>
      <c r="T855" s="13" t="s">
        <v>25</v>
      </c>
    </row>
    <row r="856" spans="1:20" x14ac:dyDescent="0.3">
      <c r="A856" s="14">
        <v>43925.708333333336</v>
      </c>
      <c r="B856" s="13" t="s">
        <v>22</v>
      </c>
      <c r="C856" s="114">
        <v>20</v>
      </c>
      <c r="D856" s="13" t="s">
        <v>55</v>
      </c>
      <c r="E856" s="114">
        <v>3921531192</v>
      </c>
      <c r="F856" s="114">
        <v>9110616306</v>
      </c>
      <c r="G856" s="114">
        <v>123</v>
      </c>
      <c r="H856" s="114">
        <v>24</v>
      </c>
      <c r="I856" s="114">
        <v>147</v>
      </c>
      <c r="J856" s="114">
        <v>642</v>
      </c>
      <c r="K856" s="114">
        <v>789</v>
      </c>
      <c r="L856" s="114">
        <v>45</v>
      </c>
      <c r="M856" s="114">
        <v>49</v>
      </c>
      <c r="N856" s="114">
        <v>44</v>
      </c>
      <c r="O856" s="114">
        <v>41</v>
      </c>
      <c r="P856" s="114">
        <v>874</v>
      </c>
      <c r="Q856" s="114">
        <v>6789</v>
      </c>
      <c r="R856" s="13" t="s">
        <v>25</v>
      </c>
      <c r="S856" s="13" t="s">
        <v>25</v>
      </c>
      <c r="T856" s="13" t="s">
        <v>25</v>
      </c>
    </row>
    <row r="857" spans="1:20" x14ac:dyDescent="0.3">
      <c r="A857" s="14">
        <v>43925.708333333336</v>
      </c>
      <c r="B857" s="13" t="s">
        <v>22</v>
      </c>
      <c r="C857" s="114">
        <v>19</v>
      </c>
      <c r="D857" s="13" t="s">
        <v>56</v>
      </c>
      <c r="E857" s="114">
        <v>3811569725</v>
      </c>
      <c r="F857" s="114">
        <v>133623567</v>
      </c>
      <c r="G857" s="114">
        <v>553</v>
      </c>
      <c r="H857" s="114">
        <v>74</v>
      </c>
      <c r="I857" s="114">
        <v>627</v>
      </c>
      <c r="J857" s="114">
        <v>1099</v>
      </c>
      <c r="K857" s="114">
        <v>1726</v>
      </c>
      <c r="L857" s="114">
        <v>62</v>
      </c>
      <c r="M857" s="114">
        <v>73</v>
      </c>
      <c r="N857" s="114">
        <v>95</v>
      </c>
      <c r="O857" s="114">
        <v>111</v>
      </c>
      <c r="P857" s="114">
        <v>1932</v>
      </c>
      <c r="Q857" s="114">
        <v>19896</v>
      </c>
      <c r="R857" s="13" t="s">
        <v>25</v>
      </c>
      <c r="S857" s="13" t="s">
        <v>25</v>
      </c>
      <c r="T857" s="13" t="s">
        <v>25</v>
      </c>
    </row>
    <row r="858" spans="1:20" x14ac:dyDescent="0.3">
      <c r="A858" s="14">
        <v>43925.708333333336</v>
      </c>
      <c r="B858" s="13" t="s">
        <v>22</v>
      </c>
      <c r="C858" s="114">
        <v>9</v>
      </c>
      <c r="D858" s="13" t="s">
        <v>57</v>
      </c>
      <c r="E858" s="114">
        <v>4376923077</v>
      </c>
      <c r="F858" s="114">
        <v>1125588885</v>
      </c>
      <c r="G858" s="114">
        <v>1129</v>
      </c>
      <c r="H858" s="114">
        <v>286</v>
      </c>
      <c r="I858" s="114">
        <v>1415</v>
      </c>
      <c r="J858" s="114">
        <v>3639</v>
      </c>
      <c r="K858" s="114">
        <v>5054</v>
      </c>
      <c r="L858" s="114">
        <v>145</v>
      </c>
      <c r="M858" s="114">
        <v>172</v>
      </c>
      <c r="N858" s="114">
        <v>310</v>
      </c>
      <c r="O858" s="114">
        <v>307</v>
      </c>
      <c r="P858" s="114">
        <v>5671</v>
      </c>
      <c r="Q858" s="114">
        <v>47886</v>
      </c>
      <c r="R858" s="13" t="s">
        <v>25</v>
      </c>
      <c r="S858" s="13" t="s">
        <v>25</v>
      </c>
      <c r="T858" s="13" t="s">
        <v>25</v>
      </c>
    </row>
    <row r="859" spans="1:20" x14ac:dyDescent="0.3">
      <c r="A859" s="14">
        <v>43925.708333333336</v>
      </c>
      <c r="B859" s="13" t="s">
        <v>22</v>
      </c>
      <c r="C859" s="114">
        <v>4</v>
      </c>
      <c r="D859" s="13" t="s">
        <v>58</v>
      </c>
      <c r="E859" s="114">
        <v>4606893511</v>
      </c>
      <c r="F859" s="114">
        <v>1112123097</v>
      </c>
      <c r="G859" s="114">
        <v>353</v>
      </c>
      <c r="H859" s="114">
        <v>81</v>
      </c>
      <c r="I859" s="114">
        <v>434</v>
      </c>
      <c r="J859" s="114">
        <v>1319</v>
      </c>
      <c r="K859" s="114">
        <v>1753</v>
      </c>
      <c r="L859" s="114">
        <v>94</v>
      </c>
      <c r="M859" s="114">
        <v>111</v>
      </c>
      <c r="N859" s="114">
        <v>257</v>
      </c>
      <c r="O859" s="114">
        <v>210</v>
      </c>
      <c r="P859" s="114">
        <v>2220</v>
      </c>
      <c r="Q859" s="114">
        <v>9863</v>
      </c>
      <c r="R859" s="13" t="s">
        <v>25</v>
      </c>
      <c r="S859" s="13" t="s">
        <v>25</v>
      </c>
      <c r="T859" s="13" t="s">
        <v>25</v>
      </c>
    </row>
    <row r="860" spans="1:20" x14ac:dyDescent="0.3">
      <c r="A860" s="14">
        <v>43925.708333333336</v>
      </c>
      <c r="B860" s="13" t="s">
        <v>22</v>
      </c>
      <c r="C860" s="114">
        <v>10</v>
      </c>
      <c r="D860" s="13" t="s">
        <v>59</v>
      </c>
      <c r="E860" s="114">
        <v>4310675841</v>
      </c>
      <c r="F860" s="114">
        <v>1238824698</v>
      </c>
      <c r="G860" s="114">
        <v>167</v>
      </c>
      <c r="H860" s="114">
        <v>44</v>
      </c>
      <c r="I860" s="114">
        <v>211</v>
      </c>
      <c r="J860" s="114">
        <v>716</v>
      </c>
      <c r="K860" s="114">
        <v>927</v>
      </c>
      <c r="L860" s="114">
        <v>7</v>
      </c>
      <c r="M860" s="114">
        <v>31</v>
      </c>
      <c r="N860" s="114">
        <v>242</v>
      </c>
      <c r="O860" s="114">
        <v>41</v>
      </c>
      <c r="P860" s="114">
        <v>1210</v>
      </c>
      <c r="Q860" s="114">
        <v>11809</v>
      </c>
      <c r="R860" s="13" t="s">
        <v>25</v>
      </c>
      <c r="S860" s="13" t="s">
        <v>25</v>
      </c>
      <c r="T860" s="13" t="s">
        <v>25</v>
      </c>
    </row>
    <row r="861" spans="1:20" x14ac:dyDescent="0.3">
      <c r="A861" s="14">
        <v>43925.708333333336</v>
      </c>
      <c r="B861" s="13" t="s">
        <v>22</v>
      </c>
      <c r="C861" s="114">
        <v>2</v>
      </c>
      <c r="D861" s="13" t="s">
        <v>60</v>
      </c>
      <c r="E861" s="114">
        <v>4573750286</v>
      </c>
      <c r="F861" s="114">
        <v>7320149366</v>
      </c>
      <c r="G861" s="114">
        <v>63</v>
      </c>
      <c r="H861" s="114">
        <v>23</v>
      </c>
      <c r="I861" s="114">
        <v>86</v>
      </c>
      <c r="J861" s="114">
        <v>474</v>
      </c>
      <c r="K861" s="114">
        <v>560</v>
      </c>
      <c r="L861" s="114">
        <v>0</v>
      </c>
      <c r="M861" s="114">
        <v>29</v>
      </c>
      <c r="N861" s="114">
        <v>106</v>
      </c>
      <c r="O861" s="114">
        <v>82</v>
      </c>
      <c r="P861" s="114">
        <v>748</v>
      </c>
      <c r="Q861" s="114">
        <v>2274</v>
      </c>
      <c r="R861" s="13" t="s">
        <v>25</v>
      </c>
      <c r="S861" s="13" t="s">
        <v>25</v>
      </c>
      <c r="T861" s="13" t="s">
        <v>25</v>
      </c>
    </row>
    <row r="862" spans="1:20" x14ac:dyDescent="0.3">
      <c r="A862" s="14">
        <v>43925.708333333336</v>
      </c>
      <c r="B862" s="13" t="s">
        <v>22</v>
      </c>
      <c r="C862" s="114">
        <v>5</v>
      </c>
      <c r="D862" s="13" t="s">
        <v>61</v>
      </c>
      <c r="E862" s="114">
        <v>4543490485</v>
      </c>
      <c r="F862" s="114">
        <v>1233845213</v>
      </c>
      <c r="G862" s="114">
        <v>1691</v>
      </c>
      <c r="H862" s="114">
        <v>324</v>
      </c>
      <c r="I862" s="114">
        <v>2015</v>
      </c>
      <c r="J862" s="114">
        <v>7078</v>
      </c>
      <c r="K862" s="114">
        <v>9093</v>
      </c>
      <c r="L862" s="114">
        <v>232</v>
      </c>
      <c r="M862" s="114">
        <v>360</v>
      </c>
      <c r="N862" s="114">
        <v>1124</v>
      </c>
      <c r="O862" s="114">
        <v>607</v>
      </c>
      <c r="P862" s="114">
        <v>10824</v>
      </c>
      <c r="Q862" s="114">
        <v>133289</v>
      </c>
      <c r="R862" s="13" t="s">
        <v>25</v>
      </c>
      <c r="S862" s="13" t="s">
        <v>25</v>
      </c>
      <c r="T862" s="13" t="s">
        <v>25</v>
      </c>
    </row>
    <row r="863" spans="1:20" x14ac:dyDescent="0.3">
      <c r="A863" s="14">
        <v>43926.708333333336</v>
      </c>
      <c r="B863" s="13" t="s">
        <v>22</v>
      </c>
      <c r="C863" s="114">
        <v>13</v>
      </c>
      <c r="D863" s="13" t="s">
        <v>42</v>
      </c>
      <c r="E863" s="114">
        <v>4235122196</v>
      </c>
      <c r="F863" s="114">
        <v>1339843823</v>
      </c>
      <c r="G863" s="114">
        <v>347</v>
      </c>
      <c r="H863" s="114">
        <v>67</v>
      </c>
      <c r="I863" s="114">
        <v>414</v>
      </c>
      <c r="J863" s="114">
        <v>1006</v>
      </c>
      <c r="K863" s="114">
        <v>1420</v>
      </c>
      <c r="L863" s="114">
        <v>64</v>
      </c>
      <c r="M863" s="114">
        <v>75</v>
      </c>
      <c r="N863" s="114">
        <v>125</v>
      </c>
      <c r="O863" s="114">
        <v>158</v>
      </c>
      <c r="P863" s="114">
        <v>1703</v>
      </c>
      <c r="Q863" s="114">
        <v>13598</v>
      </c>
      <c r="R863" s="13" t="s">
        <v>25</v>
      </c>
      <c r="S863" s="13" t="s">
        <v>25</v>
      </c>
      <c r="T863" s="13" t="s">
        <v>25</v>
      </c>
    </row>
    <row r="864" spans="1:20" x14ac:dyDescent="0.3">
      <c r="A864" s="14">
        <v>43926.708333333336</v>
      </c>
      <c r="B864" s="13" t="s">
        <v>22</v>
      </c>
      <c r="C864" s="114">
        <v>17</v>
      </c>
      <c r="D864" s="13" t="s">
        <v>43</v>
      </c>
      <c r="E864" s="114">
        <v>4063947052</v>
      </c>
      <c r="F864" s="114">
        <v>1580514834</v>
      </c>
      <c r="G864" s="114">
        <v>46</v>
      </c>
      <c r="H864" s="114">
        <v>18</v>
      </c>
      <c r="I864" s="114">
        <v>64</v>
      </c>
      <c r="J864" s="114">
        <v>190</v>
      </c>
      <c r="K864" s="114">
        <v>254</v>
      </c>
      <c r="L864" s="114">
        <v>10</v>
      </c>
      <c r="M864" s="114">
        <v>14</v>
      </c>
      <c r="N864" s="114">
        <v>11</v>
      </c>
      <c r="O864" s="114">
        <v>13</v>
      </c>
      <c r="P864" s="114">
        <v>278</v>
      </c>
      <c r="Q864" s="114">
        <v>2931</v>
      </c>
      <c r="R864" s="13" t="s">
        <v>25</v>
      </c>
      <c r="S864" s="13" t="s">
        <v>25</v>
      </c>
      <c r="T864" s="13" t="s">
        <v>25</v>
      </c>
    </row>
    <row r="865" spans="1:20" x14ac:dyDescent="0.3">
      <c r="A865" s="14">
        <v>43926.708333333336</v>
      </c>
      <c r="B865" s="13" t="s">
        <v>22</v>
      </c>
      <c r="C865" s="114">
        <v>4</v>
      </c>
      <c r="D865" s="13" t="s">
        <v>44</v>
      </c>
      <c r="E865" s="114">
        <v>4649933453</v>
      </c>
      <c r="F865" s="114">
        <v>1135662422</v>
      </c>
      <c r="G865" s="114">
        <v>239</v>
      </c>
      <c r="H865" s="114">
        <v>53</v>
      </c>
      <c r="I865" s="114">
        <v>292</v>
      </c>
      <c r="J865" s="114">
        <v>934</v>
      </c>
      <c r="K865" s="114">
        <v>1226</v>
      </c>
      <c r="L865" s="114">
        <v>25</v>
      </c>
      <c r="M865" s="114">
        <v>52</v>
      </c>
      <c r="N865" s="114">
        <v>260</v>
      </c>
      <c r="O865" s="114">
        <v>158</v>
      </c>
      <c r="P865" s="114">
        <v>1644</v>
      </c>
      <c r="Q865" s="114">
        <v>15723</v>
      </c>
      <c r="R865" s="13" t="s">
        <v>25</v>
      </c>
      <c r="S865" s="13" t="s">
        <v>25</v>
      </c>
      <c r="T865" s="13" t="s">
        <v>25</v>
      </c>
    </row>
    <row r="866" spans="1:20" x14ac:dyDescent="0.3">
      <c r="A866" s="14">
        <v>43926.708333333336</v>
      </c>
      <c r="B866" s="13" t="s">
        <v>22</v>
      </c>
      <c r="C866" s="114">
        <v>18</v>
      </c>
      <c r="D866" s="13" t="s">
        <v>45</v>
      </c>
      <c r="E866" s="114">
        <v>3890597598</v>
      </c>
      <c r="F866" s="114">
        <v>1659440194</v>
      </c>
      <c r="G866" s="114">
        <v>174</v>
      </c>
      <c r="H866" s="114">
        <v>13</v>
      </c>
      <c r="I866" s="114">
        <v>187</v>
      </c>
      <c r="J866" s="114">
        <v>519</v>
      </c>
      <c r="K866" s="114">
        <v>706</v>
      </c>
      <c r="L866" s="114">
        <v>44</v>
      </c>
      <c r="M866" s="114">
        <v>54</v>
      </c>
      <c r="N866" s="114">
        <v>33</v>
      </c>
      <c r="O866" s="114">
        <v>56</v>
      </c>
      <c r="P866" s="114">
        <v>795</v>
      </c>
      <c r="Q866" s="114">
        <v>13077</v>
      </c>
      <c r="R866" s="13" t="s">
        <v>25</v>
      </c>
      <c r="S866" s="13" t="s">
        <v>25</v>
      </c>
      <c r="T866" s="13" t="s">
        <v>25</v>
      </c>
    </row>
    <row r="867" spans="1:20" x14ac:dyDescent="0.3">
      <c r="A867" s="14">
        <v>43926.708333333336</v>
      </c>
      <c r="B867" s="13" t="s">
        <v>22</v>
      </c>
      <c r="C867" s="114">
        <v>15</v>
      </c>
      <c r="D867" s="13" t="s">
        <v>46</v>
      </c>
      <c r="E867" s="114">
        <v>4083956555</v>
      </c>
      <c r="F867" s="114">
        <v>1425084984</v>
      </c>
      <c r="G867" s="114">
        <v>609</v>
      </c>
      <c r="H867" s="114">
        <v>108</v>
      </c>
      <c r="I867" s="114">
        <v>717</v>
      </c>
      <c r="J867" s="114">
        <v>1904</v>
      </c>
      <c r="K867" s="114">
        <v>2621</v>
      </c>
      <c r="L867" s="114">
        <v>125</v>
      </c>
      <c r="M867" s="114">
        <v>132</v>
      </c>
      <c r="N867" s="114">
        <v>150</v>
      </c>
      <c r="O867" s="114">
        <v>189</v>
      </c>
      <c r="P867" s="114">
        <v>2960</v>
      </c>
      <c r="Q867" s="114">
        <v>23139</v>
      </c>
      <c r="R867" s="13" t="s">
        <v>25</v>
      </c>
      <c r="S867" s="13" t="s">
        <v>25</v>
      </c>
      <c r="T867" s="13" t="s">
        <v>25</v>
      </c>
    </row>
    <row r="868" spans="1:20" x14ac:dyDescent="0.3">
      <c r="A868" s="14">
        <v>43926.708333333336</v>
      </c>
      <c r="B868" s="13" t="s">
        <v>22</v>
      </c>
      <c r="C868" s="114">
        <v>8</v>
      </c>
      <c r="D868" s="13" t="s">
        <v>96</v>
      </c>
      <c r="E868" s="114">
        <v>4449436681</v>
      </c>
      <c r="F868" s="114">
        <v>113417208</v>
      </c>
      <c r="G868" s="114">
        <v>3839</v>
      </c>
      <c r="H868" s="114">
        <v>375</v>
      </c>
      <c r="I868" s="114">
        <v>4214</v>
      </c>
      <c r="J868" s="114">
        <v>8623</v>
      </c>
      <c r="K868" s="114">
        <v>12837</v>
      </c>
      <c r="L868" s="114">
        <v>314</v>
      </c>
      <c r="M868" s="114">
        <v>549</v>
      </c>
      <c r="N868" s="114">
        <v>2201</v>
      </c>
      <c r="O868" s="114">
        <v>2051</v>
      </c>
      <c r="P868" s="114">
        <v>17089</v>
      </c>
      <c r="Q868" s="114">
        <v>69986</v>
      </c>
      <c r="R868" s="13" t="s">
        <v>25</v>
      </c>
      <c r="S868" s="13" t="s">
        <v>25</v>
      </c>
      <c r="T868" s="13" t="s">
        <v>25</v>
      </c>
    </row>
    <row r="869" spans="1:20" x14ac:dyDescent="0.3">
      <c r="A869" s="14">
        <v>43926.708333333336</v>
      </c>
      <c r="B869" s="13" t="s">
        <v>22</v>
      </c>
      <c r="C869" s="114">
        <v>6</v>
      </c>
      <c r="D869" s="13" t="s">
        <v>47</v>
      </c>
      <c r="E869" s="114">
        <v>456494354</v>
      </c>
      <c r="F869" s="114">
        <v>1376813649</v>
      </c>
      <c r="G869" s="114">
        <v>185</v>
      </c>
      <c r="H869" s="114">
        <v>50</v>
      </c>
      <c r="I869" s="114">
        <v>235</v>
      </c>
      <c r="J869" s="114">
        <v>1128</v>
      </c>
      <c r="K869" s="114">
        <v>1363</v>
      </c>
      <c r="L869" s="114">
        <v>27</v>
      </c>
      <c r="M869" s="114">
        <v>62</v>
      </c>
      <c r="N869" s="114">
        <v>531</v>
      </c>
      <c r="O869" s="114">
        <v>154</v>
      </c>
      <c r="P869" s="114">
        <v>2048</v>
      </c>
      <c r="Q869" s="114">
        <v>21652</v>
      </c>
      <c r="R869" s="13" t="s">
        <v>25</v>
      </c>
      <c r="S869" s="13" t="s">
        <v>25</v>
      </c>
      <c r="T869" s="13" t="s">
        <v>25</v>
      </c>
    </row>
    <row r="870" spans="1:20" x14ac:dyDescent="0.3">
      <c r="A870" s="14">
        <v>43926.708333333336</v>
      </c>
      <c r="B870" s="13" t="s">
        <v>22</v>
      </c>
      <c r="C870" s="114">
        <v>12</v>
      </c>
      <c r="D870" s="13" t="s">
        <v>48</v>
      </c>
      <c r="E870" s="114">
        <v>4189277044</v>
      </c>
      <c r="F870" s="114">
        <v>1248366722</v>
      </c>
      <c r="G870" s="114">
        <v>1235</v>
      </c>
      <c r="H870" s="114">
        <v>197</v>
      </c>
      <c r="I870" s="114">
        <v>1432</v>
      </c>
      <c r="J870" s="114">
        <v>1754</v>
      </c>
      <c r="K870" s="114">
        <v>3186</v>
      </c>
      <c r="L870" s="114">
        <v>80</v>
      </c>
      <c r="M870" s="114">
        <v>123</v>
      </c>
      <c r="N870" s="114">
        <v>475</v>
      </c>
      <c r="O870" s="114">
        <v>219</v>
      </c>
      <c r="P870" s="114">
        <v>3880</v>
      </c>
      <c r="Q870" s="114">
        <v>44658</v>
      </c>
      <c r="R870" s="13" t="s">
        <v>25</v>
      </c>
      <c r="S870" s="13" t="s">
        <v>25</v>
      </c>
      <c r="T870" s="13" t="s">
        <v>25</v>
      </c>
    </row>
    <row r="871" spans="1:20" x14ac:dyDescent="0.3">
      <c r="A871" s="14">
        <v>43926.708333333336</v>
      </c>
      <c r="B871" s="13" t="s">
        <v>22</v>
      </c>
      <c r="C871" s="114">
        <v>7</v>
      </c>
      <c r="D871" s="13" t="s">
        <v>49</v>
      </c>
      <c r="E871" s="114">
        <v>4441149315</v>
      </c>
      <c r="F871" s="114">
        <v>89326992</v>
      </c>
      <c r="G871" s="114">
        <v>1126</v>
      </c>
      <c r="H871" s="114">
        <v>165</v>
      </c>
      <c r="I871" s="114">
        <v>1291</v>
      </c>
      <c r="J871" s="114">
        <v>1802</v>
      </c>
      <c r="K871" s="114">
        <v>3093</v>
      </c>
      <c r="L871" s="114">
        <v>199</v>
      </c>
      <c r="M871" s="114">
        <v>246</v>
      </c>
      <c r="N871" s="114">
        <v>800</v>
      </c>
      <c r="O871" s="114">
        <v>556</v>
      </c>
      <c r="P871" s="114">
        <v>4449</v>
      </c>
      <c r="Q871" s="114">
        <v>15047</v>
      </c>
      <c r="R871" s="13" t="s">
        <v>25</v>
      </c>
      <c r="S871" s="13" t="s">
        <v>25</v>
      </c>
      <c r="T871" s="13" t="s">
        <v>25</v>
      </c>
    </row>
    <row r="872" spans="1:20" x14ac:dyDescent="0.3">
      <c r="A872" s="14">
        <v>43926.708333333336</v>
      </c>
      <c r="B872" s="13" t="s">
        <v>22</v>
      </c>
      <c r="C872" s="114">
        <v>3</v>
      </c>
      <c r="D872" s="13" t="s">
        <v>50</v>
      </c>
      <c r="E872" s="114">
        <v>4546679409</v>
      </c>
      <c r="F872" s="114">
        <v>9190347404</v>
      </c>
      <c r="G872" s="114">
        <v>12009</v>
      </c>
      <c r="H872" s="114">
        <v>1317</v>
      </c>
      <c r="I872" s="114">
        <v>13326</v>
      </c>
      <c r="J872" s="114">
        <v>14798</v>
      </c>
      <c r="K872" s="114">
        <v>28124</v>
      </c>
      <c r="L872" s="114">
        <v>904</v>
      </c>
      <c r="M872" s="114">
        <v>1337</v>
      </c>
      <c r="N872" s="114">
        <v>13426</v>
      </c>
      <c r="O872" s="114">
        <v>8905</v>
      </c>
      <c r="P872" s="114">
        <v>50455</v>
      </c>
      <c r="Q872" s="114">
        <v>149984</v>
      </c>
      <c r="R872" s="13" t="s">
        <v>25</v>
      </c>
      <c r="S872" s="13" t="s">
        <v>25</v>
      </c>
      <c r="T872" s="13" t="s">
        <v>25</v>
      </c>
    </row>
    <row r="873" spans="1:20" x14ac:dyDescent="0.3">
      <c r="A873" s="14">
        <v>43926.708333333336</v>
      </c>
      <c r="B873" s="13" t="s">
        <v>22</v>
      </c>
      <c r="C873" s="114">
        <v>11</v>
      </c>
      <c r="D873" s="13" t="s">
        <v>51</v>
      </c>
      <c r="E873" s="114">
        <v>4361675973</v>
      </c>
      <c r="F873" s="114">
        <v>135188753</v>
      </c>
      <c r="G873" s="114">
        <v>987</v>
      </c>
      <c r="H873" s="114">
        <v>151</v>
      </c>
      <c r="I873" s="114">
        <v>1138</v>
      </c>
      <c r="J873" s="114">
        <v>2440</v>
      </c>
      <c r="K873" s="114">
        <v>3578</v>
      </c>
      <c r="L873" s="114">
        <v>81</v>
      </c>
      <c r="M873" s="114">
        <v>123</v>
      </c>
      <c r="N873" s="114">
        <v>287</v>
      </c>
      <c r="O873" s="114">
        <v>599</v>
      </c>
      <c r="P873" s="114">
        <v>4464</v>
      </c>
      <c r="Q873" s="114">
        <v>15252</v>
      </c>
      <c r="R873" s="13" t="s">
        <v>25</v>
      </c>
      <c r="S873" s="13" t="s">
        <v>25</v>
      </c>
      <c r="T873" s="13" t="s">
        <v>25</v>
      </c>
    </row>
    <row r="874" spans="1:20" x14ac:dyDescent="0.3">
      <c r="A874" s="14">
        <v>43926.708333333336</v>
      </c>
      <c r="B874" s="13" t="s">
        <v>22</v>
      </c>
      <c r="C874" s="114">
        <v>14</v>
      </c>
      <c r="D874" s="13" t="s">
        <v>52</v>
      </c>
      <c r="E874" s="114">
        <v>4155774754</v>
      </c>
      <c r="F874" s="114">
        <v>1465916051</v>
      </c>
      <c r="G874" s="114">
        <v>33</v>
      </c>
      <c r="H874" s="114">
        <v>6</v>
      </c>
      <c r="I874" s="114">
        <v>39</v>
      </c>
      <c r="J874" s="114">
        <v>148</v>
      </c>
      <c r="K874" s="114">
        <v>187</v>
      </c>
      <c r="L874" s="114">
        <v>16</v>
      </c>
      <c r="M874" s="114">
        <v>18</v>
      </c>
      <c r="N874" s="114">
        <v>24</v>
      </c>
      <c r="O874" s="114">
        <v>13</v>
      </c>
      <c r="P874" s="114">
        <v>224</v>
      </c>
      <c r="Q874" s="114">
        <v>1504</v>
      </c>
      <c r="R874" s="13" t="s">
        <v>25</v>
      </c>
      <c r="S874" s="13" t="s">
        <v>25</v>
      </c>
      <c r="T874" s="13" t="s">
        <v>25</v>
      </c>
    </row>
    <row r="875" spans="1:20" x14ac:dyDescent="0.3">
      <c r="A875" s="14">
        <v>43926.708333333336</v>
      </c>
      <c r="B875" s="13" t="s">
        <v>22</v>
      </c>
      <c r="C875" s="114">
        <v>1</v>
      </c>
      <c r="D875" s="13" t="s">
        <v>53</v>
      </c>
      <c r="E875" s="114">
        <v>450732745</v>
      </c>
      <c r="F875" s="114">
        <v>7680687483</v>
      </c>
      <c r="G875" s="114">
        <v>3472</v>
      </c>
      <c r="H875" s="114">
        <v>444</v>
      </c>
      <c r="I875" s="114">
        <v>3916</v>
      </c>
      <c r="J875" s="114">
        <v>6261</v>
      </c>
      <c r="K875" s="114">
        <v>10177</v>
      </c>
      <c r="L875" s="114">
        <v>484</v>
      </c>
      <c r="M875" s="114">
        <v>653</v>
      </c>
      <c r="N875" s="114">
        <v>1017</v>
      </c>
      <c r="O875" s="114">
        <v>1168</v>
      </c>
      <c r="P875" s="114">
        <v>12362</v>
      </c>
      <c r="Q875" s="114">
        <v>38539</v>
      </c>
      <c r="R875" s="13" t="s">
        <v>25</v>
      </c>
      <c r="S875" s="13" t="s">
        <v>25</v>
      </c>
      <c r="T875" s="13" t="s">
        <v>25</v>
      </c>
    </row>
    <row r="876" spans="1:20" x14ac:dyDescent="0.3">
      <c r="A876" s="14">
        <v>43926.708333333336</v>
      </c>
      <c r="B876" s="13" t="s">
        <v>22</v>
      </c>
      <c r="C876" s="114">
        <v>16</v>
      </c>
      <c r="D876" s="13" t="s">
        <v>54</v>
      </c>
      <c r="E876" s="114">
        <v>4112559576</v>
      </c>
      <c r="F876" s="114">
        <v>1686736689</v>
      </c>
      <c r="G876" s="114">
        <v>574</v>
      </c>
      <c r="H876" s="114">
        <v>159</v>
      </c>
      <c r="I876" s="114">
        <v>733</v>
      </c>
      <c r="J876" s="114">
        <v>1289</v>
      </c>
      <c r="K876" s="114">
        <v>2022</v>
      </c>
      <c r="L876" s="114">
        <v>49</v>
      </c>
      <c r="M876" s="114">
        <v>77</v>
      </c>
      <c r="N876" s="114">
        <v>113</v>
      </c>
      <c r="O876" s="114">
        <v>182</v>
      </c>
      <c r="P876" s="114">
        <v>2317</v>
      </c>
      <c r="Q876" s="114">
        <v>20080</v>
      </c>
      <c r="R876" s="13" t="s">
        <v>25</v>
      </c>
      <c r="S876" s="13" t="s">
        <v>25</v>
      </c>
      <c r="T876" s="13" t="s">
        <v>25</v>
      </c>
    </row>
    <row r="877" spans="1:20" x14ac:dyDescent="0.3">
      <c r="A877" s="14">
        <v>43926.708333333336</v>
      </c>
      <c r="B877" s="13" t="s">
        <v>22</v>
      </c>
      <c r="C877" s="114">
        <v>20</v>
      </c>
      <c r="D877" s="13" t="s">
        <v>55</v>
      </c>
      <c r="E877" s="114">
        <v>3921531192</v>
      </c>
      <c r="F877" s="114">
        <v>9110616306</v>
      </c>
      <c r="G877" s="114">
        <v>126</v>
      </c>
      <c r="H877" s="114">
        <v>25</v>
      </c>
      <c r="I877" s="114">
        <v>151</v>
      </c>
      <c r="J877" s="114">
        <v>664</v>
      </c>
      <c r="K877" s="114">
        <v>815</v>
      </c>
      <c r="L877" s="114">
        <v>26</v>
      </c>
      <c r="M877" s="114">
        <v>33</v>
      </c>
      <c r="N877" s="114">
        <v>49</v>
      </c>
      <c r="O877" s="114">
        <v>43</v>
      </c>
      <c r="P877" s="114">
        <v>907</v>
      </c>
      <c r="Q877" s="114">
        <v>7157</v>
      </c>
      <c r="R877" s="13" t="s">
        <v>25</v>
      </c>
      <c r="S877" s="13" t="s">
        <v>25</v>
      </c>
      <c r="T877" s="13" t="s">
        <v>25</v>
      </c>
    </row>
    <row r="878" spans="1:20" x14ac:dyDescent="0.3">
      <c r="A878" s="14">
        <v>43926.708333333336</v>
      </c>
      <c r="B878" s="13" t="s">
        <v>22</v>
      </c>
      <c r="C878" s="114">
        <v>19</v>
      </c>
      <c r="D878" s="13" t="s">
        <v>56</v>
      </c>
      <c r="E878" s="114">
        <v>3811569725</v>
      </c>
      <c r="F878" s="114">
        <v>133623567</v>
      </c>
      <c r="G878" s="114">
        <v>556</v>
      </c>
      <c r="H878" s="114">
        <v>76</v>
      </c>
      <c r="I878" s="114">
        <v>632</v>
      </c>
      <c r="J878" s="114">
        <v>1142</v>
      </c>
      <c r="K878" s="114">
        <v>1774</v>
      </c>
      <c r="L878" s="114">
        <v>48</v>
      </c>
      <c r="M878" s="114">
        <v>62</v>
      </c>
      <c r="N878" s="114">
        <v>104</v>
      </c>
      <c r="O878" s="114">
        <v>116</v>
      </c>
      <c r="P878" s="114">
        <v>1994</v>
      </c>
      <c r="Q878" s="114">
        <v>21904</v>
      </c>
      <c r="R878" s="13" t="s">
        <v>25</v>
      </c>
      <c r="S878" s="13" t="s">
        <v>25</v>
      </c>
      <c r="T878" s="13" t="s">
        <v>25</v>
      </c>
    </row>
    <row r="879" spans="1:20" x14ac:dyDescent="0.3">
      <c r="A879" s="14">
        <v>43926.708333333336</v>
      </c>
      <c r="B879" s="13" t="s">
        <v>22</v>
      </c>
      <c r="C879" s="114">
        <v>9</v>
      </c>
      <c r="D879" s="13" t="s">
        <v>57</v>
      </c>
      <c r="E879" s="114">
        <v>4376923077</v>
      </c>
      <c r="F879" s="114">
        <v>1125588885</v>
      </c>
      <c r="G879" s="114">
        <v>1111</v>
      </c>
      <c r="H879" s="114">
        <v>276</v>
      </c>
      <c r="I879" s="114">
        <v>1387</v>
      </c>
      <c r="J879" s="114">
        <v>3798</v>
      </c>
      <c r="K879" s="114">
        <v>5185</v>
      </c>
      <c r="L879" s="114">
        <v>131</v>
      </c>
      <c r="M879" s="114">
        <v>176</v>
      </c>
      <c r="N879" s="114">
        <v>337</v>
      </c>
      <c r="O879" s="114">
        <v>325</v>
      </c>
      <c r="P879" s="114">
        <v>5847</v>
      </c>
      <c r="Q879" s="114">
        <v>51006</v>
      </c>
      <c r="R879" s="13" t="s">
        <v>25</v>
      </c>
      <c r="S879" s="13" t="s">
        <v>25</v>
      </c>
      <c r="T879" s="13" t="s">
        <v>25</v>
      </c>
    </row>
    <row r="880" spans="1:20" x14ac:dyDescent="0.3">
      <c r="A880" s="14">
        <v>43926.708333333336</v>
      </c>
      <c r="B880" s="13" t="s">
        <v>22</v>
      </c>
      <c r="C880" s="114">
        <v>4</v>
      </c>
      <c r="D880" s="13" t="s">
        <v>58</v>
      </c>
      <c r="E880" s="114">
        <v>4606893511</v>
      </c>
      <c r="F880" s="114">
        <v>1112123097</v>
      </c>
      <c r="G880" s="114">
        <v>352</v>
      </c>
      <c r="H880" s="114">
        <v>80</v>
      </c>
      <c r="I880" s="114">
        <v>432</v>
      </c>
      <c r="J880" s="114">
        <v>1363</v>
      </c>
      <c r="K880" s="114">
        <v>1795</v>
      </c>
      <c r="L880" s="114">
        <v>42</v>
      </c>
      <c r="M880" s="114">
        <v>65</v>
      </c>
      <c r="N880" s="114">
        <v>273</v>
      </c>
      <c r="O880" s="114">
        <v>217</v>
      </c>
      <c r="P880" s="114">
        <v>2285</v>
      </c>
      <c r="Q880" s="114">
        <v>10476</v>
      </c>
      <c r="R880" s="13" t="s">
        <v>25</v>
      </c>
      <c r="S880" s="13" t="s">
        <v>25</v>
      </c>
      <c r="T880" s="13" t="s">
        <v>25</v>
      </c>
    </row>
    <row r="881" spans="1:20" x14ac:dyDescent="0.3">
      <c r="A881" s="14">
        <v>43926.708333333336</v>
      </c>
      <c r="B881" s="13" t="s">
        <v>22</v>
      </c>
      <c r="C881" s="114">
        <v>10</v>
      </c>
      <c r="D881" s="13" t="s">
        <v>59</v>
      </c>
      <c r="E881" s="114">
        <v>4310675841</v>
      </c>
      <c r="F881" s="114">
        <v>1238824698</v>
      </c>
      <c r="G881" s="114">
        <v>159</v>
      </c>
      <c r="H881" s="114">
        <v>45</v>
      </c>
      <c r="I881" s="114">
        <v>204</v>
      </c>
      <c r="J881" s="114">
        <v>694</v>
      </c>
      <c r="K881" s="114">
        <v>898</v>
      </c>
      <c r="L881" s="114">
        <v>-29</v>
      </c>
      <c r="M881" s="114">
        <v>29</v>
      </c>
      <c r="N881" s="114">
        <v>298</v>
      </c>
      <c r="O881" s="114">
        <v>43</v>
      </c>
      <c r="P881" s="114">
        <v>1239</v>
      </c>
      <c r="Q881" s="114">
        <v>12448</v>
      </c>
      <c r="R881" s="13" t="s">
        <v>25</v>
      </c>
      <c r="S881" s="13" t="s">
        <v>25</v>
      </c>
      <c r="T881" s="13" t="s">
        <v>25</v>
      </c>
    </row>
    <row r="882" spans="1:20" x14ac:dyDescent="0.3">
      <c r="A882" s="14">
        <v>43926.708333333336</v>
      </c>
      <c r="B882" s="13" t="s">
        <v>22</v>
      </c>
      <c r="C882" s="114">
        <v>2</v>
      </c>
      <c r="D882" s="13" t="s">
        <v>60</v>
      </c>
      <c r="E882" s="114">
        <v>4573750286</v>
      </c>
      <c r="F882" s="114">
        <v>7320149366</v>
      </c>
      <c r="G882" s="114">
        <v>96</v>
      </c>
      <c r="H882" s="114">
        <v>23</v>
      </c>
      <c r="I882" s="114">
        <v>119</v>
      </c>
      <c r="J882" s="114">
        <v>457</v>
      </c>
      <c r="K882" s="114">
        <v>576</v>
      </c>
      <c r="L882" s="114">
        <v>16</v>
      </c>
      <c r="M882" s="114">
        <v>34</v>
      </c>
      <c r="N882" s="114">
        <v>115</v>
      </c>
      <c r="O882" s="114">
        <v>91</v>
      </c>
      <c r="P882" s="114">
        <v>782</v>
      </c>
      <c r="Q882" s="114">
        <v>2390</v>
      </c>
      <c r="R882" s="13" t="s">
        <v>25</v>
      </c>
      <c r="S882" s="13" t="s">
        <v>25</v>
      </c>
      <c r="T882" s="13" t="s">
        <v>25</v>
      </c>
    </row>
    <row r="883" spans="1:20" x14ac:dyDescent="0.3">
      <c r="A883" s="14">
        <v>43926.708333333336</v>
      </c>
      <c r="B883" s="13" t="s">
        <v>22</v>
      </c>
      <c r="C883" s="114">
        <v>5</v>
      </c>
      <c r="D883" s="13" t="s">
        <v>61</v>
      </c>
      <c r="E883" s="114">
        <v>4543490485</v>
      </c>
      <c r="F883" s="114">
        <v>1233845213</v>
      </c>
      <c r="G883" s="114">
        <v>1674</v>
      </c>
      <c r="H883" s="114">
        <v>329</v>
      </c>
      <c r="I883" s="114">
        <v>2003</v>
      </c>
      <c r="J883" s="114">
        <v>7406</v>
      </c>
      <c r="K883" s="114">
        <v>9409</v>
      </c>
      <c r="L883" s="114">
        <v>316</v>
      </c>
      <c r="M883" s="114">
        <v>402</v>
      </c>
      <c r="N883" s="114">
        <v>1186</v>
      </c>
      <c r="O883" s="114">
        <v>631</v>
      </c>
      <c r="P883" s="114">
        <v>11226</v>
      </c>
      <c r="Q883" s="114">
        <v>140910</v>
      </c>
      <c r="R883" s="13" t="s">
        <v>25</v>
      </c>
      <c r="S883" s="13" t="s">
        <v>25</v>
      </c>
      <c r="T883" s="13" t="s">
        <v>25</v>
      </c>
    </row>
    <row r="884" spans="1:20" x14ac:dyDescent="0.3">
      <c r="A884" s="14">
        <v>43927.708333333336</v>
      </c>
      <c r="B884" s="13" t="s">
        <v>22</v>
      </c>
      <c r="C884" s="114">
        <v>13</v>
      </c>
      <c r="D884" s="13" t="s">
        <v>42</v>
      </c>
      <c r="E884" s="114">
        <v>4235122196</v>
      </c>
      <c r="F884" s="114">
        <v>1339843823</v>
      </c>
      <c r="G884" s="114">
        <v>340</v>
      </c>
      <c r="H884" s="114">
        <v>66</v>
      </c>
      <c r="I884" s="114">
        <v>406</v>
      </c>
      <c r="J884" s="114">
        <v>1019</v>
      </c>
      <c r="K884" s="114">
        <v>1425</v>
      </c>
      <c r="L884" s="114">
        <v>5</v>
      </c>
      <c r="M884" s="114">
        <v>18</v>
      </c>
      <c r="N884" s="114">
        <v>127</v>
      </c>
      <c r="O884" s="114">
        <v>169</v>
      </c>
      <c r="P884" s="114">
        <v>1721</v>
      </c>
      <c r="Q884" s="114">
        <v>14198</v>
      </c>
      <c r="R884" s="13" t="s">
        <v>25</v>
      </c>
      <c r="S884" s="13" t="s">
        <v>25</v>
      </c>
      <c r="T884" s="13" t="s">
        <v>25</v>
      </c>
    </row>
    <row r="885" spans="1:20" x14ac:dyDescent="0.3">
      <c r="A885" s="14">
        <v>43927.708333333336</v>
      </c>
      <c r="B885" s="13" t="s">
        <v>22</v>
      </c>
      <c r="C885" s="114">
        <v>17</v>
      </c>
      <c r="D885" s="13" t="s">
        <v>43</v>
      </c>
      <c r="E885" s="114">
        <v>4063947052</v>
      </c>
      <c r="F885" s="114">
        <v>1580514834</v>
      </c>
      <c r="G885" s="114">
        <v>46</v>
      </c>
      <c r="H885" s="114">
        <v>18</v>
      </c>
      <c r="I885" s="114">
        <v>64</v>
      </c>
      <c r="J885" s="114">
        <v>198</v>
      </c>
      <c r="K885" s="114">
        <v>262</v>
      </c>
      <c r="L885" s="114">
        <v>8</v>
      </c>
      <c r="M885" s="114">
        <v>9</v>
      </c>
      <c r="N885" s="114">
        <v>12</v>
      </c>
      <c r="O885" s="114">
        <v>13</v>
      </c>
      <c r="P885" s="114">
        <v>287</v>
      </c>
      <c r="Q885" s="114">
        <v>3061</v>
      </c>
      <c r="R885" s="13" t="s">
        <v>25</v>
      </c>
      <c r="S885" s="13" t="s">
        <v>25</v>
      </c>
      <c r="T885" s="13" t="s">
        <v>25</v>
      </c>
    </row>
    <row r="886" spans="1:20" x14ac:dyDescent="0.3">
      <c r="A886" s="14">
        <v>43927.708333333336</v>
      </c>
      <c r="B886" s="13" t="s">
        <v>22</v>
      </c>
      <c r="C886" s="114">
        <v>4</v>
      </c>
      <c r="D886" s="13" t="s">
        <v>44</v>
      </c>
      <c r="E886" s="114">
        <v>4649933453</v>
      </c>
      <c r="F886" s="114">
        <v>1135662422</v>
      </c>
      <c r="G886" s="114">
        <v>245</v>
      </c>
      <c r="H886" s="114">
        <v>52</v>
      </c>
      <c r="I886" s="114">
        <v>297</v>
      </c>
      <c r="J886" s="114">
        <v>963</v>
      </c>
      <c r="K886" s="114">
        <v>1260</v>
      </c>
      <c r="L886" s="114">
        <v>34</v>
      </c>
      <c r="M886" s="114">
        <v>78</v>
      </c>
      <c r="N886" s="114">
        <v>298</v>
      </c>
      <c r="O886" s="114">
        <v>164</v>
      </c>
      <c r="P886" s="114">
        <v>1722</v>
      </c>
      <c r="Q886" s="114">
        <v>16825</v>
      </c>
      <c r="R886" s="13" t="s">
        <v>25</v>
      </c>
      <c r="S886" s="13" t="s">
        <v>25</v>
      </c>
      <c r="T886" s="13" t="s">
        <v>25</v>
      </c>
    </row>
    <row r="887" spans="1:20" x14ac:dyDescent="0.3">
      <c r="A887" s="14">
        <v>43927.708333333336</v>
      </c>
      <c r="B887" s="13" t="s">
        <v>22</v>
      </c>
      <c r="C887" s="114">
        <v>18</v>
      </c>
      <c r="D887" s="13" t="s">
        <v>45</v>
      </c>
      <c r="E887" s="114">
        <v>3890597598</v>
      </c>
      <c r="F887" s="114">
        <v>1659440194</v>
      </c>
      <c r="G887" s="114">
        <v>170</v>
      </c>
      <c r="H887" s="114">
        <v>14</v>
      </c>
      <c r="I887" s="114">
        <v>184</v>
      </c>
      <c r="J887" s="114">
        <v>538</v>
      </c>
      <c r="K887" s="114">
        <v>722</v>
      </c>
      <c r="L887" s="114">
        <v>16</v>
      </c>
      <c r="M887" s="114">
        <v>22</v>
      </c>
      <c r="N887" s="114">
        <v>37</v>
      </c>
      <c r="O887" s="114">
        <v>58</v>
      </c>
      <c r="P887" s="114">
        <v>817</v>
      </c>
      <c r="Q887" s="114">
        <v>13633</v>
      </c>
      <c r="R887" s="13" t="s">
        <v>25</v>
      </c>
      <c r="S887" s="13" t="s">
        <v>25</v>
      </c>
      <c r="T887" s="13" t="s">
        <v>25</v>
      </c>
    </row>
    <row r="888" spans="1:20" x14ac:dyDescent="0.3">
      <c r="A888" s="14">
        <v>43927.708333333336</v>
      </c>
      <c r="B888" s="13" t="s">
        <v>22</v>
      </c>
      <c r="C888" s="114">
        <v>15</v>
      </c>
      <c r="D888" s="13" t="s">
        <v>46</v>
      </c>
      <c r="E888" s="114">
        <v>4083956555</v>
      </c>
      <c r="F888" s="114">
        <v>1425084984</v>
      </c>
      <c r="G888" s="114">
        <v>610</v>
      </c>
      <c r="H888" s="114">
        <v>101</v>
      </c>
      <c r="I888" s="114">
        <v>711</v>
      </c>
      <c r="J888" s="114">
        <v>1987</v>
      </c>
      <c r="K888" s="114">
        <v>2698</v>
      </c>
      <c r="L888" s="114">
        <v>77</v>
      </c>
      <c r="M888" s="114">
        <v>98</v>
      </c>
      <c r="N888" s="114">
        <v>156</v>
      </c>
      <c r="O888" s="114">
        <v>204</v>
      </c>
      <c r="P888" s="114">
        <v>3058</v>
      </c>
      <c r="Q888" s="114">
        <v>24526</v>
      </c>
      <c r="R888" s="13" t="s">
        <v>25</v>
      </c>
      <c r="S888" s="13" t="s">
        <v>25</v>
      </c>
      <c r="T888" s="13" t="s">
        <v>25</v>
      </c>
    </row>
    <row r="889" spans="1:20" x14ac:dyDescent="0.3">
      <c r="A889" s="14">
        <v>43927.708333333336</v>
      </c>
      <c r="B889" s="13" t="s">
        <v>22</v>
      </c>
      <c r="C889" s="114">
        <v>8</v>
      </c>
      <c r="D889" s="13" t="s">
        <v>96</v>
      </c>
      <c r="E889" s="114">
        <v>4449436681</v>
      </c>
      <c r="F889" s="114">
        <v>113417208</v>
      </c>
      <c r="G889" s="114">
        <v>3804</v>
      </c>
      <c r="H889" s="114">
        <v>372</v>
      </c>
      <c r="I889" s="114">
        <v>4176</v>
      </c>
      <c r="J889" s="114">
        <v>8875</v>
      </c>
      <c r="K889" s="114">
        <v>13051</v>
      </c>
      <c r="L889" s="114">
        <v>214</v>
      </c>
      <c r="M889" s="114">
        <v>467</v>
      </c>
      <c r="N889" s="114">
        <v>2397</v>
      </c>
      <c r="O889" s="114">
        <v>2108</v>
      </c>
      <c r="P889" s="114">
        <v>17556</v>
      </c>
      <c r="Q889" s="114">
        <v>72163</v>
      </c>
      <c r="R889" s="13" t="s">
        <v>25</v>
      </c>
      <c r="S889" s="13" t="s">
        <v>25</v>
      </c>
      <c r="T889" s="13" t="s">
        <v>25</v>
      </c>
    </row>
    <row r="890" spans="1:20" x14ac:dyDescent="0.3">
      <c r="A890" s="14">
        <v>43927.708333333336</v>
      </c>
      <c r="B890" s="13" t="s">
        <v>22</v>
      </c>
      <c r="C890" s="114">
        <v>6</v>
      </c>
      <c r="D890" s="13" t="s">
        <v>47</v>
      </c>
      <c r="E890" s="114">
        <v>456494354</v>
      </c>
      <c r="F890" s="114">
        <v>1376813649</v>
      </c>
      <c r="G890" s="114">
        <v>189</v>
      </c>
      <c r="H890" s="114">
        <v>46</v>
      </c>
      <c r="I890" s="114">
        <v>235</v>
      </c>
      <c r="J890" s="114">
        <v>1161</v>
      </c>
      <c r="K890" s="114">
        <v>1396</v>
      </c>
      <c r="L890" s="114">
        <v>33</v>
      </c>
      <c r="M890" s="114">
        <v>55</v>
      </c>
      <c r="N890" s="114">
        <v>549</v>
      </c>
      <c r="O890" s="114">
        <v>158</v>
      </c>
      <c r="P890" s="114">
        <v>2103</v>
      </c>
      <c r="Q890" s="114">
        <v>22272</v>
      </c>
      <c r="R890" s="13" t="s">
        <v>25</v>
      </c>
      <c r="S890" s="13" t="s">
        <v>25</v>
      </c>
      <c r="T890" s="13" t="s">
        <v>25</v>
      </c>
    </row>
    <row r="891" spans="1:20" x14ac:dyDescent="0.3">
      <c r="A891" s="14">
        <v>43927.708333333336</v>
      </c>
      <c r="B891" s="13" t="s">
        <v>22</v>
      </c>
      <c r="C891" s="114">
        <v>12</v>
      </c>
      <c r="D891" s="13" t="s">
        <v>48</v>
      </c>
      <c r="E891" s="114">
        <v>4189277044</v>
      </c>
      <c r="F891" s="114">
        <v>1248366722</v>
      </c>
      <c r="G891" s="114">
        <v>1235</v>
      </c>
      <c r="H891" s="114">
        <v>197</v>
      </c>
      <c r="I891" s="114">
        <v>1432</v>
      </c>
      <c r="J891" s="114">
        <v>1868</v>
      </c>
      <c r="K891" s="114">
        <v>3300</v>
      </c>
      <c r="L891" s="114">
        <v>114</v>
      </c>
      <c r="M891" s="114">
        <v>151</v>
      </c>
      <c r="N891" s="114">
        <v>502</v>
      </c>
      <c r="O891" s="114">
        <v>229</v>
      </c>
      <c r="P891" s="114">
        <v>4031</v>
      </c>
      <c r="Q891" s="114">
        <v>47470</v>
      </c>
      <c r="R891" s="13" t="s">
        <v>25</v>
      </c>
      <c r="S891" s="13" t="s">
        <v>25</v>
      </c>
      <c r="T891" s="13" t="s">
        <v>25</v>
      </c>
    </row>
    <row r="892" spans="1:20" x14ac:dyDescent="0.3">
      <c r="A892" s="14">
        <v>43927.708333333336</v>
      </c>
      <c r="B892" s="13" t="s">
        <v>22</v>
      </c>
      <c r="C892" s="114">
        <v>7</v>
      </c>
      <c r="D892" s="13" t="s">
        <v>49</v>
      </c>
      <c r="E892" s="114">
        <v>4441149315</v>
      </c>
      <c r="F892" s="114">
        <v>89326992</v>
      </c>
      <c r="G892" s="114">
        <v>1141</v>
      </c>
      <c r="H892" s="114">
        <v>162</v>
      </c>
      <c r="I892" s="114">
        <v>1303</v>
      </c>
      <c r="J892" s="114">
        <v>1814</v>
      </c>
      <c r="K892" s="114">
        <v>3117</v>
      </c>
      <c r="L892" s="114">
        <v>24</v>
      </c>
      <c r="M892" s="114">
        <v>100</v>
      </c>
      <c r="N892" s="114">
        <v>837</v>
      </c>
      <c r="O892" s="114">
        <v>595</v>
      </c>
      <c r="P892" s="114">
        <v>4549</v>
      </c>
      <c r="Q892" s="114">
        <v>15533</v>
      </c>
      <c r="R892" s="13" t="s">
        <v>25</v>
      </c>
      <c r="S892" s="13" t="s">
        <v>25</v>
      </c>
      <c r="T892" s="13" t="s">
        <v>25</v>
      </c>
    </row>
    <row r="893" spans="1:20" x14ac:dyDescent="0.3">
      <c r="A893" s="14">
        <v>43927.708333333336</v>
      </c>
      <c r="B893" s="13" t="s">
        <v>22</v>
      </c>
      <c r="C893" s="114">
        <v>3</v>
      </c>
      <c r="D893" s="13" t="s">
        <v>50</v>
      </c>
      <c r="E893" s="114">
        <v>4546679409</v>
      </c>
      <c r="F893" s="114">
        <v>9190347404</v>
      </c>
      <c r="G893" s="114">
        <v>11914</v>
      </c>
      <c r="H893" s="114">
        <v>1343</v>
      </c>
      <c r="I893" s="114">
        <v>13257</v>
      </c>
      <c r="J893" s="114">
        <v>15212</v>
      </c>
      <c r="K893" s="114">
        <v>28469</v>
      </c>
      <c r="L893" s="114">
        <v>345</v>
      </c>
      <c r="M893" s="114">
        <v>1079</v>
      </c>
      <c r="N893" s="114">
        <v>13863</v>
      </c>
      <c r="O893" s="114">
        <v>9202</v>
      </c>
      <c r="P893" s="114">
        <v>51534</v>
      </c>
      <c r="Q893" s="114">
        <v>154989</v>
      </c>
      <c r="R893" s="13" t="s">
        <v>25</v>
      </c>
      <c r="S893" s="13" t="s">
        <v>25</v>
      </c>
      <c r="T893" s="13" t="s">
        <v>25</v>
      </c>
    </row>
    <row r="894" spans="1:20" x14ac:dyDescent="0.3">
      <c r="A894" s="14">
        <v>43927.708333333336</v>
      </c>
      <c r="B894" s="13" t="s">
        <v>22</v>
      </c>
      <c r="C894" s="114">
        <v>11</v>
      </c>
      <c r="D894" s="13" t="s">
        <v>51</v>
      </c>
      <c r="E894" s="114">
        <v>4361675973</v>
      </c>
      <c r="F894" s="114">
        <v>135188753</v>
      </c>
      <c r="G894" s="114">
        <v>1001</v>
      </c>
      <c r="H894" s="114">
        <v>140</v>
      </c>
      <c r="I894" s="114">
        <v>1141</v>
      </c>
      <c r="J894" s="114">
        <v>2565</v>
      </c>
      <c r="K894" s="114">
        <v>3706</v>
      </c>
      <c r="L894" s="114">
        <v>128</v>
      </c>
      <c r="M894" s="114">
        <v>150</v>
      </c>
      <c r="N894" s="114">
        <v>296</v>
      </c>
      <c r="O894" s="114">
        <v>612</v>
      </c>
      <c r="P894" s="114">
        <v>4614</v>
      </c>
      <c r="Q894" s="114">
        <v>15919</v>
      </c>
      <c r="R894" s="13" t="s">
        <v>25</v>
      </c>
      <c r="S894" s="13" t="s">
        <v>25</v>
      </c>
      <c r="T894" s="13" t="s">
        <v>25</v>
      </c>
    </row>
    <row r="895" spans="1:20" x14ac:dyDescent="0.3">
      <c r="A895" s="14">
        <v>43927.708333333336</v>
      </c>
      <c r="B895" s="13" t="s">
        <v>22</v>
      </c>
      <c r="C895" s="114">
        <v>14</v>
      </c>
      <c r="D895" s="13" t="s">
        <v>52</v>
      </c>
      <c r="E895" s="114">
        <v>4155774754</v>
      </c>
      <c r="F895" s="114">
        <v>1465916051</v>
      </c>
      <c r="G895" s="114">
        <v>34</v>
      </c>
      <c r="H895" s="114">
        <v>5</v>
      </c>
      <c r="I895" s="114">
        <v>39</v>
      </c>
      <c r="J895" s="114">
        <v>148</v>
      </c>
      <c r="K895" s="114">
        <v>187</v>
      </c>
      <c r="L895" s="114">
        <v>0</v>
      </c>
      <c r="M895" s="114">
        <v>0</v>
      </c>
      <c r="N895" s="114">
        <v>24</v>
      </c>
      <c r="O895" s="114">
        <v>13</v>
      </c>
      <c r="P895" s="114">
        <v>224</v>
      </c>
      <c r="Q895" s="114">
        <v>1546</v>
      </c>
      <c r="R895" s="13" t="s">
        <v>25</v>
      </c>
      <c r="S895" s="13" t="s">
        <v>25</v>
      </c>
      <c r="T895" s="13" t="s">
        <v>25</v>
      </c>
    </row>
    <row r="896" spans="1:20" x14ac:dyDescent="0.3">
      <c r="A896" s="14">
        <v>43927.708333333336</v>
      </c>
      <c r="B896" s="13" t="s">
        <v>22</v>
      </c>
      <c r="C896" s="114">
        <v>1</v>
      </c>
      <c r="D896" s="13" t="s">
        <v>53</v>
      </c>
      <c r="E896" s="114">
        <v>450732745</v>
      </c>
      <c r="F896" s="114">
        <v>7680687483</v>
      </c>
      <c r="G896" s="114">
        <v>3484</v>
      </c>
      <c r="H896" s="114">
        <v>438</v>
      </c>
      <c r="I896" s="114">
        <v>3922</v>
      </c>
      <c r="J896" s="114">
        <v>6623</v>
      </c>
      <c r="K896" s="114">
        <v>10545</v>
      </c>
      <c r="L896" s="114">
        <v>368</v>
      </c>
      <c r="M896" s="114">
        <v>562</v>
      </c>
      <c r="N896" s="114">
        <v>1128</v>
      </c>
      <c r="O896" s="114">
        <v>1251</v>
      </c>
      <c r="P896" s="114">
        <v>12924</v>
      </c>
      <c r="Q896" s="114">
        <v>41123</v>
      </c>
      <c r="R896" s="13" t="s">
        <v>25</v>
      </c>
      <c r="S896" s="13" t="s">
        <v>25</v>
      </c>
      <c r="T896" s="13" t="s">
        <v>25</v>
      </c>
    </row>
    <row r="897" spans="1:20" x14ac:dyDescent="0.3">
      <c r="A897" s="14">
        <v>43927.708333333336</v>
      </c>
      <c r="B897" s="13" t="s">
        <v>22</v>
      </c>
      <c r="C897" s="114">
        <v>16</v>
      </c>
      <c r="D897" s="13" t="s">
        <v>54</v>
      </c>
      <c r="E897" s="114">
        <v>4112559576</v>
      </c>
      <c r="F897" s="114">
        <v>1686736689</v>
      </c>
      <c r="G897" s="114">
        <v>625</v>
      </c>
      <c r="H897" s="114">
        <v>97</v>
      </c>
      <c r="I897" s="114">
        <v>722</v>
      </c>
      <c r="J897" s="114">
        <v>1393</v>
      </c>
      <c r="K897" s="114">
        <v>2115</v>
      </c>
      <c r="L897" s="114">
        <v>93</v>
      </c>
      <c r="M897" s="114">
        <v>127</v>
      </c>
      <c r="N897" s="114">
        <v>134</v>
      </c>
      <c r="O897" s="114">
        <v>195</v>
      </c>
      <c r="P897" s="114">
        <v>2444</v>
      </c>
      <c r="Q897" s="114">
        <v>22059</v>
      </c>
      <c r="R897" s="13" t="s">
        <v>25</v>
      </c>
      <c r="S897" s="13" t="s">
        <v>25</v>
      </c>
      <c r="T897" s="13" t="s">
        <v>25</v>
      </c>
    </row>
    <row r="898" spans="1:20" x14ac:dyDescent="0.3">
      <c r="A898" s="14">
        <v>43927.708333333336</v>
      </c>
      <c r="B898" s="13" t="s">
        <v>22</v>
      </c>
      <c r="C898" s="114">
        <v>20</v>
      </c>
      <c r="D898" s="13" t="s">
        <v>55</v>
      </c>
      <c r="E898" s="114">
        <v>3921531192</v>
      </c>
      <c r="F898" s="114">
        <v>9110616306</v>
      </c>
      <c r="G898" s="114">
        <v>123</v>
      </c>
      <c r="H898" s="114">
        <v>26</v>
      </c>
      <c r="I898" s="114">
        <v>149</v>
      </c>
      <c r="J898" s="114">
        <v>670</v>
      </c>
      <c r="K898" s="114">
        <v>819</v>
      </c>
      <c r="L898" s="114">
        <v>4</v>
      </c>
      <c r="M898" s="114">
        <v>15</v>
      </c>
      <c r="N898" s="114">
        <v>56</v>
      </c>
      <c r="O898" s="114">
        <v>47</v>
      </c>
      <c r="P898" s="114">
        <v>922</v>
      </c>
      <c r="Q898" s="114">
        <v>7521</v>
      </c>
      <c r="R898" s="13" t="s">
        <v>25</v>
      </c>
      <c r="S898" s="13" t="s">
        <v>25</v>
      </c>
      <c r="T898" s="13" t="s">
        <v>25</v>
      </c>
    </row>
    <row r="899" spans="1:20" x14ac:dyDescent="0.3">
      <c r="A899" s="14">
        <v>43927.708333333336</v>
      </c>
      <c r="B899" s="13" t="s">
        <v>22</v>
      </c>
      <c r="C899" s="114">
        <v>19</v>
      </c>
      <c r="D899" s="13" t="s">
        <v>56</v>
      </c>
      <c r="E899" s="114">
        <v>3811569725</v>
      </c>
      <c r="F899" s="114">
        <v>133623567</v>
      </c>
      <c r="G899" s="114">
        <v>563</v>
      </c>
      <c r="H899" s="114">
        <v>74</v>
      </c>
      <c r="I899" s="114">
        <v>637</v>
      </c>
      <c r="J899" s="114">
        <v>1178</v>
      </c>
      <c r="K899" s="114">
        <v>1815</v>
      </c>
      <c r="L899" s="114">
        <v>41</v>
      </c>
      <c r="M899" s="114">
        <v>52</v>
      </c>
      <c r="N899" s="114">
        <v>108</v>
      </c>
      <c r="O899" s="114">
        <v>123</v>
      </c>
      <c r="P899" s="114">
        <v>2046</v>
      </c>
      <c r="Q899" s="114">
        <v>23464</v>
      </c>
      <c r="R899" s="13" t="s">
        <v>25</v>
      </c>
      <c r="S899" s="13" t="s">
        <v>25</v>
      </c>
      <c r="T899" s="13" t="s">
        <v>25</v>
      </c>
    </row>
    <row r="900" spans="1:20" x14ac:dyDescent="0.3">
      <c r="A900" s="14">
        <v>43927.708333333336</v>
      </c>
      <c r="B900" s="13" t="s">
        <v>22</v>
      </c>
      <c r="C900" s="114">
        <v>9</v>
      </c>
      <c r="D900" s="13" t="s">
        <v>57</v>
      </c>
      <c r="E900" s="114">
        <v>4376923077</v>
      </c>
      <c r="F900" s="114">
        <v>1125588885</v>
      </c>
      <c r="G900" s="114">
        <v>1116</v>
      </c>
      <c r="H900" s="114">
        <v>279</v>
      </c>
      <c r="I900" s="114">
        <v>1395</v>
      </c>
      <c r="J900" s="114">
        <v>3906</v>
      </c>
      <c r="K900" s="114">
        <v>5301</v>
      </c>
      <c r="L900" s="114">
        <v>116</v>
      </c>
      <c r="M900" s="114">
        <v>154</v>
      </c>
      <c r="N900" s="114">
        <v>350</v>
      </c>
      <c r="O900" s="114">
        <v>350</v>
      </c>
      <c r="P900" s="114">
        <v>6001</v>
      </c>
      <c r="Q900" s="114">
        <v>52849</v>
      </c>
      <c r="R900" s="13" t="s">
        <v>25</v>
      </c>
      <c r="S900" s="13" t="s">
        <v>25</v>
      </c>
      <c r="T900" s="13" t="s">
        <v>25</v>
      </c>
    </row>
    <row r="901" spans="1:20" x14ac:dyDescent="0.3">
      <c r="A901" s="14">
        <v>43927.708333333336</v>
      </c>
      <c r="B901" s="13" t="s">
        <v>22</v>
      </c>
      <c r="C901" s="114">
        <v>4</v>
      </c>
      <c r="D901" s="13" t="s">
        <v>58</v>
      </c>
      <c r="E901" s="114">
        <v>4606893511</v>
      </c>
      <c r="F901" s="114">
        <v>1112123097</v>
      </c>
      <c r="G901" s="114">
        <v>354</v>
      </c>
      <c r="H901" s="114">
        <v>79</v>
      </c>
      <c r="I901" s="114">
        <v>433</v>
      </c>
      <c r="J901" s="114">
        <v>1405</v>
      </c>
      <c r="K901" s="114">
        <v>1838</v>
      </c>
      <c r="L901" s="114">
        <v>43</v>
      </c>
      <c r="M901" s="114">
        <v>63</v>
      </c>
      <c r="N901" s="114">
        <v>280</v>
      </c>
      <c r="O901" s="114">
        <v>230</v>
      </c>
      <c r="P901" s="114">
        <v>2348</v>
      </c>
      <c r="Q901" s="114">
        <v>11130</v>
      </c>
      <c r="R901" s="13" t="s">
        <v>25</v>
      </c>
      <c r="S901" s="13" t="s">
        <v>25</v>
      </c>
      <c r="T901" s="13" t="s">
        <v>25</v>
      </c>
    </row>
    <row r="902" spans="1:20" x14ac:dyDescent="0.3">
      <c r="A902" s="14">
        <v>43927.708333333336</v>
      </c>
      <c r="B902" s="13" t="s">
        <v>22</v>
      </c>
      <c r="C902" s="114">
        <v>10</v>
      </c>
      <c r="D902" s="13" t="s">
        <v>59</v>
      </c>
      <c r="E902" s="114">
        <v>4310675841</v>
      </c>
      <c r="F902" s="114">
        <v>1238824698</v>
      </c>
      <c r="G902" s="114">
        <v>159</v>
      </c>
      <c r="H902" s="114">
        <v>46</v>
      </c>
      <c r="I902" s="114">
        <v>205</v>
      </c>
      <c r="J902" s="114">
        <v>667</v>
      </c>
      <c r="K902" s="114">
        <v>872</v>
      </c>
      <c r="L902" s="114">
        <v>-26</v>
      </c>
      <c r="M902" s="114">
        <v>14</v>
      </c>
      <c r="N902" s="114">
        <v>337</v>
      </c>
      <c r="O902" s="114">
        <v>44</v>
      </c>
      <c r="P902" s="114">
        <v>1253</v>
      </c>
      <c r="Q902" s="114">
        <v>12573</v>
      </c>
      <c r="R902" s="13" t="s">
        <v>25</v>
      </c>
      <c r="S902" s="13" t="s">
        <v>25</v>
      </c>
      <c r="T902" s="13" t="s">
        <v>25</v>
      </c>
    </row>
    <row r="903" spans="1:20" x14ac:dyDescent="0.3">
      <c r="A903" s="14">
        <v>43927.708333333336</v>
      </c>
      <c r="B903" s="13" t="s">
        <v>22</v>
      </c>
      <c r="C903" s="114">
        <v>2</v>
      </c>
      <c r="D903" s="13" t="s">
        <v>60</v>
      </c>
      <c r="E903" s="114">
        <v>4573750286</v>
      </c>
      <c r="F903" s="114">
        <v>7320149366</v>
      </c>
      <c r="G903" s="114">
        <v>109</v>
      </c>
      <c r="H903" s="114">
        <v>21</v>
      </c>
      <c r="I903" s="114">
        <v>130</v>
      </c>
      <c r="J903" s="114">
        <v>437</v>
      </c>
      <c r="K903" s="114">
        <v>567</v>
      </c>
      <c r="L903" s="114">
        <v>-9</v>
      </c>
      <c r="M903" s="114">
        <v>23</v>
      </c>
      <c r="N903" s="114">
        <v>142</v>
      </c>
      <c r="O903" s="114">
        <v>96</v>
      </c>
      <c r="P903" s="114">
        <v>805</v>
      </c>
      <c r="Q903" s="114">
        <v>2590</v>
      </c>
      <c r="R903" s="13" t="s">
        <v>25</v>
      </c>
      <c r="S903" s="13" t="s">
        <v>25</v>
      </c>
      <c r="T903" s="13" t="s">
        <v>25</v>
      </c>
    </row>
    <row r="904" spans="1:20" x14ac:dyDescent="0.3">
      <c r="A904" s="14">
        <v>43927.708333333336</v>
      </c>
      <c r="B904" s="13" t="s">
        <v>22</v>
      </c>
      <c r="C904" s="114">
        <v>5</v>
      </c>
      <c r="D904" s="13" t="s">
        <v>61</v>
      </c>
      <c r="E904" s="114">
        <v>4543490485</v>
      </c>
      <c r="F904" s="114">
        <v>1233845213</v>
      </c>
      <c r="G904" s="114">
        <v>1714</v>
      </c>
      <c r="H904" s="114">
        <v>322</v>
      </c>
      <c r="I904" s="114">
        <v>2036</v>
      </c>
      <c r="J904" s="114">
        <v>7686</v>
      </c>
      <c r="K904" s="114">
        <v>9722</v>
      </c>
      <c r="L904" s="114">
        <v>313</v>
      </c>
      <c r="M904" s="114">
        <v>362</v>
      </c>
      <c r="N904" s="114">
        <v>1204</v>
      </c>
      <c r="O904" s="114">
        <v>662</v>
      </c>
      <c r="P904" s="114">
        <v>11588</v>
      </c>
      <c r="Q904" s="114">
        <v>146288</v>
      </c>
      <c r="R904" s="13" t="s">
        <v>25</v>
      </c>
      <c r="S904" s="13" t="s">
        <v>25</v>
      </c>
      <c r="T904" s="13" t="s">
        <v>25</v>
      </c>
    </row>
    <row r="905" spans="1:20" x14ac:dyDescent="0.3">
      <c r="A905" s="14">
        <v>43928.708333333336</v>
      </c>
      <c r="B905" s="13" t="s">
        <v>22</v>
      </c>
      <c r="C905" s="114">
        <v>13</v>
      </c>
      <c r="D905" s="13" t="s">
        <v>42</v>
      </c>
      <c r="E905" s="114">
        <v>4235122196</v>
      </c>
      <c r="F905" s="114">
        <v>1339843823</v>
      </c>
      <c r="G905" s="114">
        <v>337</v>
      </c>
      <c r="H905" s="114">
        <v>67</v>
      </c>
      <c r="I905" s="114">
        <v>404</v>
      </c>
      <c r="J905" s="114">
        <v>1087</v>
      </c>
      <c r="K905" s="114">
        <v>1491</v>
      </c>
      <c r="L905" s="114">
        <v>66</v>
      </c>
      <c r="M905" s="114">
        <v>78</v>
      </c>
      <c r="N905" s="114">
        <v>136</v>
      </c>
      <c r="O905" s="114">
        <v>172</v>
      </c>
      <c r="P905" s="114">
        <v>1799</v>
      </c>
      <c r="Q905" s="114">
        <v>14904</v>
      </c>
      <c r="R905" s="13" t="s">
        <v>25</v>
      </c>
      <c r="S905" s="13" t="s">
        <v>25</v>
      </c>
      <c r="T905" s="13" t="s">
        <v>25</v>
      </c>
    </row>
    <row r="906" spans="1:20" x14ac:dyDescent="0.3">
      <c r="A906" s="14">
        <v>43928.708333333336</v>
      </c>
      <c r="B906" s="13" t="s">
        <v>22</v>
      </c>
      <c r="C906" s="114">
        <v>17</v>
      </c>
      <c r="D906" s="13" t="s">
        <v>43</v>
      </c>
      <c r="E906" s="114">
        <v>4063947052</v>
      </c>
      <c r="F906" s="114">
        <v>1580514834</v>
      </c>
      <c r="G906" s="114">
        <v>47</v>
      </c>
      <c r="H906" s="114">
        <v>17</v>
      </c>
      <c r="I906" s="114">
        <v>64</v>
      </c>
      <c r="J906" s="114">
        <v>201</v>
      </c>
      <c r="K906" s="114">
        <v>265</v>
      </c>
      <c r="L906" s="114">
        <v>3</v>
      </c>
      <c r="M906" s="114">
        <v>4</v>
      </c>
      <c r="N906" s="114">
        <v>12</v>
      </c>
      <c r="O906" s="114">
        <v>14</v>
      </c>
      <c r="P906" s="114">
        <v>291</v>
      </c>
      <c r="Q906" s="114">
        <v>3160</v>
      </c>
      <c r="R906" s="13" t="s">
        <v>25</v>
      </c>
      <c r="S906" s="13" t="s">
        <v>25</v>
      </c>
      <c r="T906" s="13" t="s">
        <v>25</v>
      </c>
    </row>
    <row r="907" spans="1:20" x14ac:dyDescent="0.3">
      <c r="A907" s="14">
        <v>43928.708333333336</v>
      </c>
      <c r="B907" s="13" t="s">
        <v>22</v>
      </c>
      <c r="C907" s="114">
        <v>4</v>
      </c>
      <c r="D907" s="13" t="s">
        <v>44</v>
      </c>
      <c r="E907" s="114">
        <v>4649933453</v>
      </c>
      <c r="F907" s="114">
        <v>1135662422</v>
      </c>
      <c r="G907" s="114">
        <v>325</v>
      </c>
      <c r="H907" s="114">
        <v>64</v>
      </c>
      <c r="I907" s="114">
        <v>389</v>
      </c>
      <c r="J907" s="114">
        <v>912</v>
      </c>
      <c r="K907" s="114">
        <v>1301</v>
      </c>
      <c r="L907" s="114">
        <v>41</v>
      </c>
      <c r="M907" s="114">
        <v>89</v>
      </c>
      <c r="N907" s="114">
        <v>336</v>
      </c>
      <c r="O907" s="114">
        <v>174</v>
      </c>
      <c r="P907" s="114">
        <v>1811</v>
      </c>
      <c r="Q907" s="114">
        <v>17761</v>
      </c>
      <c r="R907" s="13" t="s">
        <v>25</v>
      </c>
      <c r="S907" s="13" t="s">
        <v>25</v>
      </c>
      <c r="T907" s="13" t="s">
        <v>25</v>
      </c>
    </row>
    <row r="908" spans="1:20" x14ac:dyDescent="0.3">
      <c r="A908" s="14">
        <v>43928.708333333336</v>
      </c>
      <c r="B908" s="13" t="s">
        <v>22</v>
      </c>
      <c r="C908" s="114">
        <v>18</v>
      </c>
      <c r="D908" s="13" t="s">
        <v>45</v>
      </c>
      <c r="E908" s="114">
        <v>3890597598</v>
      </c>
      <c r="F908" s="114">
        <v>1659440194</v>
      </c>
      <c r="G908" s="114">
        <v>169</v>
      </c>
      <c r="H908" s="114">
        <v>14</v>
      </c>
      <c r="I908" s="114">
        <v>183</v>
      </c>
      <c r="J908" s="114">
        <v>550</v>
      </c>
      <c r="K908" s="114">
        <v>733</v>
      </c>
      <c r="L908" s="114">
        <v>11</v>
      </c>
      <c r="M908" s="114">
        <v>16</v>
      </c>
      <c r="N908" s="114">
        <v>40</v>
      </c>
      <c r="O908" s="114">
        <v>60</v>
      </c>
      <c r="P908" s="114">
        <v>833</v>
      </c>
      <c r="Q908" s="114">
        <v>14072</v>
      </c>
      <c r="R908" s="13" t="s">
        <v>25</v>
      </c>
      <c r="S908" s="13" t="s">
        <v>25</v>
      </c>
      <c r="T908" s="13" t="s">
        <v>25</v>
      </c>
    </row>
    <row r="909" spans="1:20" x14ac:dyDescent="0.3">
      <c r="A909" s="14">
        <v>43928.708333333336</v>
      </c>
      <c r="B909" s="13" t="s">
        <v>22</v>
      </c>
      <c r="C909" s="114">
        <v>15</v>
      </c>
      <c r="D909" s="13" t="s">
        <v>46</v>
      </c>
      <c r="E909" s="114">
        <v>4083956555</v>
      </c>
      <c r="F909" s="114">
        <v>1425084984</v>
      </c>
      <c r="G909" s="114">
        <v>603</v>
      </c>
      <c r="H909" s="114">
        <v>103</v>
      </c>
      <c r="I909" s="114">
        <v>706</v>
      </c>
      <c r="J909" s="114">
        <v>2059</v>
      </c>
      <c r="K909" s="114">
        <v>2765</v>
      </c>
      <c r="L909" s="114">
        <v>67</v>
      </c>
      <c r="M909" s="114">
        <v>90</v>
      </c>
      <c r="N909" s="114">
        <v>167</v>
      </c>
      <c r="O909" s="114">
        <v>216</v>
      </c>
      <c r="P909" s="114">
        <v>3148</v>
      </c>
      <c r="Q909" s="114">
        <v>25779</v>
      </c>
      <c r="R909" s="13" t="s">
        <v>25</v>
      </c>
      <c r="S909" s="13" t="s">
        <v>25</v>
      </c>
      <c r="T909" s="13" t="s">
        <v>25</v>
      </c>
    </row>
    <row r="910" spans="1:20" x14ac:dyDescent="0.3">
      <c r="A910" s="14">
        <v>43928.708333333336</v>
      </c>
      <c r="B910" s="13" t="s">
        <v>22</v>
      </c>
      <c r="C910" s="114">
        <v>8</v>
      </c>
      <c r="D910" s="13" t="s">
        <v>96</v>
      </c>
      <c r="E910" s="114">
        <v>4449436681</v>
      </c>
      <c r="F910" s="114">
        <v>113417208</v>
      </c>
      <c r="G910" s="114">
        <v>3750</v>
      </c>
      <c r="H910" s="114">
        <v>366</v>
      </c>
      <c r="I910" s="114">
        <v>4116</v>
      </c>
      <c r="J910" s="114">
        <v>8932</v>
      </c>
      <c r="K910" s="114">
        <v>13048</v>
      </c>
      <c r="L910" s="114">
        <v>-3</v>
      </c>
      <c r="M910" s="114">
        <v>269</v>
      </c>
      <c r="N910" s="114">
        <v>2597</v>
      </c>
      <c r="O910" s="114">
        <v>2180</v>
      </c>
      <c r="P910" s="114">
        <v>17825</v>
      </c>
      <c r="Q910" s="114">
        <v>75191</v>
      </c>
      <c r="R910" s="13" t="s">
        <v>25</v>
      </c>
      <c r="S910" s="13" t="s">
        <v>25</v>
      </c>
      <c r="T910" s="13" t="s">
        <v>25</v>
      </c>
    </row>
    <row r="911" spans="1:20" x14ac:dyDescent="0.3">
      <c r="A911" s="14">
        <v>43928.708333333336</v>
      </c>
      <c r="B911" s="13" t="s">
        <v>22</v>
      </c>
      <c r="C911" s="114">
        <v>6</v>
      </c>
      <c r="D911" s="13" t="s">
        <v>47</v>
      </c>
      <c r="E911" s="114">
        <v>456494354</v>
      </c>
      <c r="F911" s="114">
        <v>1376813649</v>
      </c>
      <c r="G911" s="114">
        <v>185</v>
      </c>
      <c r="H911" s="114">
        <v>44</v>
      </c>
      <c r="I911" s="114">
        <v>229</v>
      </c>
      <c r="J911" s="114">
        <v>1150</v>
      </c>
      <c r="K911" s="114">
        <v>1379</v>
      </c>
      <c r="L911" s="114">
        <v>-17</v>
      </c>
      <c r="M911" s="114">
        <v>50</v>
      </c>
      <c r="N911" s="114">
        <v>610</v>
      </c>
      <c r="O911" s="114">
        <v>164</v>
      </c>
      <c r="P911" s="114">
        <v>2153</v>
      </c>
      <c r="Q911" s="114">
        <v>23536</v>
      </c>
      <c r="R911" s="13" t="s">
        <v>25</v>
      </c>
      <c r="S911" s="13" t="s">
        <v>25</v>
      </c>
      <c r="T911" s="13" t="s">
        <v>25</v>
      </c>
    </row>
    <row r="912" spans="1:20" x14ac:dyDescent="0.3">
      <c r="A912" s="14">
        <v>43928.708333333336</v>
      </c>
      <c r="B912" s="13" t="s">
        <v>22</v>
      </c>
      <c r="C912" s="114">
        <v>12</v>
      </c>
      <c r="D912" s="13" t="s">
        <v>48</v>
      </c>
      <c r="E912" s="114">
        <v>4189277044</v>
      </c>
      <c r="F912" s="114">
        <v>1248366722</v>
      </c>
      <c r="G912" s="114">
        <v>1229</v>
      </c>
      <c r="H912" s="114">
        <v>192</v>
      </c>
      <c r="I912" s="114">
        <v>1421</v>
      </c>
      <c r="J912" s="114">
        <v>1944</v>
      </c>
      <c r="K912" s="114">
        <v>3365</v>
      </c>
      <c r="L912" s="114">
        <v>65</v>
      </c>
      <c r="M912" s="114">
        <v>118</v>
      </c>
      <c r="N912" s="114">
        <v>546</v>
      </c>
      <c r="O912" s="114">
        <v>238</v>
      </c>
      <c r="P912" s="114">
        <v>4149</v>
      </c>
      <c r="Q912" s="114">
        <v>48874</v>
      </c>
      <c r="R912" s="13" t="s">
        <v>25</v>
      </c>
      <c r="S912" s="13" t="s">
        <v>25</v>
      </c>
      <c r="T912" s="13" t="s">
        <v>25</v>
      </c>
    </row>
    <row r="913" spans="1:20" x14ac:dyDescent="0.3">
      <c r="A913" s="14">
        <v>43928.708333333336</v>
      </c>
      <c r="B913" s="13" t="s">
        <v>22</v>
      </c>
      <c r="C913" s="114">
        <v>7</v>
      </c>
      <c r="D913" s="13" t="s">
        <v>49</v>
      </c>
      <c r="E913" s="114">
        <v>4441149315</v>
      </c>
      <c r="F913" s="114">
        <v>89326992</v>
      </c>
      <c r="G913" s="114">
        <v>1090</v>
      </c>
      <c r="H913" s="114">
        <v>156</v>
      </c>
      <c r="I913" s="114">
        <v>1246</v>
      </c>
      <c r="J913" s="114">
        <v>1966</v>
      </c>
      <c r="K913" s="114">
        <v>3212</v>
      </c>
      <c r="L913" s="114">
        <v>95</v>
      </c>
      <c r="M913" s="114">
        <v>208</v>
      </c>
      <c r="N913" s="114">
        <v>925</v>
      </c>
      <c r="O913" s="114">
        <v>620</v>
      </c>
      <c r="P913" s="114">
        <v>4757</v>
      </c>
      <c r="Q913" s="114">
        <v>16579</v>
      </c>
      <c r="R913" s="13" t="s">
        <v>25</v>
      </c>
      <c r="S913" s="13" t="s">
        <v>25</v>
      </c>
      <c r="T913" s="13" t="s">
        <v>25</v>
      </c>
    </row>
    <row r="914" spans="1:20" x14ac:dyDescent="0.3">
      <c r="A914" s="14">
        <v>43928.708333333336</v>
      </c>
      <c r="B914" s="13" t="s">
        <v>22</v>
      </c>
      <c r="C914" s="114">
        <v>3</v>
      </c>
      <c r="D914" s="13" t="s">
        <v>50</v>
      </c>
      <c r="E914" s="114">
        <v>4546679409</v>
      </c>
      <c r="F914" s="114">
        <v>9190347404</v>
      </c>
      <c r="G914" s="114">
        <v>11833</v>
      </c>
      <c r="H914" s="114">
        <v>1305</v>
      </c>
      <c r="I914" s="114">
        <v>13138</v>
      </c>
      <c r="J914" s="114">
        <v>15205</v>
      </c>
      <c r="K914" s="114">
        <v>28343</v>
      </c>
      <c r="L914" s="114">
        <v>-126</v>
      </c>
      <c r="M914" s="114">
        <v>791</v>
      </c>
      <c r="N914" s="114">
        <v>14498</v>
      </c>
      <c r="O914" s="114">
        <v>9484</v>
      </c>
      <c r="P914" s="114">
        <v>52325</v>
      </c>
      <c r="Q914" s="114">
        <v>159331</v>
      </c>
      <c r="R914" s="13" t="s">
        <v>25</v>
      </c>
      <c r="S914" s="13" t="s">
        <v>25</v>
      </c>
      <c r="T914" s="13" t="s">
        <v>25</v>
      </c>
    </row>
    <row r="915" spans="1:20" x14ac:dyDescent="0.3">
      <c r="A915" s="14">
        <v>43928.708333333336</v>
      </c>
      <c r="B915" s="13" t="s">
        <v>22</v>
      </c>
      <c r="C915" s="114">
        <v>11</v>
      </c>
      <c r="D915" s="13" t="s">
        <v>51</v>
      </c>
      <c r="E915" s="114">
        <v>4361675973</v>
      </c>
      <c r="F915" s="114">
        <v>135188753</v>
      </c>
      <c r="G915" s="114">
        <v>962</v>
      </c>
      <c r="H915" s="114">
        <v>139</v>
      </c>
      <c r="I915" s="114">
        <v>1101</v>
      </c>
      <c r="J915" s="114">
        <v>2637</v>
      </c>
      <c r="K915" s="114">
        <v>3738</v>
      </c>
      <c r="L915" s="114">
        <v>32</v>
      </c>
      <c r="M915" s="114">
        <v>96</v>
      </c>
      <c r="N915" s="114">
        <v>342</v>
      </c>
      <c r="O915" s="114">
        <v>630</v>
      </c>
      <c r="P915" s="114">
        <v>4710</v>
      </c>
      <c r="Q915" s="114">
        <v>16619</v>
      </c>
      <c r="R915" s="13" t="s">
        <v>25</v>
      </c>
      <c r="S915" s="13" t="s">
        <v>25</v>
      </c>
      <c r="T915" s="13" t="s">
        <v>25</v>
      </c>
    </row>
    <row r="916" spans="1:20" x14ac:dyDescent="0.3">
      <c r="A916" s="14">
        <v>43928.708333333336</v>
      </c>
      <c r="B916" s="13" t="s">
        <v>22</v>
      </c>
      <c r="C916" s="114">
        <v>14</v>
      </c>
      <c r="D916" s="13" t="s">
        <v>52</v>
      </c>
      <c r="E916" s="114">
        <v>4155774754</v>
      </c>
      <c r="F916" s="114">
        <v>1465916051</v>
      </c>
      <c r="G916" s="114">
        <v>35</v>
      </c>
      <c r="H916" s="114">
        <v>5</v>
      </c>
      <c r="I916" s="114">
        <v>40</v>
      </c>
      <c r="J916" s="114">
        <v>145</v>
      </c>
      <c r="K916" s="114">
        <v>185</v>
      </c>
      <c r="L916" s="114">
        <v>-2</v>
      </c>
      <c r="M916" s="114">
        <v>0</v>
      </c>
      <c r="N916" s="114">
        <v>26</v>
      </c>
      <c r="O916" s="114">
        <v>13</v>
      </c>
      <c r="P916" s="114">
        <v>224</v>
      </c>
      <c r="Q916" s="114">
        <v>1581</v>
      </c>
      <c r="R916" s="13" t="s">
        <v>25</v>
      </c>
      <c r="S916" s="13" t="s">
        <v>25</v>
      </c>
      <c r="T916" s="13" t="s">
        <v>25</v>
      </c>
    </row>
    <row r="917" spans="1:20" x14ac:dyDescent="0.3">
      <c r="A917" s="14">
        <v>43928.708333333336</v>
      </c>
      <c r="B917" s="13" t="s">
        <v>22</v>
      </c>
      <c r="C917" s="114">
        <v>1</v>
      </c>
      <c r="D917" s="13" t="s">
        <v>53</v>
      </c>
      <c r="E917" s="114">
        <v>450732745</v>
      </c>
      <c r="F917" s="114">
        <v>7680687483</v>
      </c>
      <c r="G917" s="114">
        <v>3553</v>
      </c>
      <c r="H917" s="114">
        <v>432</v>
      </c>
      <c r="I917" s="114">
        <v>3985</v>
      </c>
      <c r="J917" s="114">
        <v>6719</v>
      </c>
      <c r="K917" s="114">
        <v>10704</v>
      </c>
      <c r="L917" s="114">
        <v>159</v>
      </c>
      <c r="M917" s="114">
        <v>419</v>
      </c>
      <c r="N917" s="114">
        <v>1320</v>
      </c>
      <c r="O917" s="114">
        <v>1319</v>
      </c>
      <c r="P917" s="114">
        <v>13343</v>
      </c>
      <c r="Q917" s="114">
        <v>44121</v>
      </c>
      <c r="R917" s="13" t="s">
        <v>25</v>
      </c>
      <c r="S917" s="13" t="s">
        <v>25</v>
      </c>
      <c r="T917" s="13" t="s">
        <v>25</v>
      </c>
    </row>
    <row r="918" spans="1:20" x14ac:dyDescent="0.3">
      <c r="A918" s="14">
        <v>43928.708333333336</v>
      </c>
      <c r="B918" s="13" t="s">
        <v>22</v>
      </c>
      <c r="C918" s="114">
        <v>16</v>
      </c>
      <c r="D918" s="13" t="s">
        <v>54</v>
      </c>
      <c r="E918" s="114">
        <v>4112559576</v>
      </c>
      <c r="F918" s="114">
        <v>1686736689</v>
      </c>
      <c r="G918" s="114">
        <v>615</v>
      </c>
      <c r="H918" s="114">
        <v>93</v>
      </c>
      <c r="I918" s="114">
        <v>708</v>
      </c>
      <c r="J918" s="114">
        <v>1429</v>
      </c>
      <c r="K918" s="114">
        <v>2137</v>
      </c>
      <c r="L918" s="114">
        <v>22</v>
      </c>
      <c r="M918" s="114">
        <v>70</v>
      </c>
      <c r="N918" s="114">
        <v>168</v>
      </c>
      <c r="O918" s="114">
        <v>209</v>
      </c>
      <c r="P918" s="114">
        <v>2514</v>
      </c>
      <c r="Q918" s="114">
        <v>23149</v>
      </c>
      <c r="R918" s="13" t="s">
        <v>25</v>
      </c>
      <c r="S918" s="13" t="s">
        <v>25</v>
      </c>
      <c r="T918" s="13" t="s">
        <v>25</v>
      </c>
    </row>
    <row r="919" spans="1:20" x14ac:dyDescent="0.3">
      <c r="A919" s="14">
        <v>43928.708333333336</v>
      </c>
      <c r="B919" s="13" t="s">
        <v>22</v>
      </c>
      <c r="C919" s="114">
        <v>20</v>
      </c>
      <c r="D919" s="13" t="s">
        <v>55</v>
      </c>
      <c r="E919" s="114">
        <v>3921531192</v>
      </c>
      <c r="F919" s="114">
        <v>9110616306</v>
      </c>
      <c r="G919" s="114">
        <v>122</v>
      </c>
      <c r="H919" s="114">
        <v>26</v>
      </c>
      <c r="I919" s="114">
        <v>148</v>
      </c>
      <c r="J919" s="114">
        <v>673</v>
      </c>
      <c r="K919" s="114">
        <v>821</v>
      </c>
      <c r="L919" s="114">
        <v>2</v>
      </c>
      <c r="M919" s="114">
        <v>13</v>
      </c>
      <c r="N919" s="114">
        <v>62</v>
      </c>
      <c r="O919" s="114">
        <v>52</v>
      </c>
      <c r="P919" s="114">
        <v>935</v>
      </c>
      <c r="Q919" s="114">
        <v>7680</v>
      </c>
      <c r="R919" s="13" t="s">
        <v>25</v>
      </c>
      <c r="S919" s="13" t="s">
        <v>25</v>
      </c>
      <c r="T919" s="13" t="s">
        <v>25</v>
      </c>
    </row>
    <row r="920" spans="1:20" x14ac:dyDescent="0.3">
      <c r="A920" s="14">
        <v>43928.708333333336</v>
      </c>
      <c r="B920" s="13" t="s">
        <v>22</v>
      </c>
      <c r="C920" s="114">
        <v>19</v>
      </c>
      <c r="D920" s="13" t="s">
        <v>56</v>
      </c>
      <c r="E920" s="114">
        <v>3811569725</v>
      </c>
      <c r="F920" s="114">
        <v>133623567</v>
      </c>
      <c r="G920" s="114">
        <v>562</v>
      </c>
      <c r="H920" s="114">
        <v>73</v>
      </c>
      <c r="I920" s="114">
        <v>635</v>
      </c>
      <c r="J920" s="114">
        <v>1224</v>
      </c>
      <c r="K920" s="114">
        <v>1859</v>
      </c>
      <c r="L920" s="114">
        <v>44</v>
      </c>
      <c r="M920" s="114">
        <v>51</v>
      </c>
      <c r="N920" s="114">
        <v>113</v>
      </c>
      <c r="O920" s="114">
        <v>125</v>
      </c>
      <c r="P920" s="114">
        <v>2097</v>
      </c>
      <c r="Q920" s="114">
        <v>24857</v>
      </c>
      <c r="R920" s="13" t="s">
        <v>25</v>
      </c>
      <c r="S920" s="13" t="s">
        <v>25</v>
      </c>
      <c r="T920" s="13" t="s">
        <v>25</v>
      </c>
    </row>
    <row r="921" spans="1:20" x14ac:dyDescent="0.3">
      <c r="A921" s="14">
        <v>43928.708333333336</v>
      </c>
      <c r="B921" s="13" t="s">
        <v>22</v>
      </c>
      <c r="C921" s="114">
        <v>9</v>
      </c>
      <c r="D921" s="13" t="s">
        <v>57</v>
      </c>
      <c r="E921" s="114">
        <v>4376923077</v>
      </c>
      <c r="F921" s="114">
        <v>1125588885</v>
      </c>
      <c r="G921" s="114">
        <v>1087</v>
      </c>
      <c r="H921" s="114">
        <v>263</v>
      </c>
      <c r="I921" s="114">
        <v>1350</v>
      </c>
      <c r="J921" s="114">
        <v>4077</v>
      </c>
      <c r="K921" s="114">
        <v>5427</v>
      </c>
      <c r="L921" s="114">
        <v>126</v>
      </c>
      <c r="M921" s="114">
        <v>172</v>
      </c>
      <c r="N921" s="114">
        <v>377</v>
      </c>
      <c r="O921" s="114">
        <v>369</v>
      </c>
      <c r="P921" s="114">
        <v>6173</v>
      </c>
      <c r="Q921" s="114">
        <v>56651</v>
      </c>
      <c r="R921" s="13" t="s">
        <v>25</v>
      </c>
      <c r="S921" s="13" t="s">
        <v>25</v>
      </c>
      <c r="T921" s="13" t="s">
        <v>25</v>
      </c>
    </row>
    <row r="922" spans="1:20" x14ac:dyDescent="0.3">
      <c r="A922" s="14">
        <v>43928.708333333336</v>
      </c>
      <c r="B922" s="13" t="s">
        <v>22</v>
      </c>
      <c r="C922" s="114">
        <v>4</v>
      </c>
      <c r="D922" s="13" t="s">
        <v>58</v>
      </c>
      <c r="E922" s="114">
        <v>4606893511</v>
      </c>
      <c r="F922" s="114">
        <v>1112123097</v>
      </c>
      <c r="G922" s="114">
        <v>360</v>
      </c>
      <c r="H922" s="114">
        <v>78</v>
      </c>
      <c r="I922" s="114">
        <v>438</v>
      </c>
      <c r="J922" s="114">
        <v>1452</v>
      </c>
      <c r="K922" s="114">
        <v>1890</v>
      </c>
      <c r="L922" s="114">
        <v>52</v>
      </c>
      <c r="M922" s="114">
        <v>128</v>
      </c>
      <c r="N922" s="114">
        <v>342</v>
      </c>
      <c r="O922" s="114">
        <v>244</v>
      </c>
      <c r="P922" s="114">
        <v>2476</v>
      </c>
      <c r="Q922" s="114">
        <v>12030</v>
      </c>
      <c r="R922" s="13" t="s">
        <v>25</v>
      </c>
      <c r="S922" s="13" t="s">
        <v>25</v>
      </c>
      <c r="T922" s="13" t="s">
        <v>25</v>
      </c>
    </row>
    <row r="923" spans="1:20" x14ac:dyDescent="0.3">
      <c r="A923" s="14">
        <v>43928.708333333336</v>
      </c>
      <c r="B923" s="13" t="s">
        <v>22</v>
      </c>
      <c r="C923" s="114">
        <v>10</v>
      </c>
      <c r="D923" s="13" t="s">
        <v>59</v>
      </c>
      <c r="E923" s="114">
        <v>4310675841</v>
      </c>
      <c r="F923" s="114">
        <v>1238824698</v>
      </c>
      <c r="G923" s="114">
        <v>157</v>
      </c>
      <c r="H923" s="114">
        <v>41</v>
      </c>
      <c r="I923" s="114">
        <v>198</v>
      </c>
      <c r="J923" s="114">
        <v>648</v>
      </c>
      <c r="K923" s="114">
        <v>846</v>
      </c>
      <c r="L923" s="114">
        <v>-26</v>
      </c>
      <c r="M923" s="114">
        <v>10</v>
      </c>
      <c r="N923" s="114">
        <v>368</v>
      </c>
      <c r="O923" s="114">
        <v>49</v>
      </c>
      <c r="P923" s="114">
        <v>1263</v>
      </c>
      <c r="Q923" s="114">
        <v>13274</v>
      </c>
      <c r="R923" s="13" t="s">
        <v>25</v>
      </c>
      <c r="S923" s="13" t="s">
        <v>25</v>
      </c>
      <c r="T923" s="13" t="s">
        <v>25</v>
      </c>
    </row>
    <row r="924" spans="1:20" x14ac:dyDescent="0.3">
      <c r="A924" s="14">
        <v>43928.708333333336</v>
      </c>
      <c r="B924" s="13" t="s">
        <v>22</v>
      </c>
      <c r="C924" s="114">
        <v>2</v>
      </c>
      <c r="D924" s="13" t="s">
        <v>60</v>
      </c>
      <c r="E924" s="114">
        <v>4573750286</v>
      </c>
      <c r="F924" s="114">
        <v>7320149366</v>
      </c>
      <c r="G924" s="114">
        <v>118</v>
      </c>
      <c r="H924" s="114">
        <v>17</v>
      </c>
      <c r="I924" s="114">
        <v>135</v>
      </c>
      <c r="J924" s="114">
        <v>458</v>
      </c>
      <c r="K924" s="114">
        <v>593</v>
      </c>
      <c r="L924" s="114">
        <v>26</v>
      </c>
      <c r="M924" s="114">
        <v>30</v>
      </c>
      <c r="N924" s="114">
        <v>142</v>
      </c>
      <c r="O924" s="114">
        <v>100</v>
      </c>
      <c r="P924" s="114">
        <v>835</v>
      </c>
      <c r="Q924" s="114">
        <v>2754</v>
      </c>
      <c r="R924" s="13" t="s">
        <v>25</v>
      </c>
      <c r="S924" s="13" t="s">
        <v>25</v>
      </c>
      <c r="T924" s="13" t="s">
        <v>25</v>
      </c>
    </row>
    <row r="925" spans="1:20" x14ac:dyDescent="0.3">
      <c r="A925" s="14">
        <v>43928.708333333336</v>
      </c>
      <c r="B925" s="13" t="s">
        <v>22</v>
      </c>
      <c r="C925" s="114">
        <v>5</v>
      </c>
      <c r="D925" s="13" t="s">
        <v>61</v>
      </c>
      <c r="E925" s="114">
        <v>4543490485</v>
      </c>
      <c r="F925" s="114">
        <v>1233845213</v>
      </c>
      <c r="G925" s="114">
        <v>1579</v>
      </c>
      <c r="H925" s="114">
        <v>297</v>
      </c>
      <c r="I925" s="114">
        <v>1876</v>
      </c>
      <c r="J925" s="114">
        <v>8089</v>
      </c>
      <c r="K925" s="114">
        <v>9965</v>
      </c>
      <c r="L925" s="114">
        <v>243</v>
      </c>
      <c r="M925" s="114">
        <v>337</v>
      </c>
      <c r="N925" s="114">
        <v>1265</v>
      </c>
      <c r="O925" s="114">
        <v>695</v>
      </c>
      <c r="P925" s="114">
        <v>11925</v>
      </c>
      <c r="Q925" s="114">
        <v>153542</v>
      </c>
      <c r="R925" s="13" t="s">
        <v>25</v>
      </c>
      <c r="S925" s="13" t="s">
        <v>25</v>
      </c>
      <c r="T925" s="13" t="s">
        <v>25</v>
      </c>
    </row>
    <row r="926" spans="1:20" x14ac:dyDescent="0.3">
      <c r="A926" s="14">
        <v>43929.708333333336</v>
      </c>
      <c r="B926" s="13" t="s">
        <v>22</v>
      </c>
      <c r="C926" s="114">
        <v>13</v>
      </c>
      <c r="D926" s="13" t="s">
        <v>42</v>
      </c>
      <c r="E926" s="114">
        <v>4235122196</v>
      </c>
      <c r="F926" s="114">
        <v>1339843823</v>
      </c>
      <c r="G926" s="114">
        <v>331</v>
      </c>
      <c r="H926" s="114">
        <v>62</v>
      </c>
      <c r="I926" s="114">
        <v>393</v>
      </c>
      <c r="J926" s="114">
        <v>1141</v>
      </c>
      <c r="K926" s="114">
        <v>1534</v>
      </c>
      <c r="L926" s="114">
        <v>43</v>
      </c>
      <c r="M926" s="114">
        <v>60</v>
      </c>
      <c r="N926" s="114">
        <v>146</v>
      </c>
      <c r="O926" s="114">
        <v>179</v>
      </c>
      <c r="P926" s="114">
        <v>1859</v>
      </c>
      <c r="Q926" s="114">
        <v>15846</v>
      </c>
      <c r="R926" s="13" t="s">
        <v>25</v>
      </c>
      <c r="S926" s="13" t="s">
        <v>25</v>
      </c>
      <c r="T926" s="13" t="s">
        <v>25</v>
      </c>
    </row>
    <row r="927" spans="1:20" x14ac:dyDescent="0.3">
      <c r="A927" s="14">
        <v>43929.708333333336</v>
      </c>
      <c r="B927" s="13" t="s">
        <v>22</v>
      </c>
      <c r="C927" s="114">
        <v>17</v>
      </c>
      <c r="D927" s="13" t="s">
        <v>43</v>
      </c>
      <c r="E927" s="114">
        <v>4063947052</v>
      </c>
      <c r="F927" s="114">
        <v>1580514834</v>
      </c>
      <c r="G927" s="114">
        <v>48</v>
      </c>
      <c r="H927" s="114">
        <v>17</v>
      </c>
      <c r="I927" s="114">
        <v>65</v>
      </c>
      <c r="J927" s="114">
        <v>205</v>
      </c>
      <c r="K927" s="114">
        <v>270</v>
      </c>
      <c r="L927" s="114">
        <v>5</v>
      </c>
      <c r="M927" s="114">
        <v>6</v>
      </c>
      <c r="N927" s="114">
        <v>13</v>
      </c>
      <c r="O927" s="114">
        <v>14</v>
      </c>
      <c r="P927" s="114">
        <v>297</v>
      </c>
      <c r="Q927" s="114">
        <v>3296</v>
      </c>
      <c r="R927" s="13" t="s">
        <v>25</v>
      </c>
      <c r="S927" s="13" t="s">
        <v>25</v>
      </c>
      <c r="T927" s="13" t="s">
        <v>25</v>
      </c>
    </row>
    <row r="928" spans="1:20" x14ac:dyDescent="0.3">
      <c r="A928" s="14">
        <v>43929.708333333336</v>
      </c>
      <c r="B928" s="13" t="s">
        <v>22</v>
      </c>
      <c r="C928" s="114">
        <v>4</v>
      </c>
      <c r="D928" s="13" t="s">
        <v>44</v>
      </c>
      <c r="E928" s="114">
        <v>4649933453</v>
      </c>
      <c r="F928" s="114">
        <v>1135662422</v>
      </c>
      <c r="G928" s="114">
        <v>268</v>
      </c>
      <c r="H928" s="114">
        <v>65</v>
      </c>
      <c r="I928" s="114">
        <v>333</v>
      </c>
      <c r="J928" s="114">
        <v>948</v>
      </c>
      <c r="K928" s="114">
        <v>1281</v>
      </c>
      <c r="L928" s="114">
        <v>-20</v>
      </c>
      <c r="M928" s="114">
        <v>24</v>
      </c>
      <c r="N928" s="114">
        <v>371</v>
      </c>
      <c r="O928" s="114">
        <v>183</v>
      </c>
      <c r="P928" s="114">
        <v>1835</v>
      </c>
      <c r="Q928" s="114">
        <v>18865</v>
      </c>
      <c r="R928" s="13" t="s">
        <v>25</v>
      </c>
      <c r="S928" s="13" t="s">
        <v>25</v>
      </c>
      <c r="T928" s="13" t="s">
        <v>25</v>
      </c>
    </row>
    <row r="929" spans="1:20" x14ac:dyDescent="0.3">
      <c r="A929" s="14">
        <v>43929.708333333336</v>
      </c>
      <c r="B929" s="13" t="s">
        <v>22</v>
      </c>
      <c r="C929" s="114">
        <v>18</v>
      </c>
      <c r="D929" s="13" t="s">
        <v>45</v>
      </c>
      <c r="E929" s="114">
        <v>3890597598</v>
      </c>
      <c r="F929" s="114">
        <v>1659440194</v>
      </c>
      <c r="G929" s="114">
        <v>170</v>
      </c>
      <c r="H929" s="114">
        <v>15</v>
      </c>
      <c r="I929" s="114">
        <v>185</v>
      </c>
      <c r="J929" s="114">
        <v>570</v>
      </c>
      <c r="K929" s="114">
        <v>755</v>
      </c>
      <c r="L929" s="114">
        <v>22</v>
      </c>
      <c r="M929" s="114">
        <v>26</v>
      </c>
      <c r="N929" s="114">
        <v>44</v>
      </c>
      <c r="O929" s="114">
        <v>60</v>
      </c>
      <c r="P929" s="114">
        <v>859</v>
      </c>
      <c r="Q929" s="114">
        <v>14977</v>
      </c>
      <c r="R929" s="13" t="s">
        <v>25</v>
      </c>
      <c r="S929" s="13" t="s">
        <v>25</v>
      </c>
      <c r="T929" s="13" t="s">
        <v>25</v>
      </c>
    </row>
    <row r="930" spans="1:20" x14ac:dyDescent="0.3">
      <c r="A930" s="14">
        <v>43929.708333333336</v>
      </c>
      <c r="B930" s="13" t="s">
        <v>22</v>
      </c>
      <c r="C930" s="114">
        <v>15</v>
      </c>
      <c r="D930" s="13" t="s">
        <v>46</v>
      </c>
      <c r="E930" s="114">
        <v>4083956555</v>
      </c>
      <c r="F930" s="114">
        <v>1425084984</v>
      </c>
      <c r="G930" s="114">
        <v>608</v>
      </c>
      <c r="H930" s="114">
        <v>97</v>
      </c>
      <c r="I930" s="114">
        <v>705</v>
      </c>
      <c r="J930" s="114">
        <v>2154</v>
      </c>
      <c r="K930" s="114">
        <v>2859</v>
      </c>
      <c r="L930" s="114">
        <v>94</v>
      </c>
      <c r="M930" s="114">
        <v>120</v>
      </c>
      <c r="N930" s="114">
        <v>188</v>
      </c>
      <c r="O930" s="114">
        <v>221</v>
      </c>
      <c r="P930" s="114">
        <v>3268</v>
      </c>
      <c r="Q930" s="114">
        <v>27784</v>
      </c>
      <c r="R930" s="13" t="s">
        <v>25</v>
      </c>
      <c r="S930" s="13" t="s">
        <v>25</v>
      </c>
      <c r="T930" s="13" t="s">
        <v>25</v>
      </c>
    </row>
    <row r="931" spans="1:20" x14ac:dyDescent="0.3">
      <c r="A931" s="14">
        <v>43929.708333333336</v>
      </c>
      <c r="B931" s="13" t="s">
        <v>22</v>
      </c>
      <c r="C931" s="114">
        <v>8</v>
      </c>
      <c r="D931" s="13" t="s">
        <v>96</v>
      </c>
      <c r="E931" s="114">
        <v>4449436681</v>
      </c>
      <c r="F931" s="114">
        <v>113417208</v>
      </c>
      <c r="G931" s="114">
        <v>3769</v>
      </c>
      <c r="H931" s="114">
        <v>361</v>
      </c>
      <c r="I931" s="114">
        <v>4130</v>
      </c>
      <c r="J931" s="114">
        <v>8980</v>
      </c>
      <c r="K931" s="114">
        <v>13110</v>
      </c>
      <c r="L931" s="114">
        <v>62</v>
      </c>
      <c r="M931" s="114">
        <v>409</v>
      </c>
      <c r="N931" s="114">
        <v>2890</v>
      </c>
      <c r="O931" s="114">
        <v>2234</v>
      </c>
      <c r="P931" s="114">
        <v>18234</v>
      </c>
      <c r="Q931" s="114">
        <v>78367</v>
      </c>
      <c r="R931" s="13" t="s">
        <v>25</v>
      </c>
      <c r="S931" s="13" t="s">
        <v>25</v>
      </c>
      <c r="T931" s="13" t="s">
        <v>25</v>
      </c>
    </row>
    <row r="932" spans="1:20" x14ac:dyDescent="0.3">
      <c r="A932" s="14">
        <v>43929.708333333336</v>
      </c>
      <c r="B932" s="13" t="s">
        <v>22</v>
      </c>
      <c r="C932" s="114">
        <v>6</v>
      </c>
      <c r="D932" s="13" t="s">
        <v>47</v>
      </c>
      <c r="E932" s="114">
        <v>456494354</v>
      </c>
      <c r="F932" s="114">
        <v>1376813649</v>
      </c>
      <c r="G932" s="114">
        <v>162</v>
      </c>
      <c r="H932" s="114">
        <v>41</v>
      </c>
      <c r="I932" s="114">
        <v>203</v>
      </c>
      <c r="J932" s="114">
        <v>1212</v>
      </c>
      <c r="K932" s="114">
        <v>1415</v>
      </c>
      <c r="L932" s="114">
        <v>36</v>
      </c>
      <c r="M932" s="114">
        <v>65</v>
      </c>
      <c r="N932" s="114">
        <v>634</v>
      </c>
      <c r="O932" s="114">
        <v>169</v>
      </c>
      <c r="P932" s="114">
        <v>2218</v>
      </c>
      <c r="Q932" s="114">
        <v>24798</v>
      </c>
      <c r="R932" s="13" t="s">
        <v>25</v>
      </c>
      <c r="S932" s="13" t="s">
        <v>25</v>
      </c>
      <c r="T932" s="13" t="s">
        <v>25</v>
      </c>
    </row>
    <row r="933" spans="1:20" x14ac:dyDescent="0.3">
      <c r="A933" s="14">
        <v>43929.708333333336</v>
      </c>
      <c r="B933" s="13" t="s">
        <v>22</v>
      </c>
      <c r="C933" s="114">
        <v>12</v>
      </c>
      <c r="D933" s="13" t="s">
        <v>48</v>
      </c>
      <c r="E933" s="114">
        <v>4189277044</v>
      </c>
      <c r="F933" s="114">
        <v>1248366722</v>
      </c>
      <c r="G933" s="114">
        <v>1241</v>
      </c>
      <c r="H933" s="114">
        <v>196</v>
      </c>
      <c r="I933" s="114">
        <v>1437</v>
      </c>
      <c r="J933" s="114">
        <v>2011</v>
      </c>
      <c r="K933" s="114">
        <v>3448</v>
      </c>
      <c r="L933" s="114">
        <v>83</v>
      </c>
      <c r="M933" s="114">
        <v>117</v>
      </c>
      <c r="N933" s="114">
        <v>574</v>
      </c>
      <c r="O933" s="114">
        <v>244</v>
      </c>
      <c r="P933" s="114">
        <v>4266</v>
      </c>
      <c r="Q933" s="114">
        <v>55113</v>
      </c>
      <c r="R933" s="13" t="s">
        <v>25</v>
      </c>
      <c r="S933" s="13" t="s">
        <v>25</v>
      </c>
      <c r="T933" s="13" t="s">
        <v>25</v>
      </c>
    </row>
    <row r="934" spans="1:20" x14ac:dyDescent="0.3">
      <c r="A934" s="14">
        <v>43929.708333333336</v>
      </c>
      <c r="B934" s="13" t="s">
        <v>22</v>
      </c>
      <c r="C934" s="114">
        <v>7</v>
      </c>
      <c r="D934" s="13" t="s">
        <v>49</v>
      </c>
      <c r="E934" s="114">
        <v>4441149315</v>
      </c>
      <c r="F934" s="114">
        <v>89326992</v>
      </c>
      <c r="G934" s="114">
        <v>1109</v>
      </c>
      <c r="H934" s="114">
        <v>153</v>
      </c>
      <c r="I934" s="114">
        <v>1262</v>
      </c>
      <c r="J934" s="114">
        <v>1983</v>
      </c>
      <c r="K934" s="114">
        <v>3245</v>
      </c>
      <c r="L934" s="114">
        <v>33</v>
      </c>
      <c r="M934" s="114">
        <v>149</v>
      </c>
      <c r="N934" s="114">
        <v>1007</v>
      </c>
      <c r="O934" s="114">
        <v>654</v>
      </c>
      <c r="P934" s="114">
        <v>4906</v>
      </c>
      <c r="Q934" s="114">
        <v>17521</v>
      </c>
      <c r="R934" s="13" t="s">
        <v>25</v>
      </c>
      <c r="S934" s="13" t="s">
        <v>25</v>
      </c>
      <c r="T934" s="13" t="s">
        <v>25</v>
      </c>
    </row>
    <row r="935" spans="1:20" x14ac:dyDescent="0.3">
      <c r="A935" s="14">
        <v>43929.708333333336</v>
      </c>
      <c r="B935" s="13" t="s">
        <v>22</v>
      </c>
      <c r="C935" s="114">
        <v>3</v>
      </c>
      <c r="D935" s="13" t="s">
        <v>50</v>
      </c>
      <c r="E935" s="114">
        <v>4546679409</v>
      </c>
      <c r="F935" s="114">
        <v>9190347404</v>
      </c>
      <c r="G935" s="114">
        <v>11719</v>
      </c>
      <c r="H935" s="114">
        <v>1257</v>
      </c>
      <c r="I935" s="114">
        <v>12976</v>
      </c>
      <c r="J935" s="114">
        <v>15569</v>
      </c>
      <c r="K935" s="114">
        <v>28545</v>
      </c>
      <c r="L935" s="114">
        <v>202</v>
      </c>
      <c r="M935" s="114">
        <v>1089</v>
      </c>
      <c r="N935" s="114">
        <v>15147</v>
      </c>
      <c r="O935" s="114">
        <v>9722</v>
      </c>
      <c r="P935" s="114">
        <v>53414</v>
      </c>
      <c r="Q935" s="114">
        <v>167557</v>
      </c>
      <c r="R935" s="13" t="s">
        <v>25</v>
      </c>
      <c r="S935" s="13" t="s">
        <v>25</v>
      </c>
      <c r="T935" s="13" t="s">
        <v>25</v>
      </c>
    </row>
    <row r="936" spans="1:20" x14ac:dyDescent="0.3">
      <c r="A936" s="14">
        <v>43929.708333333336</v>
      </c>
      <c r="B936" s="13" t="s">
        <v>22</v>
      </c>
      <c r="C936" s="114">
        <v>11</v>
      </c>
      <c r="D936" s="13" t="s">
        <v>51</v>
      </c>
      <c r="E936" s="114">
        <v>4361675973</v>
      </c>
      <c r="F936" s="114">
        <v>135188753</v>
      </c>
      <c r="G936" s="114">
        <v>974</v>
      </c>
      <c r="H936" s="114">
        <v>133</v>
      </c>
      <c r="I936" s="114">
        <v>1107</v>
      </c>
      <c r="J936" s="114">
        <v>2455</v>
      </c>
      <c r="K936" s="114">
        <v>3562</v>
      </c>
      <c r="L936" s="114">
        <v>-176</v>
      </c>
      <c r="M936" s="114">
        <v>149</v>
      </c>
      <c r="N936" s="114">
        <v>645</v>
      </c>
      <c r="O936" s="114">
        <v>652</v>
      </c>
      <c r="P936" s="114">
        <v>4859</v>
      </c>
      <c r="Q936" s="114">
        <v>17532</v>
      </c>
      <c r="R936" s="13" t="s">
        <v>25</v>
      </c>
      <c r="S936" s="13" t="s">
        <v>25</v>
      </c>
      <c r="T936" s="13" t="s">
        <v>25</v>
      </c>
    </row>
    <row r="937" spans="1:20" x14ac:dyDescent="0.3">
      <c r="A937" s="14">
        <v>43929.708333333336</v>
      </c>
      <c r="B937" s="13" t="s">
        <v>22</v>
      </c>
      <c r="C937" s="114">
        <v>14</v>
      </c>
      <c r="D937" s="13" t="s">
        <v>52</v>
      </c>
      <c r="E937" s="114">
        <v>4155774754</v>
      </c>
      <c r="F937" s="114">
        <v>1465916051</v>
      </c>
      <c r="G937" s="114">
        <v>30</v>
      </c>
      <c r="H937" s="114">
        <v>4</v>
      </c>
      <c r="I937" s="114">
        <v>34</v>
      </c>
      <c r="J937" s="114">
        <v>147</v>
      </c>
      <c r="K937" s="114">
        <v>181</v>
      </c>
      <c r="L937" s="114">
        <v>-4</v>
      </c>
      <c r="M937" s="114">
        <v>2</v>
      </c>
      <c r="N937" s="114">
        <v>32</v>
      </c>
      <c r="O937" s="114">
        <v>13</v>
      </c>
      <c r="P937" s="114">
        <v>226</v>
      </c>
      <c r="Q937" s="114">
        <v>2002</v>
      </c>
      <c r="R937" s="13" t="s">
        <v>25</v>
      </c>
      <c r="S937" s="13" t="s">
        <v>25</v>
      </c>
      <c r="T937" s="13" t="s">
        <v>25</v>
      </c>
    </row>
    <row r="938" spans="1:20" x14ac:dyDescent="0.3">
      <c r="A938" s="14">
        <v>43929.708333333336</v>
      </c>
      <c r="B938" s="13" t="s">
        <v>22</v>
      </c>
      <c r="C938" s="114">
        <v>1</v>
      </c>
      <c r="D938" s="13" t="s">
        <v>53</v>
      </c>
      <c r="E938" s="114">
        <v>450732745</v>
      </c>
      <c r="F938" s="114">
        <v>7680687483</v>
      </c>
      <c r="G938" s="114">
        <v>3493</v>
      </c>
      <c r="H938" s="114">
        <v>423</v>
      </c>
      <c r="I938" s="114">
        <v>3916</v>
      </c>
      <c r="J938" s="114">
        <v>7073</v>
      </c>
      <c r="K938" s="114">
        <v>10989</v>
      </c>
      <c r="L938" s="114">
        <v>285</v>
      </c>
      <c r="M938" s="114">
        <v>540</v>
      </c>
      <c r="N938" s="114">
        <v>1516</v>
      </c>
      <c r="O938" s="114">
        <v>1378</v>
      </c>
      <c r="P938" s="114">
        <v>13883</v>
      </c>
      <c r="Q938" s="114">
        <v>48495</v>
      </c>
      <c r="R938" s="13" t="s">
        <v>25</v>
      </c>
      <c r="S938" s="13" t="s">
        <v>25</v>
      </c>
      <c r="T938" s="13" t="s">
        <v>25</v>
      </c>
    </row>
    <row r="939" spans="1:20" x14ac:dyDescent="0.3">
      <c r="A939" s="14">
        <v>43929.708333333336</v>
      </c>
      <c r="B939" s="13" t="s">
        <v>22</v>
      </c>
      <c r="C939" s="114">
        <v>16</v>
      </c>
      <c r="D939" s="13" t="s">
        <v>54</v>
      </c>
      <c r="E939" s="114">
        <v>4112559576</v>
      </c>
      <c r="F939" s="114">
        <v>1686736689</v>
      </c>
      <c r="G939" s="114">
        <v>639</v>
      </c>
      <c r="H939" s="114">
        <v>90</v>
      </c>
      <c r="I939" s="114">
        <v>729</v>
      </c>
      <c r="J939" s="114">
        <v>1509</v>
      </c>
      <c r="K939" s="114">
        <v>2238</v>
      </c>
      <c r="L939" s="114">
        <v>101</v>
      </c>
      <c r="M939" s="114">
        <v>120</v>
      </c>
      <c r="N939" s="114">
        <v>177</v>
      </c>
      <c r="O939" s="114">
        <v>219</v>
      </c>
      <c r="P939" s="114">
        <v>2634</v>
      </c>
      <c r="Q939" s="114">
        <v>24493</v>
      </c>
      <c r="R939" s="13" t="s">
        <v>25</v>
      </c>
      <c r="S939" s="13" t="s">
        <v>25</v>
      </c>
      <c r="T939" s="13" t="s">
        <v>25</v>
      </c>
    </row>
    <row r="940" spans="1:20" x14ac:dyDescent="0.3">
      <c r="A940" s="14">
        <v>43929.708333333336</v>
      </c>
      <c r="B940" s="13" t="s">
        <v>22</v>
      </c>
      <c r="C940" s="114">
        <v>20</v>
      </c>
      <c r="D940" s="13" t="s">
        <v>55</v>
      </c>
      <c r="E940" s="114">
        <v>3921531192</v>
      </c>
      <c r="F940" s="114">
        <v>9110616306</v>
      </c>
      <c r="G940" s="114">
        <v>112</v>
      </c>
      <c r="H940" s="114">
        <v>31</v>
      </c>
      <c r="I940" s="114">
        <v>143</v>
      </c>
      <c r="J940" s="114">
        <v>697</v>
      </c>
      <c r="K940" s="114">
        <v>840</v>
      </c>
      <c r="L940" s="114">
        <v>19</v>
      </c>
      <c r="M940" s="114">
        <v>40</v>
      </c>
      <c r="N940" s="114">
        <v>76</v>
      </c>
      <c r="O940" s="114">
        <v>59</v>
      </c>
      <c r="P940" s="114">
        <v>975</v>
      </c>
      <c r="Q940" s="114">
        <v>8493</v>
      </c>
      <c r="R940" s="13" t="s">
        <v>25</v>
      </c>
      <c r="S940" s="13" t="s">
        <v>25</v>
      </c>
      <c r="T940" s="13" t="s">
        <v>25</v>
      </c>
    </row>
    <row r="941" spans="1:20" x14ac:dyDescent="0.3">
      <c r="A941" s="14">
        <v>43929.708333333336</v>
      </c>
      <c r="B941" s="13" t="s">
        <v>22</v>
      </c>
      <c r="C941" s="114">
        <v>19</v>
      </c>
      <c r="D941" s="13" t="s">
        <v>56</v>
      </c>
      <c r="E941" s="114">
        <v>3811569725</v>
      </c>
      <c r="F941" s="114">
        <v>133623567</v>
      </c>
      <c r="G941" s="114">
        <v>563</v>
      </c>
      <c r="H941" s="114">
        <v>65</v>
      </c>
      <c r="I941" s="114">
        <v>628</v>
      </c>
      <c r="J941" s="114">
        <v>1265</v>
      </c>
      <c r="K941" s="114">
        <v>1893</v>
      </c>
      <c r="L941" s="114">
        <v>34</v>
      </c>
      <c r="M941" s="114">
        <v>62</v>
      </c>
      <c r="N941" s="114">
        <v>133</v>
      </c>
      <c r="O941" s="114">
        <v>133</v>
      </c>
      <c r="P941" s="114">
        <v>2159</v>
      </c>
      <c r="Q941" s="114">
        <v>27438</v>
      </c>
      <c r="R941" s="13" t="s">
        <v>25</v>
      </c>
      <c r="S941" s="13" t="s">
        <v>25</v>
      </c>
      <c r="T941" s="13" t="s">
        <v>25</v>
      </c>
    </row>
    <row r="942" spans="1:20" x14ac:dyDescent="0.3">
      <c r="A942" s="14">
        <v>43929.708333333336</v>
      </c>
      <c r="B942" s="13" t="s">
        <v>22</v>
      </c>
      <c r="C942" s="114">
        <v>9</v>
      </c>
      <c r="D942" s="13" t="s">
        <v>57</v>
      </c>
      <c r="E942" s="114">
        <v>4376923077</v>
      </c>
      <c r="F942" s="114">
        <v>1125588885</v>
      </c>
      <c r="G942" s="114">
        <v>1066</v>
      </c>
      <c r="H942" s="114">
        <v>260</v>
      </c>
      <c r="I942" s="114">
        <v>1326</v>
      </c>
      <c r="J942" s="114">
        <v>4231</v>
      </c>
      <c r="K942" s="114">
        <v>5557</v>
      </c>
      <c r="L942" s="114">
        <v>130</v>
      </c>
      <c r="M942" s="114">
        <v>206</v>
      </c>
      <c r="N942" s="114">
        <v>430</v>
      </c>
      <c r="O942" s="114">
        <v>392</v>
      </c>
      <c r="P942" s="114">
        <v>6379</v>
      </c>
      <c r="Q942" s="114">
        <v>60985</v>
      </c>
      <c r="R942" s="13" t="s">
        <v>25</v>
      </c>
      <c r="S942" s="13" t="s">
        <v>25</v>
      </c>
      <c r="T942" s="13" t="s">
        <v>25</v>
      </c>
    </row>
    <row r="943" spans="1:20" x14ac:dyDescent="0.3">
      <c r="A943" s="14">
        <v>43929.708333333336</v>
      </c>
      <c r="B943" s="13" t="s">
        <v>22</v>
      </c>
      <c r="C943" s="114">
        <v>4</v>
      </c>
      <c r="D943" s="13" t="s">
        <v>58</v>
      </c>
      <c r="E943" s="114">
        <v>4606893511</v>
      </c>
      <c r="F943" s="114">
        <v>1112123097</v>
      </c>
      <c r="G943" s="114">
        <v>354</v>
      </c>
      <c r="H943" s="114">
        <v>77</v>
      </c>
      <c r="I943" s="114">
        <v>431</v>
      </c>
      <c r="J943" s="114">
        <v>1509</v>
      </c>
      <c r="K943" s="114">
        <v>1940</v>
      </c>
      <c r="L943" s="114">
        <v>50</v>
      </c>
      <c r="M943" s="114">
        <v>126</v>
      </c>
      <c r="N943" s="114">
        <v>407</v>
      </c>
      <c r="O943" s="114">
        <v>255</v>
      </c>
      <c r="P943" s="114">
        <v>2602</v>
      </c>
      <c r="Q943" s="114">
        <v>13258</v>
      </c>
      <c r="R943" s="13" t="s">
        <v>25</v>
      </c>
      <c r="S943" s="13" t="s">
        <v>25</v>
      </c>
      <c r="T943" s="13" t="s">
        <v>25</v>
      </c>
    </row>
    <row r="944" spans="1:20" x14ac:dyDescent="0.3">
      <c r="A944" s="14">
        <v>43929.708333333336</v>
      </c>
      <c r="B944" s="13" t="s">
        <v>22</v>
      </c>
      <c r="C944" s="114">
        <v>10</v>
      </c>
      <c r="D944" s="13" t="s">
        <v>59</v>
      </c>
      <c r="E944" s="114">
        <v>4310675841</v>
      </c>
      <c r="F944" s="114">
        <v>1238824698</v>
      </c>
      <c r="G944" s="114">
        <v>155</v>
      </c>
      <c r="H944" s="114">
        <v>41</v>
      </c>
      <c r="I944" s="114">
        <v>196</v>
      </c>
      <c r="J944" s="114">
        <v>627</v>
      </c>
      <c r="K944" s="114">
        <v>823</v>
      </c>
      <c r="L944" s="114">
        <v>-23</v>
      </c>
      <c r="M944" s="114">
        <v>26</v>
      </c>
      <c r="N944" s="114">
        <v>416</v>
      </c>
      <c r="O944" s="114">
        <v>50</v>
      </c>
      <c r="P944" s="114">
        <v>1289</v>
      </c>
      <c r="Q944" s="114">
        <v>14105</v>
      </c>
      <c r="R944" s="13" t="s">
        <v>25</v>
      </c>
      <c r="S944" s="13" t="s">
        <v>25</v>
      </c>
      <c r="T944" s="13" t="s">
        <v>25</v>
      </c>
    </row>
    <row r="945" spans="1:20" x14ac:dyDescent="0.3">
      <c r="A945" s="14">
        <v>43929.708333333336</v>
      </c>
      <c r="B945" s="13" t="s">
        <v>22</v>
      </c>
      <c r="C945" s="114">
        <v>2</v>
      </c>
      <c r="D945" s="13" t="s">
        <v>60</v>
      </c>
      <c r="E945" s="114">
        <v>4573750286</v>
      </c>
      <c r="F945" s="114">
        <v>7320149366</v>
      </c>
      <c r="G945" s="114">
        <v>120</v>
      </c>
      <c r="H945" s="114">
        <v>20</v>
      </c>
      <c r="I945" s="114">
        <v>140</v>
      </c>
      <c r="J945" s="114">
        <v>466</v>
      </c>
      <c r="K945" s="114">
        <v>606</v>
      </c>
      <c r="L945" s="114">
        <v>13</v>
      </c>
      <c r="M945" s="114">
        <v>15</v>
      </c>
      <c r="N945" s="114">
        <v>142</v>
      </c>
      <c r="O945" s="114">
        <v>102</v>
      </c>
      <c r="P945" s="114">
        <v>850</v>
      </c>
      <c r="Q945" s="114">
        <v>2953</v>
      </c>
      <c r="R945" s="13" t="s">
        <v>25</v>
      </c>
      <c r="S945" s="13" t="s">
        <v>25</v>
      </c>
      <c r="T945" s="13" t="s">
        <v>25</v>
      </c>
    </row>
    <row r="946" spans="1:20" x14ac:dyDescent="0.3">
      <c r="A946" s="14">
        <v>43929.708333333336</v>
      </c>
      <c r="B946" s="13" t="s">
        <v>22</v>
      </c>
      <c r="C946" s="114">
        <v>5</v>
      </c>
      <c r="D946" s="13" t="s">
        <v>61</v>
      </c>
      <c r="E946" s="114">
        <v>4543490485</v>
      </c>
      <c r="F946" s="114">
        <v>1233845213</v>
      </c>
      <c r="G946" s="114">
        <v>1554</v>
      </c>
      <c r="H946" s="114">
        <v>285</v>
      </c>
      <c r="I946" s="114">
        <v>1839</v>
      </c>
      <c r="J946" s="114">
        <v>8332</v>
      </c>
      <c r="K946" s="114">
        <v>10171</v>
      </c>
      <c r="L946" s="114">
        <v>206</v>
      </c>
      <c r="M946" s="114">
        <v>485</v>
      </c>
      <c r="N946" s="114">
        <v>1503</v>
      </c>
      <c r="O946" s="114">
        <v>736</v>
      </c>
      <c r="P946" s="114">
        <v>12410</v>
      </c>
      <c r="Q946" s="114">
        <v>163247</v>
      </c>
      <c r="R946" s="13" t="s">
        <v>25</v>
      </c>
      <c r="S946" s="13" t="s">
        <v>25</v>
      </c>
      <c r="T946" s="13" t="s">
        <v>25</v>
      </c>
    </row>
    <row r="947" spans="1:20" x14ac:dyDescent="0.3">
      <c r="A947" s="14">
        <v>43930.708333333336</v>
      </c>
      <c r="B947" s="13" t="s">
        <v>22</v>
      </c>
      <c r="C947" s="114">
        <v>13</v>
      </c>
      <c r="D947" s="13" t="s">
        <v>42</v>
      </c>
      <c r="E947" s="114">
        <v>4235122196</v>
      </c>
      <c r="F947" s="114">
        <v>1339843823</v>
      </c>
      <c r="G947" s="114">
        <v>306</v>
      </c>
      <c r="H947" s="114">
        <v>57</v>
      </c>
      <c r="I947" s="114">
        <v>363</v>
      </c>
      <c r="J947" s="114">
        <v>1203</v>
      </c>
      <c r="K947" s="114">
        <v>1566</v>
      </c>
      <c r="L947" s="114">
        <v>32</v>
      </c>
      <c r="M947" s="114">
        <v>72</v>
      </c>
      <c r="N947" s="114">
        <v>171</v>
      </c>
      <c r="O947" s="114">
        <v>194</v>
      </c>
      <c r="P947" s="114">
        <v>1931</v>
      </c>
      <c r="Q947" s="114">
        <v>16847</v>
      </c>
      <c r="R947" s="13" t="s">
        <v>25</v>
      </c>
      <c r="S947" s="13" t="s">
        <v>25</v>
      </c>
      <c r="T947" s="13" t="s">
        <v>25</v>
      </c>
    </row>
    <row r="948" spans="1:20" x14ac:dyDescent="0.3">
      <c r="A948" s="14">
        <v>43930.708333333336</v>
      </c>
      <c r="B948" s="13" t="s">
        <v>22</v>
      </c>
      <c r="C948" s="114">
        <v>17</v>
      </c>
      <c r="D948" s="13" t="s">
        <v>43</v>
      </c>
      <c r="E948" s="114">
        <v>4063947052</v>
      </c>
      <c r="F948" s="114">
        <v>1580514834</v>
      </c>
      <c r="G948" s="114">
        <v>50</v>
      </c>
      <c r="H948" s="114">
        <v>17</v>
      </c>
      <c r="I948" s="114">
        <v>67</v>
      </c>
      <c r="J948" s="114">
        <v>208</v>
      </c>
      <c r="K948" s="114">
        <v>275</v>
      </c>
      <c r="L948" s="114">
        <v>5</v>
      </c>
      <c r="M948" s="114">
        <v>6</v>
      </c>
      <c r="N948" s="114">
        <v>13</v>
      </c>
      <c r="O948" s="114">
        <v>15</v>
      </c>
      <c r="P948" s="114">
        <v>303</v>
      </c>
      <c r="Q948" s="114">
        <v>3474</v>
      </c>
      <c r="R948" s="13" t="s">
        <v>25</v>
      </c>
      <c r="S948" s="13" t="s">
        <v>25</v>
      </c>
      <c r="T948" s="13" t="s">
        <v>25</v>
      </c>
    </row>
    <row r="949" spans="1:20" x14ac:dyDescent="0.3">
      <c r="A949" s="14">
        <v>43930.708333333336</v>
      </c>
      <c r="B949" s="13" t="s">
        <v>22</v>
      </c>
      <c r="C949" s="114">
        <v>4</v>
      </c>
      <c r="D949" s="13" t="s">
        <v>44</v>
      </c>
      <c r="E949" s="114">
        <v>4649933453</v>
      </c>
      <c r="F949" s="114">
        <v>1135662422</v>
      </c>
      <c r="G949" s="114">
        <v>263</v>
      </c>
      <c r="H949" s="114">
        <v>64</v>
      </c>
      <c r="I949" s="114">
        <v>327</v>
      </c>
      <c r="J949" s="114">
        <v>988</v>
      </c>
      <c r="K949" s="114">
        <v>1315</v>
      </c>
      <c r="L949" s="114">
        <v>34</v>
      </c>
      <c r="M949" s="114">
        <v>68</v>
      </c>
      <c r="N949" s="114">
        <v>401</v>
      </c>
      <c r="O949" s="114">
        <v>187</v>
      </c>
      <c r="P949" s="114">
        <v>1903</v>
      </c>
      <c r="Q949" s="114">
        <v>19875</v>
      </c>
      <c r="R949" s="13" t="s">
        <v>25</v>
      </c>
      <c r="S949" s="13" t="s">
        <v>25</v>
      </c>
      <c r="T949" s="13" t="s">
        <v>25</v>
      </c>
    </row>
    <row r="950" spans="1:20" x14ac:dyDescent="0.3">
      <c r="A950" s="14">
        <v>43930.708333333336</v>
      </c>
      <c r="B950" s="13" t="s">
        <v>22</v>
      </c>
      <c r="C950" s="114">
        <v>18</v>
      </c>
      <c r="D950" s="13" t="s">
        <v>45</v>
      </c>
      <c r="E950" s="114">
        <v>3890597598</v>
      </c>
      <c r="F950" s="114">
        <v>1659440194</v>
      </c>
      <c r="G950" s="114">
        <v>168</v>
      </c>
      <c r="H950" s="114">
        <v>15</v>
      </c>
      <c r="I950" s="114">
        <v>183</v>
      </c>
      <c r="J950" s="114">
        <v>582</v>
      </c>
      <c r="K950" s="114">
        <v>765</v>
      </c>
      <c r="L950" s="114">
        <v>10</v>
      </c>
      <c r="M950" s="114">
        <v>15</v>
      </c>
      <c r="N950" s="114">
        <v>48</v>
      </c>
      <c r="O950" s="114">
        <v>61</v>
      </c>
      <c r="P950" s="114">
        <v>874</v>
      </c>
      <c r="Q950" s="114">
        <v>15698</v>
      </c>
      <c r="R950" s="13" t="s">
        <v>25</v>
      </c>
      <c r="S950" s="13" t="s">
        <v>25</v>
      </c>
      <c r="T950" s="13" t="s">
        <v>25</v>
      </c>
    </row>
    <row r="951" spans="1:20" x14ac:dyDescent="0.3">
      <c r="A951" s="14">
        <v>43930.708333333336</v>
      </c>
      <c r="B951" s="13" t="s">
        <v>22</v>
      </c>
      <c r="C951" s="114">
        <v>15</v>
      </c>
      <c r="D951" s="13" t="s">
        <v>46</v>
      </c>
      <c r="E951" s="114">
        <v>4083956555</v>
      </c>
      <c r="F951" s="114">
        <v>1425084984</v>
      </c>
      <c r="G951" s="114">
        <v>604</v>
      </c>
      <c r="H951" s="114">
        <v>94</v>
      </c>
      <c r="I951" s="114">
        <v>698</v>
      </c>
      <c r="J951" s="114">
        <v>2175</v>
      </c>
      <c r="K951" s="114">
        <v>2873</v>
      </c>
      <c r="L951" s="114">
        <v>14</v>
      </c>
      <c r="M951" s="114">
        <v>76</v>
      </c>
      <c r="N951" s="114">
        <v>244</v>
      </c>
      <c r="O951" s="114">
        <v>227</v>
      </c>
      <c r="P951" s="114">
        <v>3344</v>
      </c>
      <c r="Q951" s="114">
        <v>29664</v>
      </c>
      <c r="R951" s="13" t="s">
        <v>25</v>
      </c>
      <c r="S951" s="13" t="s">
        <v>25</v>
      </c>
      <c r="T951" s="13" t="s">
        <v>25</v>
      </c>
    </row>
    <row r="952" spans="1:20" x14ac:dyDescent="0.3">
      <c r="A952" s="14">
        <v>43930.708333333336</v>
      </c>
      <c r="B952" s="13" t="s">
        <v>22</v>
      </c>
      <c r="C952" s="114">
        <v>8</v>
      </c>
      <c r="D952" s="13" t="s">
        <v>96</v>
      </c>
      <c r="E952" s="114">
        <v>4449436681</v>
      </c>
      <c r="F952" s="114">
        <v>113417208</v>
      </c>
      <c r="G952" s="114">
        <v>3722</v>
      </c>
      <c r="H952" s="114">
        <v>355</v>
      </c>
      <c r="I952" s="114">
        <v>4077</v>
      </c>
      <c r="J952" s="114">
        <v>9181</v>
      </c>
      <c r="K952" s="114">
        <v>13258</v>
      </c>
      <c r="L952" s="114">
        <v>148</v>
      </c>
      <c r="M952" s="114">
        <v>443</v>
      </c>
      <c r="N952" s="114">
        <v>3103</v>
      </c>
      <c r="O952" s="114">
        <v>2316</v>
      </c>
      <c r="P952" s="114">
        <v>18677</v>
      </c>
      <c r="Q952" s="114">
        <v>81715</v>
      </c>
      <c r="R952" s="13" t="s">
        <v>25</v>
      </c>
      <c r="S952" s="13" t="s">
        <v>25</v>
      </c>
      <c r="T952" s="13" t="s">
        <v>25</v>
      </c>
    </row>
    <row r="953" spans="1:20" x14ac:dyDescent="0.3">
      <c r="A953" s="14">
        <v>43930.708333333336</v>
      </c>
      <c r="B953" s="13" t="s">
        <v>22</v>
      </c>
      <c r="C953" s="114">
        <v>6</v>
      </c>
      <c r="D953" s="13" t="s">
        <v>47</v>
      </c>
      <c r="E953" s="114">
        <v>456494354</v>
      </c>
      <c r="F953" s="114">
        <v>1376813649</v>
      </c>
      <c r="G953" s="114">
        <v>167</v>
      </c>
      <c r="H953" s="114">
        <v>37</v>
      </c>
      <c r="I953" s="114">
        <v>204</v>
      </c>
      <c r="J953" s="114">
        <v>1186</v>
      </c>
      <c r="K953" s="114">
        <v>1390</v>
      </c>
      <c r="L953" s="114">
        <v>-25</v>
      </c>
      <c r="M953" s="114">
        <v>81</v>
      </c>
      <c r="N953" s="114">
        <v>738</v>
      </c>
      <c r="O953" s="114">
        <v>171</v>
      </c>
      <c r="P953" s="114">
        <v>2299</v>
      </c>
      <c r="Q953" s="114">
        <v>26205</v>
      </c>
      <c r="R953" s="13" t="s">
        <v>25</v>
      </c>
      <c r="S953" s="13" t="s">
        <v>25</v>
      </c>
      <c r="T953" s="13" t="s">
        <v>25</v>
      </c>
    </row>
    <row r="954" spans="1:20" x14ac:dyDescent="0.3">
      <c r="A954" s="14">
        <v>43930.708333333336</v>
      </c>
      <c r="B954" s="13" t="s">
        <v>22</v>
      </c>
      <c r="C954" s="114">
        <v>12</v>
      </c>
      <c r="D954" s="13" t="s">
        <v>48</v>
      </c>
      <c r="E954" s="114">
        <v>4189277044</v>
      </c>
      <c r="F954" s="114">
        <v>1248366722</v>
      </c>
      <c r="G954" s="114">
        <v>1244</v>
      </c>
      <c r="H954" s="114">
        <v>198</v>
      </c>
      <c r="I954" s="114">
        <v>1442</v>
      </c>
      <c r="J954" s="114">
        <v>2090</v>
      </c>
      <c r="K954" s="114">
        <v>3532</v>
      </c>
      <c r="L954" s="114">
        <v>84</v>
      </c>
      <c r="M954" s="114">
        <v>163</v>
      </c>
      <c r="N954" s="114">
        <v>644</v>
      </c>
      <c r="O954" s="114">
        <v>253</v>
      </c>
      <c r="P954" s="114">
        <v>4429</v>
      </c>
      <c r="Q954" s="114">
        <v>58107</v>
      </c>
      <c r="R954" s="13" t="s">
        <v>25</v>
      </c>
      <c r="S954" s="13" t="s">
        <v>25</v>
      </c>
      <c r="T954" s="13" t="s">
        <v>25</v>
      </c>
    </row>
    <row r="955" spans="1:20" x14ac:dyDescent="0.3">
      <c r="A955" s="14">
        <v>43930.708333333336</v>
      </c>
      <c r="B955" s="13" t="s">
        <v>22</v>
      </c>
      <c r="C955" s="114">
        <v>7</v>
      </c>
      <c r="D955" s="13" t="s">
        <v>49</v>
      </c>
      <c r="E955" s="114">
        <v>4441149315</v>
      </c>
      <c r="F955" s="114">
        <v>89326992</v>
      </c>
      <c r="G955" s="114">
        <v>1103</v>
      </c>
      <c r="H955" s="114">
        <v>154</v>
      </c>
      <c r="I955" s="114">
        <v>1257</v>
      </c>
      <c r="J955" s="114">
        <v>1996</v>
      </c>
      <c r="K955" s="114">
        <v>3253</v>
      </c>
      <c r="L955" s="114">
        <v>8</v>
      </c>
      <c r="M955" s="114">
        <v>114</v>
      </c>
      <c r="N955" s="114">
        <v>1085</v>
      </c>
      <c r="O955" s="114">
        <v>682</v>
      </c>
      <c r="P955" s="114">
        <v>5020</v>
      </c>
      <c r="Q955" s="114">
        <v>18446</v>
      </c>
      <c r="R955" s="13" t="s">
        <v>25</v>
      </c>
      <c r="S955" s="13" t="s">
        <v>25</v>
      </c>
      <c r="T955" s="13" t="s">
        <v>25</v>
      </c>
    </row>
    <row r="956" spans="1:20" x14ac:dyDescent="0.3">
      <c r="A956" s="14">
        <v>43930.708333333336</v>
      </c>
      <c r="B956" s="13" t="s">
        <v>22</v>
      </c>
      <c r="C956" s="114">
        <v>3</v>
      </c>
      <c r="D956" s="13" t="s">
        <v>50</v>
      </c>
      <c r="E956" s="114">
        <v>4546679409</v>
      </c>
      <c r="F956" s="114">
        <v>9190347404</v>
      </c>
      <c r="G956" s="114">
        <v>11796</v>
      </c>
      <c r="H956" s="114">
        <v>1236</v>
      </c>
      <c r="I956" s="114">
        <v>13032</v>
      </c>
      <c r="J956" s="114">
        <v>16042</v>
      </c>
      <c r="K956" s="114">
        <v>29074</v>
      </c>
      <c r="L956" s="114">
        <v>529</v>
      </c>
      <c r="M956" s="114">
        <v>1388</v>
      </c>
      <c r="N956" s="114">
        <v>15706</v>
      </c>
      <c r="O956" s="114">
        <v>10022</v>
      </c>
      <c r="P956" s="114">
        <v>54802</v>
      </c>
      <c r="Q956" s="114">
        <v>176953</v>
      </c>
      <c r="R956" s="13" t="s">
        <v>25</v>
      </c>
      <c r="S956" s="13" t="s">
        <v>25</v>
      </c>
      <c r="T956" s="13" t="s">
        <v>25</v>
      </c>
    </row>
    <row r="957" spans="1:20" x14ac:dyDescent="0.3">
      <c r="A957" s="14">
        <v>43930.708333333336</v>
      </c>
      <c r="B957" s="13" t="s">
        <v>22</v>
      </c>
      <c r="C957" s="114">
        <v>11</v>
      </c>
      <c r="D957" s="13" t="s">
        <v>51</v>
      </c>
      <c r="E957" s="114">
        <v>4361675973</v>
      </c>
      <c r="F957" s="114">
        <v>135188753</v>
      </c>
      <c r="G957" s="114">
        <v>945</v>
      </c>
      <c r="H957" s="114">
        <v>133</v>
      </c>
      <c r="I957" s="114">
        <v>1078</v>
      </c>
      <c r="J957" s="114">
        <v>2323</v>
      </c>
      <c r="K957" s="114">
        <v>3401</v>
      </c>
      <c r="L957" s="114">
        <v>-161</v>
      </c>
      <c r="M957" s="114">
        <v>96</v>
      </c>
      <c r="N957" s="114">
        <v>885</v>
      </c>
      <c r="O957" s="114">
        <v>669</v>
      </c>
      <c r="P957" s="114">
        <v>4955</v>
      </c>
      <c r="Q957" s="114">
        <v>18194</v>
      </c>
      <c r="R957" s="13" t="s">
        <v>25</v>
      </c>
      <c r="S957" s="13" t="s">
        <v>25</v>
      </c>
      <c r="T957" s="13" t="s">
        <v>25</v>
      </c>
    </row>
    <row r="958" spans="1:20" x14ac:dyDescent="0.3">
      <c r="A958" s="14">
        <v>43930.708333333336</v>
      </c>
      <c r="B958" s="13" t="s">
        <v>22</v>
      </c>
      <c r="C958" s="114">
        <v>14</v>
      </c>
      <c r="D958" s="13" t="s">
        <v>52</v>
      </c>
      <c r="E958" s="114">
        <v>4155774754</v>
      </c>
      <c r="F958" s="114">
        <v>1465916051</v>
      </c>
      <c r="G958" s="114">
        <v>30</v>
      </c>
      <c r="H958" s="114">
        <v>4</v>
      </c>
      <c r="I958" s="114">
        <v>34</v>
      </c>
      <c r="J958" s="114">
        <v>155</v>
      </c>
      <c r="K958" s="114">
        <v>189</v>
      </c>
      <c r="L958" s="114">
        <v>8</v>
      </c>
      <c r="M958" s="114">
        <v>8</v>
      </c>
      <c r="N958" s="114">
        <v>32</v>
      </c>
      <c r="O958" s="114">
        <v>13</v>
      </c>
      <c r="P958" s="114">
        <v>234</v>
      </c>
      <c r="Q958" s="114">
        <v>2069</v>
      </c>
      <c r="R958" s="13" t="s">
        <v>25</v>
      </c>
      <c r="S958" s="13" t="s">
        <v>25</v>
      </c>
      <c r="T958" s="13" t="s">
        <v>25</v>
      </c>
    </row>
    <row r="959" spans="1:20" x14ac:dyDescent="0.3">
      <c r="A959" s="14">
        <v>43930.708333333336</v>
      </c>
      <c r="B959" s="13" t="s">
        <v>22</v>
      </c>
      <c r="C959" s="114">
        <v>1</v>
      </c>
      <c r="D959" s="13" t="s">
        <v>53</v>
      </c>
      <c r="E959" s="114">
        <v>450732745</v>
      </c>
      <c r="F959" s="114">
        <v>7680687483</v>
      </c>
      <c r="G959" s="114">
        <v>3514</v>
      </c>
      <c r="H959" s="114">
        <v>412</v>
      </c>
      <c r="I959" s="114">
        <v>3926</v>
      </c>
      <c r="J959" s="114">
        <v>7410</v>
      </c>
      <c r="K959" s="114">
        <v>11336</v>
      </c>
      <c r="L959" s="114">
        <v>347</v>
      </c>
      <c r="M959" s="114">
        <v>639</v>
      </c>
      <c r="N959" s="114">
        <v>1732</v>
      </c>
      <c r="O959" s="114">
        <v>1454</v>
      </c>
      <c r="P959" s="114">
        <v>14522</v>
      </c>
      <c r="Q959" s="114">
        <v>52807</v>
      </c>
      <c r="R959" s="13" t="s">
        <v>25</v>
      </c>
      <c r="S959" s="13" t="s">
        <v>25</v>
      </c>
      <c r="T959" s="13" t="s">
        <v>25</v>
      </c>
    </row>
    <row r="960" spans="1:20" x14ac:dyDescent="0.3">
      <c r="A960" s="14">
        <v>43930.708333333336</v>
      </c>
      <c r="B960" s="13" t="s">
        <v>22</v>
      </c>
      <c r="C960" s="114">
        <v>16</v>
      </c>
      <c r="D960" s="13" t="s">
        <v>54</v>
      </c>
      <c r="E960" s="114">
        <v>4112559576</v>
      </c>
      <c r="F960" s="114">
        <v>1686736689</v>
      </c>
      <c r="G960" s="114">
        <v>630</v>
      </c>
      <c r="H960" s="114">
        <v>86</v>
      </c>
      <c r="I960" s="114">
        <v>716</v>
      </c>
      <c r="J960" s="114">
        <v>1585</v>
      </c>
      <c r="K960" s="114">
        <v>2301</v>
      </c>
      <c r="L960" s="114">
        <v>63</v>
      </c>
      <c r="M960" s="114">
        <v>82</v>
      </c>
      <c r="N960" s="114">
        <v>190</v>
      </c>
      <c r="O960" s="114">
        <v>225</v>
      </c>
      <c r="P960" s="114">
        <v>2716</v>
      </c>
      <c r="Q960" s="114">
        <v>26088</v>
      </c>
      <c r="R960" s="13" t="s">
        <v>25</v>
      </c>
      <c r="S960" s="13" t="s">
        <v>25</v>
      </c>
      <c r="T960" s="13" t="s">
        <v>25</v>
      </c>
    </row>
    <row r="961" spans="1:20" x14ac:dyDescent="0.3">
      <c r="A961" s="14">
        <v>43930.708333333336</v>
      </c>
      <c r="B961" s="13" t="s">
        <v>22</v>
      </c>
      <c r="C961" s="114">
        <v>20</v>
      </c>
      <c r="D961" s="13" t="s">
        <v>55</v>
      </c>
      <c r="E961" s="114">
        <v>3921531192</v>
      </c>
      <c r="F961" s="114">
        <v>9110616306</v>
      </c>
      <c r="G961" s="114">
        <v>106</v>
      </c>
      <c r="H961" s="114">
        <v>25</v>
      </c>
      <c r="I961" s="114">
        <v>131</v>
      </c>
      <c r="J961" s="114">
        <v>745</v>
      </c>
      <c r="K961" s="114">
        <v>876</v>
      </c>
      <c r="L961" s="114">
        <v>36</v>
      </c>
      <c r="M961" s="114">
        <v>51</v>
      </c>
      <c r="N961" s="114">
        <v>86</v>
      </c>
      <c r="O961" s="114">
        <v>64</v>
      </c>
      <c r="P961" s="114">
        <v>1026</v>
      </c>
      <c r="Q961" s="114">
        <v>8918</v>
      </c>
      <c r="R961" s="13" t="s">
        <v>25</v>
      </c>
      <c r="S961" s="13" t="s">
        <v>25</v>
      </c>
      <c r="T961" s="13" t="s">
        <v>25</v>
      </c>
    </row>
    <row r="962" spans="1:20" x14ac:dyDescent="0.3">
      <c r="A962" s="14">
        <v>43930.708333333336</v>
      </c>
      <c r="B962" s="13" t="s">
        <v>22</v>
      </c>
      <c r="C962" s="114">
        <v>19</v>
      </c>
      <c r="D962" s="13" t="s">
        <v>56</v>
      </c>
      <c r="E962" s="114">
        <v>3811569725</v>
      </c>
      <c r="F962" s="114">
        <v>133623567</v>
      </c>
      <c r="G962" s="114">
        <v>566</v>
      </c>
      <c r="H962" s="114">
        <v>63</v>
      </c>
      <c r="I962" s="114">
        <v>629</v>
      </c>
      <c r="J962" s="114">
        <v>1313</v>
      </c>
      <c r="K962" s="114">
        <v>1942</v>
      </c>
      <c r="L962" s="114">
        <v>49</v>
      </c>
      <c r="M962" s="114">
        <v>73</v>
      </c>
      <c r="N962" s="114">
        <v>152</v>
      </c>
      <c r="O962" s="114">
        <v>138</v>
      </c>
      <c r="P962" s="114">
        <v>2232</v>
      </c>
      <c r="Q962" s="114">
        <v>28742</v>
      </c>
      <c r="R962" s="13" t="s">
        <v>25</v>
      </c>
      <c r="S962" s="13" t="s">
        <v>25</v>
      </c>
      <c r="T962" s="13" t="s">
        <v>25</v>
      </c>
    </row>
    <row r="963" spans="1:20" x14ac:dyDescent="0.3">
      <c r="A963" s="14">
        <v>43930.708333333336</v>
      </c>
      <c r="B963" s="13" t="s">
        <v>22</v>
      </c>
      <c r="C963" s="114">
        <v>9</v>
      </c>
      <c r="D963" s="13" t="s">
        <v>57</v>
      </c>
      <c r="E963" s="114">
        <v>4376923077</v>
      </c>
      <c r="F963" s="114">
        <v>1125588885</v>
      </c>
      <c r="G963" s="114">
        <v>1038</v>
      </c>
      <c r="H963" s="114">
        <v>256</v>
      </c>
      <c r="I963" s="114">
        <v>1294</v>
      </c>
      <c r="J963" s="114">
        <v>4409</v>
      </c>
      <c r="K963" s="114">
        <v>5703</v>
      </c>
      <c r="L963" s="114">
        <v>146</v>
      </c>
      <c r="M963" s="114">
        <v>173</v>
      </c>
      <c r="N963" s="114">
        <v>441</v>
      </c>
      <c r="O963" s="114">
        <v>408</v>
      </c>
      <c r="P963" s="114">
        <v>6552</v>
      </c>
      <c r="Q963" s="114">
        <v>65461</v>
      </c>
      <c r="R963" s="13" t="s">
        <v>25</v>
      </c>
      <c r="S963" s="13" t="s">
        <v>25</v>
      </c>
      <c r="T963" s="13" t="s">
        <v>25</v>
      </c>
    </row>
    <row r="964" spans="1:20" x14ac:dyDescent="0.3">
      <c r="A964" s="14">
        <v>43930.708333333336</v>
      </c>
      <c r="B964" s="13" t="s">
        <v>22</v>
      </c>
      <c r="C964" s="114">
        <v>4</v>
      </c>
      <c r="D964" s="13" t="s">
        <v>58</v>
      </c>
      <c r="E964" s="114">
        <v>4606893511</v>
      </c>
      <c r="F964" s="114">
        <v>1112123097</v>
      </c>
      <c r="G964" s="114">
        <v>345</v>
      </c>
      <c r="H964" s="114">
        <v>69</v>
      </c>
      <c r="I964" s="114">
        <v>414</v>
      </c>
      <c r="J964" s="114">
        <v>1564</v>
      </c>
      <c r="K964" s="114">
        <v>1978</v>
      </c>
      <c r="L964" s="114">
        <v>38</v>
      </c>
      <c r="M964" s="114">
        <v>106</v>
      </c>
      <c r="N964" s="114">
        <v>462</v>
      </c>
      <c r="O964" s="114">
        <v>268</v>
      </c>
      <c r="P964" s="114">
        <v>2708</v>
      </c>
      <c r="Q964" s="114">
        <v>14338</v>
      </c>
      <c r="R964" s="13" t="s">
        <v>25</v>
      </c>
      <c r="S964" s="13" t="s">
        <v>25</v>
      </c>
      <c r="T964" s="13" t="s">
        <v>25</v>
      </c>
    </row>
    <row r="965" spans="1:20" x14ac:dyDescent="0.3">
      <c r="A965" s="14">
        <v>43930.708333333336</v>
      </c>
      <c r="B965" s="13" t="s">
        <v>22</v>
      </c>
      <c r="C965" s="114">
        <v>10</v>
      </c>
      <c r="D965" s="13" t="s">
        <v>59</v>
      </c>
      <c r="E965" s="114">
        <v>4310675841</v>
      </c>
      <c r="F965" s="114">
        <v>1238824698</v>
      </c>
      <c r="G965" s="114">
        <v>154</v>
      </c>
      <c r="H965" s="114">
        <v>38</v>
      </c>
      <c r="I965" s="114">
        <v>192</v>
      </c>
      <c r="J965" s="114">
        <v>600</v>
      </c>
      <c r="K965" s="114">
        <v>792</v>
      </c>
      <c r="L965" s="114">
        <v>-31</v>
      </c>
      <c r="M965" s="114">
        <v>9</v>
      </c>
      <c r="N965" s="114">
        <v>455</v>
      </c>
      <c r="O965" s="114">
        <v>51</v>
      </c>
      <c r="P965" s="114">
        <v>1298</v>
      </c>
      <c r="Q965" s="114">
        <v>15170</v>
      </c>
      <c r="R965" s="13" t="s">
        <v>25</v>
      </c>
      <c r="S965" s="13" t="s">
        <v>25</v>
      </c>
      <c r="T965" s="13" t="s">
        <v>25</v>
      </c>
    </row>
    <row r="966" spans="1:20" x14ac:dyDescent="0.3">
      <c r="A966" s="14">
        <v>43930.708333333336</v>
      </c>
      <c r="B966" s="13" t="s">
        <v>22</v>
      </c>
      <c r="C966" s="114">
        <v>2</v>
      </c>
      <c r="D966" s="13" t="s">
        <v>60</v>
      </c>
      <c r="E966" s="114">
        <v>4573750286</v>
      </c>
      <c r="F966" s="114">
        <v>7320149366</v>
      </c>
      <c r="G966" s="114">
        <v>118</v>
      </c>
      <c r="H966" s="114">
        <v>18</v>
      </c>
      <c r="I966" s="114">
        <v>136</v>
      </c>
      <c r="J966" s="114">
        <v>473</v>
      </c>
      <c r="K966" s="114">
        <v>609</v>
      </c>
      <c r="L966" s="114">
        <v>3</v>
      </c>
      <c r="M966" s="114">
        <v>18</v>
      </c>
      <c r="N966" s="114">
        <v>154</v>
      </c>
      <c r="O966" s="114">
        <v>105</v>
      </c>
      <c r="P966" s="114">
        <v>868</v>
      </c>
      <c r="Q966" s="114">
        <v>3142</v>
      </c>
      <c r="R966" s="13" t="s">
        <v>25</v>
      </c>
      <c r="S966" s="13" t="s">
        <v>25</v>
      </c>
      <c r="T966" s="13" t="s">
        <v>25</v>
      </c>
    </row>
    <row r="967" spans="1:20" x14ac:dyDescent="0.3">
      <c r="A967" s="14">
        <v>43930.708333333336</v>
      </c>
      <c r="B967" s="13" t="s">
        <v>22</v>
      </c>
      <c r="C967" s="114">
        <v>5</v>
      </c>
      <c r="D967" s="13" t="s">
        <v>61</v>
      </c>
      <c r="E967" s="114">
        <v>4543490485</v>
      </c>
      <c r="F967" s="114">
        <v>1233845213</v>
      </c>
      <c r="G967" s="114">
        <v>1530</v>
      </c>
      <c r="H967" s="114">
        <v>274</v>
      </c>
      <c r="I967" s="114">
        <v>1804</v>
      </c>
      <c r="J967" s="114">
        <v>8645</v>
      </c>
      <c r="K967" s="114">
        <v>10449</v>
      </c>
      <c r="L967" s="114">
        <v>278</v>
      </c>
      <c r="M967" s="114">
        <v>523</v>
      </c>
      <c r="N967" s="114">
        <v>1728</v>
      </c>
      <c r="O967" s="114">
        <v>756</v>
      </c>
      <c r="P967" s="114">
        <v>12933</v>
      </c>
      <c r="Q967" s="114">
        <v>171456</v>
      </c>
      <c r="R967" s="13" t="s">
        <v>25</v>
      </c>
      <c r="S967" s="13" t="s">
        <v>25</v>
      </c>
      <c r="T967" s="13" t="s">
        <v>25</v>
      </c>
    </row>
    <row r="968" spans="1:20" x14ac:dyDescent="0.3">
      <c r="A968" s="14">
        <v>43931.708333333336</v>
      </c>
      <c r="B968" s="13" t="s">
        <v>22</v>
      </c>
      <c r="C968" s="114">
        <v>13</v>
      </c>
      <c r="D968" s="13" t="s">
        <v>42</v>
      </c>
      <c r="E968" s="114">
        <v>4235122196</v>
      </c>
      <c r="F968" s="114">
        <v>1339843823</v>
      </c>
      <c r="G968" s="114">
        <v>305</v>
      </c>
      <c r="H968" s="114">
        <v>53</v>
      </c>
      <c r="I968" s="114">
        <v>358</v>
      </c>
      <c r="J968" s="114">
        <v>1277</v>
      </c>
      <c r="K968" s="114">
        <v>1635</v>
      </c>
      <c r="L968" s="114">
        <v>69</v>
      </c>
      <c r="M968" s="114">
        <v>83</v>
      </c>
      <c r="N968" s="114">
        <v>181</v>
      </c>
      <c r="O968" s="114">
        <v>198</v>
      </c>
      <c r="P968" s="114">
        <v>2014</v>
      </c>
      <c r="Q968" s="114">
        <v>18088</v>
      </c>
      <c r="R968" s="13" t="s">
        <v>25</v>
      </c>
      <c r="S968" s="13" t="s">
        <v>25</v>
      </c>
      <c r="T968" s="13" t="s">
        <v>25</v>
      </c>
    </row>
    <row r="969" spans="1:20" x14ac:dyDescent="0.3">
      <c r="A969" s="14">
        <v>43931.708333333336</v>
      </c>
      <c r="B969" s="13" t="s">
        <v>22</v>
      </c>
      <c r="C969" s="114">
        <v>17</v>
      </c>
      <c r="D969" s="13" t="s">
        <v>43</v>
      </c>
      <c r="E969" s="114">
        <v>4063947052</v>
      </c>
      <c r="F969" s="114">
        <v>1580514834</v>
      </c>
      <c r="G969" s="114">
        <v>59</v>
      </c>
      <c r="H969" s="114">
        <v>15</v>
      </c>
      <c r="I969" s="114">
        <v>74</v>
      </c>
      <c r="J969" s="114">
        <v>205</v>
      </c>
      <c r="K969" s="114">
        <v>279</v>
      </c>
      <c r="L969" s="114">
        <v>4</v>
      </c>
      <c r="M969" s="114">
        <v>5</v>
      </c>
      <c r="N969" s="114">
        <v>14</v>
      </c>
      <c r="O969" s="114">
        <v>15</v>
      </c>
      <c r="P969" s="114">
        <v>308</v>
      </c>
      <c r="Q969" s="114">
        <v>3696</v>
      </c>
      <c r="R969" s="13" t="s">
        <v>25</v>
      </c>
      <c r="S969" s="13" t="s">
        <v>25</v>
      </c>
      <c r="T969" s="13" t="s">
        <v>25</v>
      </c>
    </row>
    <row r="970" spans="1:20" x14ac:dyDescent="0.3">
      <c r="A970" s="14">
        <v>43931.708333333336</v>
      </c>
      <c r="B970" s="13" t="s">
        <v>22</v>
      </c>
      <c r="C970" s="114">
        <v>4</v>
      </c>
      <c r="D970" s="13" t="s">
        <v>44</v>
      </c>
      <c r="E970" s="114">
        <v>4649933453</v>
      </c>
      <c r="F970" s="114">
        <v>1135662422</v>
      </c>
      <c r="G970" s="114">
        <v>258</v>
      </c>
      <c r="H970" s="114">
        <v>58</v>
      </c>
      <c r="I970" s="114">
        <v>316</v>
      </c>
      <c r="J970" s="114">
        <v>1001</v>
      </c>
      <c r="K970" s="114">
        <v>1317</v>
      </c>
      <c r="L970" s="114">
        <v>2</v>
      </c>
      <c r="M970" s="114">
        <v>52</v>
      </c>
      <c r="N970" s="114">
        <v>447</v>
      </c>
      <c r="O970" s="114">
        <v>191</v>
      </c>
      <c r="P970" s="114">
        <v>1955</v>
      </c>
      <c r="Q970" s="114">
        <v>20866</v>
      </c>
      <c r="R970" s="13" t="s">
        <v>25</v>
      </c>
      <c r="S970" s="13" t="s">
        <v>25</v>
      </c>
      <c r="T970" s="13" t="s">
        <v>25</v>
      </c>
    </row>
    <row r="971" spans="1:20" x14ac:dyDescent="0.3">
      <c r="A971" s="14">
        <v>43931.708333333336</v>
      </c>
      <c r="B971" s="13" t="s">
        <v>22</v>
      </c>
      <c r="C971" s="114">
        <v>18</v>
      </c>
      <c r="D971" s="13" t="s">
        <v>45</v>
      </c>
      <c r="E971" s="114">
        <v>3890597598</v>
      </c>
      <c r="F971" s="114">
        <v>1659440194</v>
      </c>
      <c r="G971" s="114">
        <v>168</v>
      </c>
      <c r="H971" s="114">
        <v>14</v>
      </c>
      <c r="I971" s="114">
        <v>182</v>
      </c>
      <c r="J971" s="114">
        <v>604</v>
      </c>
      <c r="K971" s="114">
        <v>786</v>
      </c>
      <c r="L971" s="114">
        <v>21</v>
      </c>
      <c r="M971" s="114">
        <v>27</v>
      </c>
      <c r="N971" s="114">
        <v>50</v>
      </c>
      <c r="O971" s="114">
        <v>65</v>
      </c>
      <c r="P971" s="114">
        <v>901</v>
      </c>
      <c r="Q971" s="114">
        <v>16637</v>
      </c>
      <c r="R971" s="13" t="s">
        <v>25</v>
      </c>
      <c r="S971" s="13" t="s">
        <v>25</v>
      </c>
      <c r="T971" s="13" t="s">
        <v>25</v>
      </c>
    </row>
    <row r="972" spans="1:20" x14ac:dyDescent="0.3">
      <c r="A972" s="14">
        <v>43931.708333333336</v>
      </c>
      <c r="B972" s="13" t="s">
        <v>22</v>
      </c>
      <c r="C972" s="114">
        <v>15</v>
      </c>
      <c r="D972" s="13" t="s">
        <v>46</v>
      </c>
      <c r="E972" s="114">
        <v>4083956555</v>
      </c>
      <c r="F972" s="114">
        <v>1425084984</v>
      </c>
      <c r="G972" s="114">
        <v>600</v>
      </c>
      <c r="H972" s="114">
        <v>90</v>
      </c>
      <c r="I972" s="114">
        <v>690</v>
      </c>
      <c r="J972" s="114">
        <v>2273</v>
      </c>
      <c r="K972" s="114">
        <v>2963</v>
      </c>
      <c r="L972" s="114">
        <v>90</v>
      </c>
      <c r="M972" s="114">
        <v>98</v>
      </c>
      <c r="N972" s="114">
        <v>248</v>
      </c>
      <c r="O972" s="114">
        <v>231</v>
      </c>
      <c r="P972" s="114">
        <v>3442</v>
      </c>
      <c r="Q972" s="114">
        <v>31745</v>
      </c>
      <c r="R972" s="13" t="s">
        <v>25</v>
      </c>
      <c r="S972" s="13" t="s">
        <v>25</v>
      </c>
      <c r="T972" s="13" t="s">
        <v>25</v>
      </c>
    </row>
    <row r="973" spans="1:20" x14ac:dyDescent="0.3">
      <c r="A973" s="14">
        <v>43931.708333333336</v>
      </c>
      <c r="B973" s="13" t="s">
        <v>22</v>
      </c>
      <c r="C973" s="114">
        <v>8</v>
      </c>
      <c r="D973" s="13" t="s">
        <v>96</v>
      </c>
      <c r="E973" s="114">
        <v>4449436681</v>
      </c>
      <c r="F973" s="114">
        <v>113417208</v>
      </c>
      <c r="G973" s="114">
        <v>3596</v>
      </c>
      <c r="H973" s="114">
        <v>349</v>
      </c>
      <c r="I973" s="114">
        <v>3945</v>
      </c>
      <c r="J973" s="114">
        <v>9405</v>
      </c>
      <c r="K973" s="114">
        <v>13350</v>
      </c>
      <c r="L973" s="114">
        <v>92</v>
      </c>
      <c r="M973" s="114">
        <v>451</v>
      </c>
      <c r="N973" s="114">
        <v>3381</v>
      </c>
      <c r="O973" s="114">
        <v>2397</v>
      </c>
      <c r="P973" s="114">
        <v>19128</v>
      </c>
      <c r="Q973" s="114">
        <v>85884</v>
      </c>
      <c r="R973" s="13" t="s">
        <v>25</v>
      </c>
      <c r="S973" s="13" t="s">
        <v>25</v>
      </c>
      <c r="T973" s="13" t="s">
        <v>25</v>
      </c>
    </row>
    <row r="974" spans="1:20" x14ac:dyDescent="0.3">
      <c r="A974" s="14">
        <v>43931.708333333336</v>
      </c>
      <c r="B974" s="13" t="s">
        <v>22</v>
      </c>
      <c r="C974" s="114">
        <v>6</v>
      </c>
      <c r="D974" s="13" t="s">
        <v>47</v>
      </c>
      <c r="E974" s="114">
        <v>456494354</v>
      </c>
      <c r="F974" s="114">
        <v>1376813649</v>
      </c>
      <c r="G974" s="114">
        <v>167</v>
      </c>
      <c r="H974" s="114">
        <v>33</v>
      </c>
      <c r="I974" s="114">
        <v>200</v>
      </c>
      <c r="J974" s="114">
        <v>1198</v>
      </c>
      <c r="K974" s="114">
        <v>1398</v>
      </c>
      <c r="L974" s="114">
        <v>8</v>
      </c>
      <c r="M974" s="114">
        <v>50</v>
      </c>
      <c r="N974" s="114">
        <v>772</v>
      </c>
      <c r="O974" s="114">
        <v>179</v>
      </c>
      <c r="P974" s="114">
        <v>2349</v>
      </c>
      <c r="Q974" s="114">
        <v>28097</v>
      </c>
      <c r="R974" s="13" t="s">
        <v>25</v>
      </c>
      <c r="S974" s="13" t="s">
        <v>25</v>
      </c>
      <c r="T974" s="13" t="s">
        <v>25</v>
      </c>
    </row>
    <row r="975" spans="1:20" x14ac:dyDescent="0.3">
      <c r="A975" s="14">
        <v>43931.708333333336</v>
      </c>
      <c r="B975" s="13" t="s">
        <v>22</v>
      </c>
      <c r="C975" s="114">
        <v>12</v>
      </c>
      <c r="D975" s="13" t="s">
        <v>48</v>
      </c>
      <c r="E975" s="114">
        <v>4189277044</v>
      </c>
      <c r="F975" s="114">
        <v>1248366722</v>
      </c>
      <c r="G975" s="114">
        <v>1236</v>
      </c>
      <c r="H975" s="114">
        <v>201</v>
      </c>
      <c r="I975" s="114">
        <v>1437</v>
      </c>
      <c r="J975" s="114">
        <v>2196</v>
      </c>
      <c r="K975" s="114">
        <v>3633</v>
      </c>
      <c r="L975" s="114">
        <v>101</v>
      </c>
      <c r="M975" s="114">
        <v>154</v>
      </c>
      <c r="N975" s="114">
        <v>687</v>
      </c>
      <c r="O975" s="114">
        <v>263</v>
      </c>
      <c r="P975" s="114">
        <v>4583</v>
      </c>
      <c r="Q975" s="114">
        <v>61769</v>
      </c>
      <c r="R975" s="13" t="s">
        <v>25</v>
      </c>
      <c r="S975" s="13" t="s">
        <v>25</v>
      </c>
      <c r="T975" s="13" t="s">
        <v>25</v>
      </c>
    </row>
    <row r="976" spans="1:20" x14ac:dyDescent="0.3">
      <c r="A976" s="14">
        <v>43931.708333333336</v>
      </c>
      <c r="B976" s="13" t="s">
        <v>22</v>
      </c>
      <c r="C976" s="114">
        <v>7</v>
      </c>
      <c r="D976" s="13" t="s">
        <v>49</v>
      </c>
      <c r="E976" s="114">
        <v>4441149315</v>
      </c>
      <c r="F976" s="114">
        <v>89326992</v>
      </c>
      <c r="G976" s="114">
        <v>1076</v>
      </c>
      <c r="H976" s="114">
        <v>151</v>
      </c>
      <c r="I976" s="114">
        <v>1227</v>
      </c>
      <c r="J976" s="114">
        <v>2074</v>
      </c>
      <c r="K976" s="114">
        <v>3301</v>
      </c>
      <c r="L976" s="114">
        <v>48</v>
      </c>
      <c r="M976" s="114">
        <v>171</v>
      </c>
      <c r="N976" s="114">
        <v>1181</v>
      </c>
      <c r="O976" s="114">
        <v>709</v>
      </c>
      <c r="P976" s="114">
        <v>5191</v>
      </c>
      <c r="Q976" s="114">
        <v>19514</v>
      </c>
      <c r="R976" s="13" t="s">
        <v>25</v>
      </c>
      <c r="S976" s="13" t="s">
        <v>25</v>
      </c>
      <c r="T976" s="13" t="s">
        <v>25</v>
      </c>
    </row>
    <row r="977" spans="1:20" x14ac:dyDescent="0.3">
      <c r="A977" s="14">
        <v>43931.708333333336</v>
      </c>
      <c r="B977" s="13" t="s">
        <v>22</v>
      </c>
      <c r="C977" s="114">
        <v>3</v>
      </c>
      <c r="D977" s="13" t="s">
        <v>50</v>
      </c>
      <c r="E977" s="114">
        <v>4546679409</v>
      </c>
      <c r="F977" s="114">
        <v>9190347404</v>
      </c>
      <c r="G977" s="114">
        <v>11877</v>
      </c>
      <c r="H977" s="114">
        <v>1202</v>
      </c>
      <c r="I977" s="114">
        <v>13079</v>
      </c>
      <c r="J977" s="114">
        <v>16451</v>
      </c>
      <c r="K977" s="114">
        <v>29530</v>
      </c>
      <c r="L977" s="114">
        <v>456</v>
      </c>
      <c r="M977" s="114">
        <v>1246</v>
      </c>
      <c r="N977" s="114">
        <v>16280</v>
      </c>
      <c r="O977" s="114">
        <v>10238</v>
      </c>
      <c r="P977" s="114">
        <v>56048</v>
      </c>
      <c r="Q977" s="114">
        <v>186325</v>
      </c>
      <c r="R977" s="13" t="s">
        <v>25</v>
      </c>
      <c r="S977" s="13" t="s">
        <v>25</v>
      </c>
      <c r="T977" s="13" t="s">
        <v>25</v>
      </c>
    </row>
    <row r="978" spans="1:20" x14ac:dyDescent="0.3">
      <c r="A978" s="14">
        <v>43931.708333333336</v>
      </c>
      <c r="B978" s="13" t="s">
        <v>22</v>
      </c>
      <c r="C978" s="114">
        <v>11</v>
      </c>
      <c r="D978" s="13" t="s">
        <v>51</v>
      </c>
      <c r="E978" s="114">
        <v>4361675973</v>
      </c>
      <c r="F978" s="114">
        <v>135188753</v>
      </c>
      <c r="G978" s="114">
        <v>925</v>
      </c>
      <c r="H978" s="114">
        <v>127</v>
      </c>
      <c r="I978" s="114">
        <v>1052</v>
      </c>
      <c r="J978" s="114">
        <v>2264</v>
      </c>
      <c r="K978" s="114">
        <v>3316</v>
      </c>
      <c r="L978" s="114">
        <v>-85</v>
      </c>
      <c r="M978" s="114">
        <v>129</v>
      </c>
      <c r="N978" s="114">
        <v>1086</v>
      </c>
      <c r="O978" s="114">
        <v>682</v>
      </c>
      <c r="P978" s="114">
        <v>5084</v>
      </c>
      <c r="Q978" s="114">
        <v>18970</v>
      </c>
      <c r="R978" s="13" t="s">
        <v>25</v>
      </c>
      <c r="S978" s="13" t="s">
        <v>25</v>
      </c>
      <c r="T978" s="13" t="s">
        <v>25</v>
      </c>
    </row>
    <row r="979" spans="1:20" x14ac:dyDescent="0.3">
      <c r="A979" s="14">
        <v>43931.708333333336</v>
      </c>
      <c r="B979" s="13" t="s">
        <v>22</v>
      </c>
      <c r="C979" s="114">
        <v>14</v>
      </c>
      <c r="D979" s="13" t="s">
        <v>52</v>
      </c>
      <c r="E979" s="114">
        <v>4155774754</v>
      </c>
      <c r="F979" s="114">
        <v>1465916051</v>
      </c>
      <c r="G979" s="114">
        <v>28</v>
      </c>
      <c r="H979" s="114">
        <v>4</v>
      </c>
      <c r="I979" s="114">
        <v>32</v>
      </c>
      <c r="J979" s="114">
        <v>161</v>
      </c>
      <c r="K979" s="114">
        <v>193</v>
      </c>
      <c r="L979" s="114">
        <v>4</v>
      </c>
      <c r="M979" s="114">
        <v>9</v>
      </c>
      <c r="N979" s="114">
        <v>37</v>
      </c>
      <c r="O979" s="114">
        <v>13</v>
      </c>
      <c r="P979" s="114">
        <v>243</v>
      </c>
      <c r="Q979" s="114">
        <v>2069</v>
      </c>
      <c r="R979" s="13" t="s">
        <v>25</v>
      </c>
      <c r="S979" s="13" t="s">
        <v>112</v>
      </c>
      <c r="T979" s="13" t="s">
        <v>113</v>
      </c>
    </row>
    <row r="980" spans="1:20" x14ac:dyDescent="0.3">
      <c r="A980" s="14">
        <v>43931.708333333336</v>
      </c>
      <c r="B980" s="13" t="s">
        <v>22</v>
      </c>
      <c r="C980" s="114">
        <v>1</v>
      </c>
      <c r="D980" s="13" t="s">
        <v>53</v>
      </c>
      <c r="E980" s="114">
        <v>450732745</v>
      </c>
      <c r="F980" s="114">
        <v>7680687483</v>
      </c>
      <c r="G980" s="114">
        <v>3497</v>
      </c>
      <c r="H980" s="114">
        <v>394</v>
      </c>
      <c r="I980" s="114">
        <v>3891</v>
      </c>
      <c r="J980" s="114">
        <v>7685</v>
      </c>
      <c r="K980" s="114">
        <v>11576</v>
      </c>
      <c r="L980" s="114">
        <v>240</v>
      </c>
      <c r="M980" s="114">
        <v>490</v>
      </c>
      <c r="N980" s="114">
        <v>1904</v>
      </c>
      <c r="O980" s="114">
        <v>1532</v>
      </c>
      <c r="P980" s="114">
        <v>15012</v>
      </c>
      <c r="Q980" s="114">
        <v>57457</v>
      </c>
      <c r="R980" s="13" t="s">
        <v>25</v>
      </c>
      <c r="S980" s="13" t="s">
        <v>25</v>
      </c>
      <c r="T980" s="13" t="s">
        <v>25</v>
      </c>
    </row>
    <row r="981" spans="1:20" x14ac:dyDescent="0.3">
      <c r="A981" s="14">
        <v>43931.708333333336</v>
      </c>
      <c r="B981" s="13" t="s">
        <v>22</v>
      </c>
      <c r="C981" s="114">
        <v>16</v>
      </c>
      <c r="D981" s="13" t="s">
        <v>54</v>
      </c>
      <c r="E981" s="114">
        <v>4112559576</v>
      </c>
      <c r="F981" s="114">
        <v>1686736689</v>
      </c>
      <c r="G981" s="114">
        <v>631</v>
      </c>
      <c r="H981" s="114">
        <v>80</v>
      </c>
      <c r="I981" s="114">
        <v>711</v>
      </c>
      <c r="J981" s="114">
        <v>1625</v>
      </c>
      <c r="K981" s="114">
        <v>2336</v>
      </c>
      <c r="L981" s="114">
        <v>35</v>
      </c>
      <c r="M981" s="114">
        <v>93</v>
      </c>
      <c r="N981" s="114">
        <v>235</v>
      </c>
      <c r="O981" s="114">
        <v>238</v>
      </c>
      <c r="P981" s="114">
        <v>2809</v>
      </c>
      <c r="Q981" s="114">
        <v>27812</v>
      </c>
      <c r="R981" s="13" t="s">
        <v>25</v>
      </c>
      <c r="S981" s="13" t="s">
        <v>25</v>
      </c>
      <c r="T981" s="13" t="s">
        <v>25</v>
      </c>
    </row>
    <row r="982" spans="1:20" x14ac:dyDescent="0.3">
      <c r="A982" s="14">
        <v>43931.708333333336</v>
      </c>
      <c r="B982" s="13" t="s">
        <v>22</v>
      </c>
      <c r="C982" s="114">
        <v>20</v>
      </c>
      <c r="D982" s="13" t="s">
        <v>55</v>
      </c>
      <c r="E982" s="114">
        <v>3921531192</v>
      </c>
      <c r="F982" s="114">
        <v>9110616306</v>
      </c>
      <c r="G982" s="114">
        <v>107</v>
      </c>
      <c r="H982" s="114">
        <v>26</v>
      </c>
      <c r="I982" s="114">
        <v>133</v>
      </c>
      <c r="J982" s="114">
        <v>743</v>
      </c>
      <c r="K982" s="114">
        <v>876</v>
      </c>
      <c r="L982" s="114">
        <v>0</v>
      </c>
      <c r="M982" s="114">
        <v>37</v>
      </c>
      <c r="N982" s="114">
        <v>118</v>
      </c>
      <c r="O982" s="114">
        <v>69</v>
      </c>
      <c r="P982" s="114">
        <v>1063</v>
      </c>
      <c r="Q982" s="114">
        <v>9444</v>
      </c>
      <c r="R982" s="13" t="s">
        <v>25</v>
      </c>
      <c r="S982" s="13" t="s">
        <v>25</v>
      </c>
      <c r="T982" s="13" t="s">
        <v>25</v>
      </c>
    </row>
    <row r="983" spans="1:20" x14ac:dyDescent="0.3">
      <c r="A983" s="14">
        <v>43931.708333333336</v>
      </c>
      <c r="B983" s="13" t="s">
        <v>22</v>
      </c>
      <c r="C983" s="114">
        <v>19</v>
      </c>
      <c r="D983" s="13" t="s">
        <v>56</v>
      </c>
      <c r="E983" s="114">
        <v>3811569725</v>
      </c>
      <c r="F983" s="114">
        <v>133623567</v>
      </c>
      <c r="G983" s="114">
        <v>568</v>
      </c>
      <c r="H983" s="114">
        <v>62</v>
      </c>
      <c r="I983" s="114">
        <v>630</v>
      </c>
      <c r="J983" s="114">
        <v>1337</v>
      </c>
      <c r="K983" s="114">
        <v>1967</v>
      </c>
      <c r="L983" s="114">
        <v>25</v>
      </c>
      <c r="M983" s="114">
        <v>70</v>
      </c>
      <c r="N983" s="114">
        <v>187</v>
      </c>
      <c r="O983" s="114">
        <v>148</v>
      </c>
      <c r="P983" s="114">
        <v>2302</v>
      </c>
      <c r="Q983" s="114">
        <v>31156</v>
      </c>
      <c r="R983" s="13" t="s">
        <v>25</v>
      </c>
      <c r="S983" s="13" t="s">
        <v>25</v>
      </c>
      <c r="T983" s="13" t="s">
        <v>25</v>
      </c>
    </row>
    <row r="984" spans="1:20" x14ac:dyDescent="0.3">
      <c r="A984" s="14">
        <v>43931.708333333336</v>
      </c>
      <c r="B984" s="13" t="s">
        <v>22</v>
      </c>
      <c r="C984" s="114">
        <v>9</v>
      </c>
      <c r="D984" s="13" t="s">
        <v>57</v>
      </c>
      <c r="E984" s="114">
        <v>4376923077</v>
      </c>
      <c r="F984" s="114">
        <v>1125588885</v>
      </c>
      <c r="G984" s="114">
        <v>1011</v>
      </c>
      <c r="H984" s="114">
        <v>256</v>
      </c>
      <c r="I984" s="114">
        <v>1267</v>
      </c>
      <c r="J984" s="114">
        <v>4555</v>
      </c>
      <c r="K984" s="114">
        <v>5822</v>
      </c>
      <c r="L984" s="114">
        <v>119</v>
      </c>
      <c r="M984" s="114">
        <v>175</v>
      </c>
      <c r="N984" s="114">
        <v>451</v>
      </c>
      <c r="O984" s="114">
        <v>454</v>
      </c>
      <c r="P984" s="114">
        <v>6727</v>
      </c>
      <c r="Q984" s="114">
        <v>72001</v>
      </c>
      <c r="R984" s="13" t="s">
        <v>25</v>
      </c>
      <c r="S984" s="13" t="s">
        <v>25</v>
      </c>
      <c r="T984" s="13" t="s">
        <v>25</v>
      </c>
    </row>
    <row r="985" spans="1:20" x14ac:dyDescent="0.3">
      <c r="A985" s="14">
        <v>43931.708333333336</v>
      </c>
      <c r="B985" s="13" t="s">
        <v>22</v>
      </c>
      <c r="C985" s="114">
        <v>4</v>
      </c>
      <c r="D985" s="13" t="s">
        <v>58</v>
      </c>
      <c r="E985" s="114">
        <v>4606893511</v>
      </c>
      <c r="F985" s="114">
        <v>1112123097</v>
      </c>
      <c r="G985" s="114">
        <v>335</v>
      </c>
      <c r="H985" s="114">
        <v>70</v>
      </c>
      <c r="I985" s="114">
        <v>405</v>
      </c>
      <c r="J985" s="114">
        <v>1589</v>
      </c>
      <c r="K985" s="114">
        <v>1994</v>
      </c>
      <c r="L985" s="114">
        <v>16</v>
      </c>
      <c r="M985" s="114">
        <v>108</v>
      </c>
      <c r="N985" s="114">
        <v>547</v>
      </c>
      <c r="O985" s="114">
        <v>275</v>
      </c>
      <c r="P985" s="114">
        <v>2816</v>
      </c>
      <c r="Q985" s="114">
        <v>14981</v>
      </c>
      <c r="R985" s="13" t="s">
        <v>25</v>
      </c>
      <c r="S985" s="13" t="s">
        <v>25</v>
      </c>
      <c r="T985" s="13" t="s">
        <v>25</v>
      </c>
    </row>
    <row r="986" spans="1:20" x14ac:dyDescent="0.3">
      <c r="A986" s="14">
        <v>43931.708333333336</v>
      </c>
      <c r="B986" s="13" t="s">
        <v>22</v>
      </c>
      <c r="C986" s="114">
        <v>10</v>
      </c>
      <c r="D986" s="13" t="s">
        <v>59</v>
      </c>
      <c r="E986" s="114">
        <v>4310675841</v>
      </c>
      <c r="F986" s="114">
        <v>1238824698</v>
      </c>
      <c r="G986" s="114">
        <v>146</v>
      </c>
      <c r="H986" s="114">
        <v>39</v>
      </c>
      <c r="I986" s="114">
        <v>185</v>
      </c>
      <c r="J986" s="114">
        <v>567</v>
      </c>
      <c r="K986" s="114">
        <v>752</v>
      </c>
      <c r="L986" s="114">
        <v>-40</v>
      </c>
      <c r="M986" s="114">
        <v>4</v>
      </c>
      <c r="N986" s="114">
        <v>498</v>
      </c>
      <c r="O986" s="114">
        <v>52</v>
      </c>
      <c r="P986" s="114">
        <v>1302</v>
      </c>
      <c r="Q986" s="114">
        <v>16325</v>
      </c>
      <c r="R986" s="13" t="s">
        <v>25</v>
      </c>
      <c r="S986" s="13" t="s">
        <v>25</v>
      </c>
      <c r="T986" s="13" t="s">
        <v>25</v>
      </c>
    </row>
    <row r="987" spans="1:20" x14ac:dyDescent="0.3">
      <c r="A987" s="14">
        <v>43931.708333333336</v>
      </c>
      <c r="B987" s="13" t="s">
        <v>22</v>
      </c>
      <c r="C987" s="114">
        <v>2</v>
      </c>
      <c r="D987" s="13" t="s">
        <v>60</v>
      </c>
      <c r="E987" s="114">
        <v>4573750286</v>
      </c>
      <c r="F987" s="114">
        <v>7320149366</v>
      </c>
      <c r="G987" s="114">
        <v>131</v>
      </c>
      <c r="H987" s="114">
        <v>16</v>
      </c>
      <c r="I987" s="114">
        <v>147</v>
      </c>
      <c r="J987" s="114">
        <v>455</v>
      </c>
      <c r="K987" s="114">
        <v>602</v>
      </c>
      <c r="L987" s="114">
        <v>-7</v>
      </c>
      <c r="M987" s="114">
        <v>11</v>
      </c>
      <c r="N987" s="114">
        <v>170</v>
      </c>
      <c r="O987" s="114">
        <v>107</v>
      </c>
      <c r="P987" s="114">
        <v>879</v>
      </c>
      <c r="Q987" s="114">
        <v>3328</v>
      </c>
      <c r="R987" s="13" t="s">
        <v>25</v>
      </c>
      <c r="S987" s="13" t="s">
        <v>25</v>
      </c>
      <c r="T987" s="13" t="s">
        <v>25</v>
      </c>
    </row>
    <row r="988" spans="1:20" x14ac:dyDescent="0.3">
      <c r="A988" s="14">
        <v>43931.708333333336</v>
      </c>
      <c r="B988" s="13" t="s">
        <v>22</v>
      </c>
      <c r="C988" s="114">
        <v>5</v>
      </c>
      <c r="D988" s="13" t="s">
        <v>61</v>
      </c>
      <c r="E988" s="114">
        <v>4543490485</v>
      </c>
      <c r="F988" s="114">
        <v>1233845213</v>
      </c>
      <c r="G988" s="114">
        <v>1521</v>
      </c>
      <c r="H988" s="114">
        <v>257</v>
      </c>
      <c r="I988" s="114">
        <v>1778</v>
      </c>
      <c r="J988" s="114">
        <v>8869</v>
      </c>
      <c r="K988" s="114">
        <v>10647</v>
      </c>
      <c r="L988" s="114">
        <v>198</v>
      </c>
      <c r="M988" s="114">
        <v>488</v>
      </c>
      <c r="N988" s="114">
        <v>1981</v>
      </c>
      <c r="O988" s="114">
        <v>793</v>
      </c>
      <c r="P988" s="114">
        <v>13421</v>
      </c>
      <c r="Q988" s="114">
        <v>180700</v>
      </c>
      <c r="R988" s="13" t="s">
        <v>25</v>
      </c>
      <c r="S988" s="13" t="s">
        <v>25</v>
      </c>
      <c r="T988" s="13" t="s">
        <v>25</v>
      </c>
    </row>
    <row r="989" spans="1:20" x14ac:dyDescent="0.3">
      <c r="A989" s="14">
        <v>43932.708333333336</v>
      </c>
      <c r="B989" s="13" t="s">
        <v>22</v>
      </c>
      <c r="C989" s="114">
        <v>13</v>
      </c>
      <c r="D989" s="13" t="s">
        <v>42</v>
      </c>
      <c r="E989" s="114">
        <v>4235122196</v>
      </c>
      <c r="F989" s="114">
        <v>1339843823</v>
      </c>
      <c r="G989" s="114">
        <v>315</v>
      </c>
      <c r="H989" s="114">
        <v>54</v>
      </c>
      <c r="I989" s="114">
        <v>369</v>
      </c>
      <c r="J989" s="114">
        <v>1355</v>
      </c>
      <c r="K989" s="114">
        <v>1724</v>
      </c>
      <c r="L989" s="114">
        <v>89</v>
      </c>
      <c r="M989" s="114">
        <v>106</v>
      </c>
      <c r="N989" s="114">
        <v>190</v>
      </c>
      <c r="O989" s="114">
        <v>206</v>
      </c>
      <c r="P989" s="114">
        <v>2120</v>
      </c>
      <c r="Q989" s="114">
        <v>19441</v>
      </c>
      <c r="R989" s="13" t="s">
        <v>25</v>
      </c>
      <c r="S989" s="13" t="s">
        <v>25</v>
      </c>
      <c r="T989" s="13" t="s">
        <v>25</v>
      </c>
    </row>
    <row r="990" spans="1:20" x14ac:dyDescent="0.3">
      <c r="A990" s="14">
        <v>43932.708333333336</v>
      </c>
      <c r="B990" s="13" t="s">
        <v>22</v>
      </c>
      <c r="C990" s="114">
        <v>17</v>
      </c>
      <c r="D990" s="13" t="s">
        <v>43</v>
      </c>
      <c r="E990" s="114">
        <v>4063947052</v>
      </c>
      <c r="F990" s="114">
        <v>1580514834</v>
      </c>
      <c r="G990" s="114">
        <v>60</v>
      </c>
      <c r="H990" s="114">
        <v>12</v>
      </c>
      <c r="I990" s="114">
        <v>72</v>
      </c>
      <c r="J990" s="114">
        <v>209</v>
      </c>
      <c r="K990" s="114">
        <v>281</v>
      </c>
      <c r="L990" s="114">
        <v>2</v>
      </c>
      <c r="M990" s="114">
        <v>4</v>
      </c>
      <c r="N990" s="114">
        <v>14</v>
      </c>
      <c r="O990" s="114">
        <v>17</v>
      </c>
      <c r="P990" s="114">
        <v>312</v>
      </c>
      <c r="Q990" s="114">
        <v>4050</v>
      </c>
      <c r="R990" s="13" t="s">
        <v>25</v>
      </c>
      <c r="S990" s="13" t="s">
        <v>25</v>
      </c>
      <c r="T990" s="13" t="s">
        <v>25</v>
      </c>
    </row>
    <row r="991" spans="1:20" x14ac:dyDescent="0.3">
      <c r="A991" s="14">
        <v>43932.708333333336</v>
      </c>
      <c r="B991" s="13" t="s">
        <v>22</v>
      </c>
      <c r="C991" s="114">
        <v>4</v>
      </c>
      <c r="D991" s="13" t="s">
        <v>44</v>
      </c>
      <c r="E991" s="114">
        <v>4649933453</v>
      </c>
      <c r="F991" s="114">
        <v>1135662422</v>
      </c>
      <c r="G991" s="114">
        <v>246</v>
      </c>
      <c r="H991" s="114">
        <v>56</v>
      </c>
      <c r="I991" s="114">
        <v>302</v>
      </c>
      <c r="J991" s="114">
        <v>967</v>
      </c>
      <c r="K991" s="114">
        <v>1269</v>
      </c>
      <c r="L991" s="114">
        <v>-48</v>
      </c>
      <c r="M991" s="114">
        <v>2</v>
      </c>
      <c r="N991" s="114">
        <v>488</v>
      </c>
      <c r="O991" s="114">
        <v>200</v>
      </c>
      <c r="P991" s="114">
        <v>1957</v>
      </c>
      <c r="Q991" s="114">
        <v>22186</v>
      </c>
      <c r="R991" s="13" t="s">
        <v>25</v>
      </c>
      <c r="S991" s="13" t="s">
        <v>25</v>
      </c>
      <c r="T991" s="13" t="s">
        <v>25</v>
      </c>
    </row>
    <row r="992" spans="1:20" x14ac:dyDescent="0.3">
      <c r="A992" s="14">
        <v>43932.708333333336</v>
      </c>
      <c r="B992" s="13" t="s">
        <v>22</v>
      </c>
      <c r="C992" s="114">
        <v>18</v>
      </c>
      <c r="D992" s="13" t="s">
        <v>45</v>
      </c>
      <c r="E992" s="114">
        <v>3890597598</v>
      </c>
      <c r="F992" s="114">
        <v>1659440194</v>
      </c>
      <c r="G992" s="114">
        <v>169</v>
      </c>
      <c r="H992" s="114">
        <v>15</v>
      </c>
      <c r="I992" s="114">
        <v>184</v>
      </c>
      <c r="J992" s="114">
        <v>608</v>
      </c>
      <c r="K992" s="114">
        <v>792</v>
      </c>
      <c r="L992" s="114">
        <v>6</v>
      </c>
      <c r="M992" s="114">
        <v>14</v>
      </c>
      <c r="N992" s="114">
        <v>57</v>
      </c>
      <c r="O992" s="114">
        <v>66</v>
      </c>
      <c r="P992" s="114">
        <v>915</v>
      </c>
      <c r="Q992" s="114">
        <v>17493</v>
      </c>
      <c r="R992" s="13" t="s">
        <v>25</v>
      </c>
      <c r="S992" s="13" t="s">
        <v>25</v>
      </c>
      <c r="T992" s="13" t="s">
        <v>25</v>
      </c>
    </row>
    <row r="993" spans="1:20" x14ac:dyDescent="0.3">
      <c r="A993" s="14">
        <v>43932.708333333336</v>
      </c>
      <c r="B993" s="13" t="s">
        <v>22</v>
      </c>
      <c r="C993" s="114">
        <v>15</v>
      </c>
      <c r="D993" s="13" t="s">
        <v>46</v>
      </c>
      <c r="E993" s="114">
        <v>4083956555</v>
      </c>
      <c r="F993" s="114">
        <v>1425084984</v>
      </c>
      <c r="G993" s="114">
        <v>582</v>
      </c>
      <c r="H993" s="114">
        <v>85</v>
      </c>
      <c r="I993" s="114">
        <v>667</v>
      </c>
      <c r="J993" s="114">
        <v>2335</v>
      </c>
      <c r="K993" s="114">
        <v>3002</v>
      </c>
      <c r="L993" s="114">
        <v>39</v>
      </c>
      <c r="M993" s="114">
        <v>75</v>
      </c>
      <c r="N993" s="114">
        <v>277</v>
      </c>
      <c r="O993" s="114">
        <v>238</v>
      </c>
      <c r="P993" s="114">
        <v>3517</v>
      </c>
      <c r="Q993" s="114">
        <v>33781</v>
      </c>
      <c r="R993" s="13" t="s">
        <v>25</v>
      </c>
      <c r="S993" s="13" t="s">
        <v>25</v>
      </c>
      <c r="T993" s="13" t="s">
        <v>25</v>
      </c>
    </row>
    <row r="994" spans="1:20" x14ac:dyDescent="0.3">
      <c r="A994" s="14">
        <v>43932.708333333336</v>
      </c>
      <c r="B994" s="13" t="s">
        <v>22</v>
      </c>
      <c r="C994" s="114">
        <v>8</v>
      </c>
      <c r="D994" s="13" t="s">
        <v>96</v>
      </c>
      <c r="E994" s="114">
        <v>4449436681</v>
      </c>
      <c r="F994" s="114">
        <v>113417208</v>
      </c>
      <c r="G994" s="114">
        <v>3530</v>
      </c>
      <c r="H994" s="114">
        <v>341</v>
      </c>
      <c r="I994" s="114">
        <v>3871</v>
      </c>
      <c r="J994" s="114">
        <v>9624</v>
      </c>
      <c r="K994" s="114">
        <v>13495</v>
      </c>
      <c r="L994" s="114">
        <v>145</v>
      </c>
      <c r="M994" s="114">
        <v>507</v>
      </c>
      <c r="N994" s="114">
        <v>3659</v>
      </c>
      <c r="O994" s="114">
        <v>2481</v>
      </c>
      <c r="P994" s="114">
        <v>19635</v>
      </c>
      <c r="Q994" s="114">
        <v>91759</v>
      </c>
      <c r="R994" s="13" t="s">
        <v>25</v>
      </c>
      <c r="S994" s="13" t="s">
        <v>25</v>
      </c>
      <c r="T994" s="13" t="s">
        <v>25</v>
      </c>
    </row>
    <row r="995" spans="1:20" x14ac:dyDescent="0.3">
      <c r="A995" s="14">
        <v>43932.708333333336</v>
      </c>
      <c r="B995" s="13" t="s">
        <v>22</v>
      </c>
      <c r="C995" s="114">
        <v>6</v>
      </c>
      <c r="D995" s="13" t="s">
        <v>47</v>
      </c>
      <c r="E995" s="114">
        <v>456494354</v>
      </c>
      <c r="F995" s="114">
        <v>1376813649</v>
      </c>
      <c r="G995" s="114">
        <v>172</v>
      </c>
      <c r="H995" s="114">
        <v>28</v>
      </c>
      <c r="I995" s="114">
        <v>200</v>
      </c>
      <c r="J995" s="114">
        <v>1182</v>
      </c>
      <c r="K995" s="114">
        <v>1382</v>
      </c>
      <c r="L995" s="114">
        <v>-16</v>
      </c>
      <c r="M995" s="114">
        <v>44</v>
      </c>
      <c r="N995" s="114">
        <v>826</v>
      </c>
      <c r="O995" s="114">
        <v>185</v>
      </c>
      <c r="P995" s="114">
        <v>2393</v>
      </c>
      <c r="Q995" s="114">
        <v>29685</v>
      </c>
      <c r="R995" s="13" t="s">
        <v>25</v>
      </c>
      <c r="S995" s="13" t="s">
        <v>25</v>
      </c>
      <c r="T995" s="13" t="s">
        <v>25</v>
      </c>
    </row>
    <row r="996" spans="1:20" x14ac:dyDescent="0.3">
      <c r="A996" s="14">
        <v>43932.708333333336</v>
      </c>
      <c r="B996" s="13" t="s">
        <v>22</v>
      </c>
      <c r="C996" s="114">
        <v>12</v>
      </c>
      <c r="D996" s="13" t="s">
        <v>48</v>
      </c>
      <c r="E996" s="114">
        <v>4189277044</v>
      </c>
      <c r="F996" s="114">
        <v>1248366722</v>
      </c>
      <c r="G996" s="114">
        <v>1264</v>
      </c>
      <c r="H996" s="114">
        <v>203</v>
      </c>
      <c r="I996" s="114">
        <v>1467</v>
      </c>
      <c r="J996" s="114">
        <v>2263</v>
      </c>
      <c r="K996" s="114">
        <v>3730</v>
      </c>
      <c r="L996" s="114">
        <v>97</v>
      </c>
      <c r="M996" s="114">
        <v>140</v>
      </c>
      <c r="N996" s="114">
        <v>720</v>
      </c>
      <c r="O996" s="114">
        <v>273</v>
      </c>
      <c r="P996" s="114">
        <v>4723</v>
      </c>
      <c r="Q996" s="114">
        <v>65241</v>
      </c>
      <c r="R996" s="13" t="s">
        <v>25</v>
      </c>
      <c r="S996" s="13" t="s">
        <v>25</v>
      </c>
      <c r="T996" s="13" t="s">
        <v>25</v>
      </c>
    </row>
    <row r="997" spans="1:20" x14ac:dyDescent="0.3">
      <c r="A997" s="14">
        <v>43932.708333333336</v>
      </c>
      <c r="B997" s="13" t="s">
        <v>22</v>
      </c>
      <c r="C997" s="114">
        <v>7</v>
      </c>
      <c r="D997" s="13" t="s">
        <v>49</v>
      </c>
      <c r="E997" s="114">
        <v>4441149315</v>
      </c>
      <c r="F997" s="114">
        <v>89326992</v>
      </c>
      <c r="G997" s="114">
        <v>1003</v>
      </c>
      <c r="H997" s="114">
        <v>146</v>
      </c>
      <c r="I997" s="114">
        <v>1149</v>
      </c>
      <c r="J997" s="114">
        <v>2184</v>
      </c>
      <c r="K997" s="114">
        <v>3333</v>
      </c>
      <c r="L997" s="114">
        <v>32</v>
      </c>
      <c r="M997" s="114">
        <v>185</v>
      </c>
      <c r="N997" s="114">
        <v>1309</v>
      </c>
      <c r="O997" s="114">
        <v>734</v>
      </c>
      <c r="P997" s="114">
        <v>5376</v>
      </c>
      <c r="Q997" s="114">
        <v>20888</v>
      </c>
      <c r="R997" s="13" t="s">
        <v>25</v>
      </c>
      <c r="S997" s="13" t="s">
        <v>25</v>
      </c>
      <c r="T997" s="13" t="s">
        <v>25</v>
      </c>
    </row>
    <row r="998" spans="1:20" x14ac:dyDescent="0.3">
      <c r="A998" s="14">
        <v>43932.708333333336</v>
      </c>
      <c r="B998" s="13" t="s">
        <v>22</v>
      </c>
      <c r="C998" s="114">
        <v>3</v>
      </c>
      <c r="D998" s="13" t="s">
        <v>50</v>
      </c>
      <c r="E998" s="114">
        <v>4546679409</v>
      </c>
      <c r="F998" s="114">
        <v>9190347404</v>
      </c>
      <c r="G998" s="114">
        <v>12026</v>
      </c>
      <c r="H998" s="114">
        <v>1174</v>
      </c>
      <c r="I998" s="114">
        <v>13200</v>
      </c>
      <c r="J998" s="114">
        <v>17058</v>
      </c>
      <c r="K998" s="114">
        <v>30258</v>
      </c>
      <c r="L998" s="114">
        <v>728</v>
      </c>
      <c r="M998" s="114">
        <v>1544</v>
      </c>
      <c r="N998" s="114">
        <v>16823</v>
      </c>
      <c r="O998" s="114">
        <v>10511</v>
      </c>
      <c r="P998" s="114">
        <v>57592</v>
      </c>
      <c r="Q998" s="114">
        <v>196302</v>
      </c>
      <c r="R998" s="13" t="s">
        <v>25</v>
      </c>
      <c r="S998" s="13" t="s">
        <v>25</v>
      </c>
      <c r="T998" s="13" t="s">
        <v>25</v>
      </c>
    </row>
    <row r="999" spans="1:20" x14ac:dyDescent="0.3">
      <c r="A999" s="14">
        <v>43932.708333333336</v>
      </c>
      <c r="B999" s="13" t="s">
        <v>22</v>
      </c>
      <c r="C999" s="114">
        <v>11</v>
      </c>
      <c r="D999" s="13" t="s">
        <v>51</v>
      </c>
      <c r="E999" s="114">
        <v>4361675973</v>
      </c>
      <c r="F999" s="114">
        <v>135188753</v>
      </c>
      <c r="G999" s="114">
        <v>960</v>
      </c>
      <c r="H999" s="114">
        <v>118</v>
      </c>
      <c r="I999" s="114">
        <v>1078</v>
      </c>
      <c r="J999" s="114">
        <v>2153</v>
      </c>
      <c r="K999" s="114">
        <v>3231</v>
      </c>
      <c r="L999" s="114">
        <v>-85</v>
      </c>
      <c r="M999" s="114">
        <v>127</v>
      </c>
      <c r="N999" s="114">
        <v>1291</v>
      </c>
      <c r="O999" s="114">
        <v>689</v>
      </c>
      <c r="P999" s="114">
        <v>5211</v>
      </c>
      <c r="Q999" s="114">
        <v>20060</v>
      </c>
      <c r="R999" s="13" t="s">
        <v>25</v>
      </c>
      <c r="S999" s="13" t="s">
        <v>25</v>
      </c>
      <c r="T999" s="13" t="s">
        <v>25</v>
      </c>
    </row>
    <row r="1000" spans="1:20" x14ac:dyDescent="0.3">
      <c r="A1000" s="14">
        <v>43932.708333333336</v>
      </c>
      <c r="B1000" s="13" t="s">
        <v>22</v>
      </c>
      <c r="C1000" s="114">
        <v>14</v>
      </c>
      <c r="D1000" s="13" t="s">
        <v>52</v>
      </c>
      <c r="E1000" s="114">
        <v>4155774754</v>
      </c>
      <c r="F1000" s="114">
        <v>1465916051</v>
      </c>
      <c r="G1000" s="114">
        <v>28</v>
      </c>
      <c r="H1000" s="114">
        <v>4</v>
      </c>
      <c r="I1000" s="114">
        <v>32</v>
      </c>
      <c r="J1000" s="114">
        <v>161</v>
      </c>
      <c r="K1000" s="114">
        <v>193</v>
      </c>
      <c r="L1000" s="114">
        <v>0</v>
      </c>
      <c r="M1000" s="114">
        <v>3</v>
      </c>
      <c r="N1000" s="114">
        <v>39</v>
      </c>
      <c r="O1000" s="114">
        <v>14</v>
      </c>
      <c r="P1000" s="114">
        <v>246</v>
      </c>
      <c r="Q1000" s="114">
        <v>2201</v>
      </c>
      <c r="R1000" s="13" t="s">
        <v>25</v>
      </c>
      <c r="S1000" s="13" t="s">
        <v>25</v>
      </c>
      <c r="T1000" s="13" t="s">
        <v>25</v>
      </c>
    </row>
    <row r="1001" spans="1:20" x14ac:dyDescent="0.3">
      <c r="A1001" s="14">
        <v>43932.708333333336</v>
      </c>
      <c r="B1001" s="13" t="s">
        <v>22</v>
      </c>
      <c r="C1001" s="114">
        <v>1</v>
      </c>
      <c r="D1001" s="13" t="s">
        <v>53</v>
      </c>
      <c r="E1001" s="114">
        <v>450732745</v>
      </c>
      <c r="F1001" s="114">
        <v>7680687483</v>
      </c>
      <c r="G1001" s="114">
        <v>3435</v>
      </c>
      <c r="H1001" s="114">
        <v>384</v>
      </c>
      <c r="I1001" s="114">
        <v>3819</v>
      </c>
      <c r="J1001" s="114">
        <v>8351</v>
      </c>
      <c r="K1001" s="114">
        <v>12170</v>
      </c>
      <c r="L1001" s="114">
        <v>594</v>
      </c>
      <c r="M1001" s="114">
        <v>996</v>
      </c>
      <c r="N1001" s="114">
        <v>2205</v>
      </c>
      <c r="O1001" s="114">
        <v>1633</v>
      </c>
      <c r="P1001" s="114">
        <v>16008</v>
      </c>
      <c r="Q1001" s="114">
        <v>62577</v>
      </c>
      <c r="R1001" s="13" t="s">
        <v>25</v>
      </c>
      <c r="S1001" s="13" t="s">
        <v>25</v>
      </c>
      <c r="T1001" s="13" t="s">
        <v>25</v>
      </c>
    </row>
    <row r="1002" spans="1:20" x14ac:dyDescent="0.3">
      <c r="A1002" s="14">
        <v>43932.708333333336</v>
      </c>
      <c r="B1002" s="13" t="s">
        <v>22</v>
      </c>
      <c r="C1002" s="114">
        <v>16</v>
      </c>
      <c r="D1002" s="13" t="s">
        <v>54</v>
      </c>
      <c r="E1002" s="114">
        <v>4112559576</v>
      </c>
      <c r="F1002" s="114">
        <v>1686736689</v>
      </c>
      <c r="G1002" s="114">
        <v>627</v>
      </c>
      <c r="H1002" s="114">
        <v>73</v>
      </c>
      <c r="I1002" s="114">
        <v>700</v>
      </c>
      <c r="J1002" s="114">
        <v>1702</v>
      </c>
      <c r="K1002" s="114">
        <v>2402</v>
      </c>
      <c r="L1002" s="114">
        <v>66</v>
      </c>
      <c r="M1002" s="114">
        <v>95</v>
      </c>
      <c r="N1002" s="114">
        <v>249</v>
      </c>
      <c r="O1002" s="114">
        <v>253</v>
      </c>
      <c r="P1002" s="114">
        <v>2904</v>
      </c>
      <c r="Q1002" s="114">
        <v>29463</v>
      </c>
      <c r="R1002" s="13" t="s">
        <v>25</v>
      </c>
      <c r="S1002" s="13" t="s">
        <v>25</v>
      </c>
      <c r="T1002" s="13" t="s">
        <v>25</v>
      </c>
    </row>
    <row r="1003" spans="1:20" x14ac:dyDescent="0.3">
      <c r="A1003" s="14">
        <v>43932.708333333336</v>
      </c>
      <c r="B1003" s="13" t="s">
        <v>22</v>
      </c>
      <c r="C1003" s="114">
        <v>20</v>
      </c>
      <c r="D1003" s="13" t="s">
        <v>55</v>
      </c>
      <c r="E1003" s="114">
        <v>3921531192</v>
      </c>
      <c r="F1003" s="114">
        <v>9110616306</v>
      </c>
      <c r="G1003" s="114">
        <v>113</v>
      </c>
      <c r="H1003" s="114">
        <v>24</v>
      </c>
      <c r="I1003" s="114">
        <v>137</v>
      </c>
      <c r="J1003" s="114">
        <v>751</v>
      </c>
      <c r="K1003" s="114">
        <v>888</v>
      </c>
      <c r="L1003" s="114">
        <v>12</v>
      </c>
      <c r="M1003" s="114">
        <v>28</v>
      </c>
      <c r="N1003" s="114">
        <v>130</v>
      </c>
      <c r="O1003" s="114">
        <v>73</v>
      </c>
      <c r="P1003" s="114">
        <v>1091</v>
      </c>
      <c r="Q1003" s="114">
        <v>10120</v>
      </c>
      <c r="R1003" s="13" t="s">
        <v>25</v>
      </c>
      <c r="S1003" s="13" t="s">
        <v>25</v>
      </c>
      <c r="T1003" s="13" t="s">
        <v>25</v>
      </c>
    </row>
    <row r="1004" spans="1:20" x14ac:dyDescent="0.3">
      <c r="A1004" s="14">
        <v>43932.708333333336</v>
      </c>
      <c r="B1004" s="13" t="s">
        <v>22</v>
      </c>
      <c r="C1004" s="114">
        <v>19</v>
      </c>
      <c r="D1004" s="13" t="s">
        <v>56</v>
      </c>
      <c r="E1004" s="114">
        <v>3811569725</v>
      </c>
      <c r="F1004" s="114">
        <v>133623567</v>
      </c>
      <c r="G1004" s="114">
        <v>562</v>
      </c>
      <c r="H1004" s="114">
        <v>58</v>
      </c>
      <c r="I1004" s="114">
        <v>620</v>
      </c>
      <c r="J1004" s="114">
        <v>1381</v>
      </c>
      <c r="K1004" s="114">
        <v>2001</v>
      </c>
      <c r="L1004" s="114">
        <v>34</v>
      </c>
      <c r="M1004" s="114">
        <v>62</v>
      </c>
      <c r="N1004" s="114">
        <v>209</v>
      </c>
      <c r="O1004" s="114">
        <v>154</v>
      </c>
      <c r="P1004" s="114">
        <v>2364</v>
      </c>
      <c r="Q1004" s="114">
        <v>33787</v>
      </c>
      <c r="R1004" s="13" t="s">
        <v>25</v>
      </c>
      <c r="S1004" s="13" t="s">
        <v>25</v>
      </c>
      <c r="T1004" s="13" t="s">
        <v>25</v>
      </c>
    </row>
    <row r="1005" spans="1:20" x14ac:dyDescent="0.3">
      <c r="A1005" s="14">
        <v>43932.708333333336</v>
      </c>
      <c r="B1005" s="13" t="s">
        <v>22</v>
      </c>
      <c r="C1005" s="114">
        <v>9</v>
      </c>
      <c r="D1005" s="13" t="s">
        <v>57</v>
      </c>
      <c r="E1005" s="114">
        <v>4376923077</v>
      </c>
      <c r="F1005" s="114">
        <v>1125588885</v>
      </c>
      <c r="G1005" s="114">
        <v>997</v>
      </c>
      <c r="H1005" s="114">
        <v>237</v>
      </c>
      <c r="I1005" s="114">
        <v>1234</v>
      </c>
      <c r="J1005" s="114">
        <v>4758</v>
      </c>
      <c r="K1005" s="114">
        <v>5992</v>
      </c>
      <c r="L1005" s="114">
        <v>170</v>
      </c>
      <c r="M1005" s="114">
        <v>231</v>
      </c>
      <c r="N1005" s="114">
        <v>499</v>
      </c>
      <c r="O1005" s="114">
        <v>467</v>
      </c>
      <c r="P1005" s="114">
        <v>6958</v>
      </c>
      <c r="Q1005" s="114">
        <v>75756</v>
      </c>
      <c r="R1005" s="13" t="s">
        <v>25</v>
      </c>
      <c r="S1005" s="13" t="s">
        <v>25</v>
      </c>
      <c r="T1005" s="13" t="s">
        <v>25</v>
      </c>
    </row>
    <row r="1006" spans="1:20" x14ac:dyDescent="0.3">
      <c r="A1006" s="14">
        <v>43932.708333333336</v>
      </c>
      <c r="B1006" s="13" t="s">
        <v>22</v>
      </c>
      <c r="C1006" s="114">
        <v>4</v>
      </c>
      <c r="D1006" s="13" t="s">
        <v>58</v>
      </c>
      <c r="E1006" s="114">
        <v>4606893511</v>
      </c>
      <c r="F1006" s="114">
        <v>1112123097</v>
      </c>
      <c r="G1006" s="114">
        <v>335</v>
      </c>
      <c r="H1006" s="114">
        <v>62</v>
      </c>
      <c r="I1006" s="114">
        <v>397</v>
      </c>
      <c r="J1006" s="114">
        <v>1667</v>
      </c>
      <c r="K1006" s="114">
        <v>2064</v>
      </c>
      <c r="L1006" s="114">
        <v>70</v>
      </c>
      <c r="M1006" s="114">
        <v>154</v>
      </c>
      <c r="N1006" s="114">
        <v>622</v>
      </c>
      <c r="O1006" s="114">
        <v>284</v>
      </c>
      <c r="P1006" s="114">
        <v>2970</v>
      </c>
      <c r="Q1006" s="114">
        <v>16646</v>
      </c>
      <c r="R1006" s="13" t="s">
        <v>25</v>
      </c>
      <c r="S1006" s="13" t="s">
        <v>25</v>
      </c>
      <c r="T1006" s="13" t="s">
        <v>25</v>
      </c>
    </row>
    <row r="1007" spans="1:20" x14ac:dyDescent="0.3">
      <c r="A1007" s="14">
        <v>43932.708333333336</v>
      </c>
      <c r="B1007" s="13" t="s">
        <v>22</v>
      </c>
      <c r="C1007" s="114">
        <v>10</v>
      </c>
      <c r="D1007" s="13" t="s">
        <v>59</v>
      </c>
      <c r="E1007" s="114">
        <v>4310675841</v>
      </c>
      <c r="F1007" s="114">
        <v>1238824698</v>
      </c>
      <c r="G1007" s="114">
        <v>137</v>
      </c>
      <c r="H1007" s="114">
        <v>39</v>
      </c>
      <c r="I1007" s="114">
        <v>176</v>
      </c>
      <c r="J1007" s="114">
        <v>547</v>
      </c>
      <c r="K1007" s="114">
        <v>723</v>
      </c>
      <c r="L1007" s="114">
        <v>-29</v>
      </c>
      <c r="M1007" s="114">
        <v>7</v>
      </c>
      <c r="N1007" s="114">
        <v>534</v>
      </c>
      <c r="O1007" s="114">
        <v>52</v>
      </c>
      <c r="P1007" s="114">
        <v>1309</v>
      </c>
      <c r="Q1007" s="114">
        <v>17661</v>
      </c>
      <c r="R1007" s="13" t="s">
        <v>25</v>
      </c>
      <c r="S1007" s="13" t="s">
        <v>25</v>
      </c>
      <c r="T1007" s="13" t="s">
        <v>25</v>
      </c>
    </row>
    <row r="1008" spans="1:20" x14ac:dyDescent="0.3">
      <c r="A1008" s="14">
        <v>43932.708333333336</v>
      </c>
      <c r="B1008" s="13" t="s">
        <v>22</v>
      </c>
      <c r="C1008" s="114">
        <v>2</v>
      </c>
      <c r="D1008" s="13" t="s">
        <v>60</v>
      </c>
      <c r="E1008" s="114">
        <v>4573750286</v>
      </c>
      <c r="F1008" s="114">
        <v>7320149366</v>
      </c>
      <c r="G1008" s="114">
        <v>118</v>
      </c>
      <c r="H1008" s="114">
        <v>17</v>
      </c>
      <c r="I1008" s="114">
        <v>135</v>
      </c>
      <c r="J1008" s="114">
        <v>455</v>
      </c>
      <c r="K1008" s="114">
        <v>590</v>
      </c>
      <c r="L1008" s="114">
        <v>-12</v>
      </c>
      <c r="M1008" s="114">
        <v>23</v>
      </c>
      <c r="N1008" s="114">
        <v>205</v>
      </c>
      <c r="O1008" s="114">
        <v>107</v>
      </c>
      <c r="P1008" s="114">
        <v>902</v>
      </c>
      <c r="Q1008" s="114">
        <v>3464</v>
      </c>
      <c r="R1008" s="13" t="s">
        <v>25</v>
      </c>
      <c r="S1008" s="13" t="s">
        <v>25</v>
      </c>
      <c r="T1008" s="13" t="s">
        <v>25</v>
      </c>
    </row>
    <row r="1009" spans="1:20" x14ac:dyDescent="0.3">
      <c r="A1009" s="14">
        <v>43932.708333333336</v>
      </c>
      <c r="B1009" s="13" t="s">
        <v>22</v>
      </c>
      <c r="C1009" s="114">
        <v>5</v>
      </c>
      <c r="D1009" s="13" t="s">
        <v>61</v>
      </c>
      <c r="E1009" s="114">
        <v>4543490485</v>
      </c>
      <c r="F1009" s="114">
        <v>1233845213</v>
      </c>
      <c r="G1009" s="114">
        <v>1465</v>
      </c>
      <c r="H1009" s="114">
        <v>251</v>
      </c>
      <c r="I1009" s="114">
        <v>1716</v>
      </c>
      <c r="J1009" s="114">
        <v>9033</v>
      </c>
      <c r="K1009" s="114">
        <v>10749</v>
      </c>
      <c r="L1009" s="114">
        <v>102</v>
      </c>
      <c r="M1009" s="114">
        <v>347</v>
      </c>
      <c r="N1009" s="114">
        <v>2188</v>
      </c>
      <c r="O1009" s="114">
        <v>831</v>
      </c>
      <c r="P1009" s="114">
        <v>13768</v>
      </c>
      <c r="Q1009" s="114">
        <v>190912</v>
      </c>
      <c r="R1009" s="13" t="s">
        <v>25</v>
      </c>
      <c r="S1009" s="13" t="s">
        <v>25</v>
      </c>
      <c r="T1009" s="13" t="s">
        <v>25</v>
      </c>
    </row>
    <row r="1010" spans="1:20" x14ac:dyDescent="0.3">
      <c r="A1010" s="14">
        <v>43933.708333333336</v>
      </c>
      <c r="B1010" s="13" t="s">
        <v>22</v>
      </c>
      <c r="C1010" s="114">
        <v>13</v>
      </c>
      <c r="D1010" s="13" t="s">
        <v>42</v>
      </c>
      <c r="E1010" s="114">
        <v>4235122196</v>
      </c>
      <c r="F1010" s="114">
        <v>1339843823</v>
      </c>
      <c r="G1010" s="114">
        <v>346</v>
      </c>
      <c r="H1010" s="114">
        <v>54</v>
      </c>
      <c r="I1010" s="114">
        <v>400</v>
      </c>
      <c r="J1010" s="114">
        <v>1342</v>
      </c>
      <c r="K1010" s="114">
        <v>1742</v>
      </c>
      <c r="L1010" s="114">
        <v>18</v>
      </c>
      <c r="M1010" s="114">
        <v>40</v>
      </c>
      <c r="N1010" s="114">
        <v>206</v>
      </c>
      <c r="O1010" s="114">
        <v>212</v>
      </c>
      <c r="P1010" s="114">
        <v>2160</v>
      </c>
      <c r="Q1010" s="114">
        <v>20594</v>
      </c>
      <c r="R1010" s="13" t="s">
        <v>25</v>
      </c>
      <c r="S1010" s="13" t="s">
        <v>25</v>
      </c>
      <c r="T1010" s="13" t="s">
        <v>25</v>
      </c>
    </row>
    <row r="1011" spans="1:20" x14ac:dyDescent="0.3">
      <c r="A1011" s="14">
        <v>43933.708333333336</v>
      </c>
      <c r="B1011" s="13" t="s">
        <v>22</v>
      </c>
      <c r="C1011" s="114">
        <v>17</v>
      </c>
      <c r="D1011" s="13" t="s">
        <v>43</v>
      </c>
      <c r="E1011" s="114">
        <v>4063947052</v>
      </c>
      <c r="F1011" s="114">
        <v>1580514834</v>
      </c>
      <c r="G1011" s="114">
        <v>61</v>
      </c>
      <c r="H1011" s="114">
        <v>12</v>
      </c>
      <c r="I1011" s="114">
        <v>73</v>
      </c>
      <c r="J1011" s="114">
        <v>204</v>
      </c>
      <c r="K1011" s="114">
        <v>277</v>
      </c>
      <c r="L1011" s="114">
        <v>-4</v>
      </c>
      <c r="M1011" s="114">
        <v>3</v>
      </c>
      <c r="N1011" s="114">
        <v>20</v>
      </c>
      <c r="O1011" s="114">
        <v>18</v>
      </c>
      <c r="P1011" s="114">
        <v>315</v>
      </c>
      <c r="Q1011" s="114">
        <v>4355</v>
      </c>
      <c r="R1011" s="13" t="s">
        <v>25</v>
      </c>
      <c r="S1011" s="13" t="s">
        <v>25</v>
      </c>
      <c r="T1011" s="13" t="s">
        <v>25</v>
      </c>
    </row>
    <row r="1012" spans="1:20" x14ac:dyDescent="0.3">
      <c r="A1012" s="14">
        <v>43933.708333333336</v>
      </c>
      <c r="B1012" s="13" t="s">
        <v>22</v>
      </c>
      <c r="C1012" s="114">
        <v>4</v>
      </c>
      <c r="D1012" s="13" t="s">
        <v>44</v>
      </c>
      <c r="E1012" s="114">
        <v>4649933453</v>
      </c>
      <c r="F1012" s="114">
        <v>1135662422</v>
      </c>
      <c r="G1012" s="114">
        <v>183</v>
      </c>
      <c r="H1012" s="114">
        <v>45</v>
      </c>
      <c r="I1012" s="114">
        <v>228</v>
      </c>
      <c r="J1012" s="114">
        <v>1287</v>
      </c>
      <c r="K1012" s="114">
        <v>1515</v>
      </c>
      <c r="L1012" s="114">
        <v>246</v>
      </c>
      <c r="M1012" s="114">
        <v>141</v>
      </c>
      <c r="N1012" s="114">
        <v>378</v>
      </c>
      <c r="O1012" s="114">
        <v>205</v>
      </c>
      <c r="P1012" s="114">
        <v>2098</v>
      </c>
      <c r="Q1012" s="114">
        <v>23246</v>
      </c>
      <c r="R1012" s="13" t="s">
        <v>25</v>
      </c>
      <c r="S1012" s="13" t="s">
        <v>114</v>
      </c>
      <c r="T1012" s="13" t="s">
        <v>115</v>
      </c>
    </row>
    <row r="1013" spans="1:20" x14ac:dyDescent="0.3">
      <c r="A1013" s="14">
        <v>43933.708333333336</v>
      </c>
      <c r="B1013" s="13" t="s">
        <v>22</v>
      </c>
      <c r="C1013" s="114">
        <v>18</v>
      </c>
      <c r="D1013" s="13" t="s">
        <v>45</v>
      </c>
      <c r="E1013" s="114">
        <v>3890597598</v>
      </c>
      <c r="F1013" s="114">
        <v>1659440194</v>
      </c>
      <c r="G1013" s="114">
        <v>165</v>
      </c>
      <c r="H1013" s="114">
        <v>14</v>
      </c>
      <c r="I1013" s="114">
        <v>179</v>
      </c>
      <c r="J1013" s="114">
        <v>616</v>
      </c>
      <c r="K1013" s="114">
        <v>795</v>
      </c>
      <c r="L1013" s="114">
        <v>3</v>
      </c>
      <c r="M1013" s="114">
        <v>8</v>
      </c>
      <c r="N1013" s="114">
        <v>62</v>
      </c>
      <c r="O1013" s="114">
        <v>66</v>
      </c>
      <c r="P1013" s="114">
        <v>923</v>
      </c>
      <c r="Q1013" s="114">
        <v>18211</v>
      </c>
      <c r="R1013" s="13" t="s">
        <v>25</v>
      </c>
      <c r="S1013" s="13" t="s">
        <v>25</v>
      </c>
      <c r="T1013" s="13" t="s">
        <v>25</v>
      </c>
    </row>
    <row r="1014" spans="1:20" x14ac:dyDescent="0.3">
      <c r="A1014" s="14">
        <v>43933.708333333336</v>
      </c>
      <c r="B1014" s="13" t="s">
        <v>22</v>
      </c>
      <c r="C1014" s="114">
        <v>15</v>
      </c>
      <c r="D1014" s="13" t="s">
        <v>46</v>
      </c>
      <c r="E1014" s="114">
        <v>4083956555</v>
      </c>
      <c r="F1014" s="114">
        <v>1425084984</v>
      </c>
      <c r="G1014" s="114">
        <v>526</v>
      </c>
      <c r="H1014" s="114">
        <v>82</v>
      </c>
      <c r="I1014" s="114">
        <v>608</v>
      </c>
      <c r="J1014" s="114">
        <v>2449</v>
      </c>
      <c r="K1014" s="114">
        <v>3057</v>
      </c>
      <c r="L1014" s="114">
        <v>55</v>
      </c>
      <c r="M1014" s="114">
        <v>87</v>
      </c>
      <c r="N1014" s="114">
        <v>305</v>
      </c>
      <c r="O1014" s="114">
        <v>242</v>
      </c>
      <c r="P1014" s="114">
        <v>3604</v>
      </c>
      <c r="Q1014" s="114">
        <v>35448</v>
      </c>
      <c r="R1014" s="13" t="s">
        <v>25</v>
      </c>
      <c r="S1014" s="13" t="s">
        <v>25</v>
      </c>
      <c r="T1014" s="13" t="s">
        <v>25</v>
      </c>
    </row>
    <row r="1015" spans="1:20" x14ac:dyDescent="0.3">
      <c r="A1015" s="14">
        <v>43933.708333333336</v>
      </c>
      <c r="B1015" s="13" t="s">
        <v>22</v>
      </c>
      <c r="C1015" s="114">
        <v>8</v>
      </c>
      <c r="D1015" s="13" t="s">
        <v>96</v>
      </c>
      <c r="E1015" s="114">
        <v>4449436681</v>
      </c>
      <c r="F1015" s="114">
        <v>113417208</v>
      </c>
      <c r="G1015" s="114">
        <v>3491</v>
      </c>
      <c r="H1015" s="114">
        <v>335</v>
      </c>
      <c r="I1015" s="114">
        <v>3826</v>
      </c>
      <c r="J1015" s="114">
        <v>9846</v>
      </c>
      <c r="K1015" s="114">
        <v>13672</v>
      </c>
      <c r="L1015" s="114">
        <v>177</v>
      </c>
      <c r="M1015" s="114">
        <v>463</v>
      </c>
      <c r="N1015" s="114">
        <v>3862</v>
      </c>
      <c r="O1015" s="114">
        <v>2564</v>
      </c>
      <c r="P1015" s="114">
        <v>20098</v>
      </c>
      <c r="Q1015" s="114">
        <v>96704</v>
      </c>
      <c r="R1015" s="13" t="s">
        <v>25</v>
      </c>
      <c r="S1015" s="13" t="s">
        <v>25</v>
      </c>
      <c r="T1015" s="13" t="s">
        <v>25</v>
      </c>
    </row>
    <row r="1016" spans="1:20" x14ac:dyDescent="0.3">
      <c r="A1016" s="14">
        <v>43933.708333333336</v>
      </c>
      <c r="B1016" s="13" t="s">
        <v>22</v>
      </c>
      <c r="C1016" s="114">
        <v>6</v>
      </c>
      <c r="D1016" s="13" t="s">
        <v>47</v>
      </c>
      <c r="E1016" s="114">
        <v>456494354</v>
      </c>
      <c r="F1016" s="114">
        <v>1376813649</v>
      </c>
      <c r="G1016" s="114">
        <v>160</v>
      </c>
      <c r="H1016" s="114">
        <v>28</v>
      </c>
      <c r="I1016" s="114">
        <v>188</v>
      </c>
      <c r="J1016" s="114">
        <v>1138</v>
      </c>
      <c r="K1016" s="114">
        <v>1326</v>
      </c>
      <c r="L1016" s="114">
        <v>-56</v>
      </c>
      <c r="M1016" s="114">
        <v>38</v>
      </c>
      <c r="N1016" s="114">
        <v>910</v>
      </c>
      <c r="O1016" s="114">
        <v>195</v>
      </c>
      <c r="P1016" s="114">
        <v>2431</v>
      </c>
      <c r="Q1016" s="114">
        <v>29988</v>
      </c>
      <c r="R1016" s="13" t="s">
        <v>25</v>
      </c>
      <c r="S1016" s="13" t="s">
        <v>25</v>
      </c>
      <c r="T1016" s="13" t="s">
        <v>25</v>
      </c>
    </row>
    <row r="1017" spans="1:20" x14ac:dyDescent="0.3">
      <c r="A1017" s="14">
        <v>43933.708333333336</v>
      </c>
      <c r="B1017" s="13" t="s">
        <v>22</v>
      </c>
      <c r="C1017" s="114">
        <v>12</v>
      </c>
      <c r="D1017" s="13" t="s">
        <v>48</v>
      </c>
      <c r="E1017" s="114">
        <v>4189277044</v>
      </c>
      <c r="F1017" s="114">
        <v>1248366722</v>
      </c>
      <c r="G1017" s="114">
        <v>1268</v>
      </c>
      <c r="H1017" s="114">
        <v>201</v>
      </c>
      <c r="I1017" s="114">
        <v>1469</v>
      </c>
      <c r="J1017" s="114">
        <v>2348</v>
      </c>
      <c r="K1017" s="114">
        <v>3817</v>
      </c>
      <c r="L1017" s="114">
        <v>87</v>
      </c>
      <c r="M1017" s="114">
        <v>122</v>
      </c>
      <c r="N1017" s="114">
        <v>749</v>
      </c>
      <c r="O1017" s="114">
        <v>279</v>
      </c>
      <c r="P1017" s="114">
        <v>4845</v>
      </c>
      <c r="Q1017" s="114">
        <v>68954</v>
      </c>
      <c r="R1017" s="13" t="s">
        <v>25</v>
      </c>
      <c r="S1017" s="13" t="s">
        <v>25</v>
      </c>
      <c r="T1017" s="13" t="s">
        <v>25</v>
      </c>
    </row>
    <row r="1018" spans="1:20" x14ac:dyDescent="0.3">
      <c r="A1018" s="14">
        <v>43933.708333333336</v>
      </c>
      <c r="B1018" s="13" t="s">
        <v>22</v>
      </c>
      <c r="C1018" s="114">
        <v>7</v>
      </c>
      <c r="D1018" s="13" t="s">
        <v>49</v>
      </c>
      <c r="E1018" s="114">
        <v>4441149315</v>
      </c>
      <c r="F1018" s="114">
        <v>89326992</v>
      </c>
      <c r="G1018" s="114">
        <v>1032</v>
      </c>
      <c r="H1018" s="114">
        <v>144</v>
      </c>
      <c r="I1018" s="114">
        <v>1176</v>
      </c>
      <c r="J1018" s="114">
        <v>2157</v>
      </c>
      <c r="K1018" s="114">
        <v>3333</v>
      </c>
      <c r="L1018" s="114">
        <v>0</v>
      </c>
      <c r="M1018" s="114">
        <v>118</v>
      </c>
      <c r="N1018" s="114">
        <v>1412</v>
      </c>
      <c r="O1018" s="114">
        <v>749</v>
      </c>
      <c r="P1018" s="114">
        <v>5494</v>
      </c>
      <c r="Q1018" s="114">
        <v>21983</v>
      </c>
      <c r="R1018" s="13" t="s">
        <v>25</v>
      </c>
      <c r="S1018" s="13" t="s">
        <v>25</v>
      </c>
      <c r="T1018" s="13" t="s">
        <v>25</v>
      </c>
    </row>
    <row r="1019" spans="1:20" x14ac:dyDescent="0.3">
      <c r="A1019" s="14">
        <v>43933.708333333336</v>
      </c>
      <c r="B1019" s="13" t="s">
        <v>22</v>
      </c>
      <c r="C1019" s="114">
        <v>3</v>
      </c>
      <c r="D1019" s="13" t="s">
        <v>50</v>
      </c>
      <c r="E1019" s="114">
        <v>4546679409</v>
      </c>
      <c r="F1019" s="114">
        <v>9190347404</v>
      </c>
      <c r="G1019" s="114">
        <v>11969</v>
      </c>
      <c r="H1019" s="114">
        <v>1176</v>
      </c>
      <c r="I1019" s="114">
        <v>13145</v>
      </c>
      <c r="J1019" s="114">
        <v>18120</v>
      </c>
      <c r="K1019" s="114">
        <v>31265</v>
      </c>
      <c r="L1019" s="114">
        <v>1007</v>
      </c>
      <c r="M1019" s="114">
        <v>1460</v>
      </c>
      <c r="N1019" s="114">
        <v>17166</v>
      </c>
      <c r="O1019" s="114">
        <v>10621</v>
      </c>
      <c r="P1019" s="114">
        <v>59052</v>
      </c>
      <c r="Q1019" s="114">
        <v>205832</v>
      </c>
      <c r="R1019" s="13" t="s">
        <v>25</v>
      </c>
      <c r="S1019" s="13" t="s">
        <v>25</v>
      </c>
      <c r="T1019" s="13" t="s">
        <v>25</v>
      </c>
    </row>
    <row r="1020" spans="1:20" x14ac:dyDescent="0.3">
      <c r="A1020" s="14">
        <v>43933.708333333336</v>
      </c>
      <c r="B1020" s="13" t="s">
        <v>22</v>
      </c>
      <c r="C1020" s="114">
        <v>11</v>
      </c>
      <c r="D1020" s="13" t="s">
        <v>51</v>
      </c>
      <c r="E1020" s="114">
        <v>4361675973</v>
      </c>
      <c r="F1020" s="114">
        <v>135188753</v>
      </c>
      <c r="G1020" s="114">
        <v>949</v>
      </c>
      <c r="H1020" s="114">
        <v>114</v>
      </c>
      <c r="I1020" s="114">
        <v>1063</v>
      </c>
      <c r="J1020" s="114">
        <v>2051</v>
      </c>
      <c r="K1020" s="114">
        <v>3114</v>
      </c>
      <c r="L1020" s="114">
        <v>-117</v>
      </c>
      <c r="M1020" s="114">
        <v>92</v>
      </c>
      <c r="N1020" s="114">
        <v>1489</v>
      </c>
      <c r="O1020" s="114">
        <v>700</v>
      </c>
      <c r="P1020" s="114">
        <v>5303</v>
      </c>
      <c r="Q1020" s="114">
        <v>21057</v>
      </c>
      <c r="R1020" s="13" t="s">
        <v>25</v>
      </c>
      <c r="S1020" s="13" t="s">
        <v>25</v>
      </c>
      <c r="T1020" s="13" t="s">
        <v>25</v>
      </c>
    </row>
    <row r="1021" spans="1:20" x14ac:dyDescent="0.3">
      <c r="A1021" s="14">
        <v>43933.708333333336</v>
      </c>
      <c r="B1021" s="13" t="s">
        <v>22</v>
      </c>
      <c r="C1021" s="114">
        <v>14</v>
      </c>
      <c r="D1021" s="13" t="s">
        <v>52</v>
      </c>
      <c r="E1021" s="114">
        <v>4155774754</v>
      </c>
      <c r="F1021" s="114">
        <v>1465916051</v>
      </c>
      <c r="G1021" s="114">
        <v>27</v>
      </c>
      <c r="H1021" s="114">
        <v>4</v>
      </c>
      <c r="I1021" s="114">
        <v>31</v>
      </c>
      <c r="J1021" s="114">
        <v>171</v>
      </c>
      <c r="K1021" s="114">
        <v>202</v>
      </c>
      <c r="L1021" s="114">
        <v>9</v>
      </c>
      <c r="M1021" s="114">
        <v>11</v>
      </c>
      <c r="N1021" s="114">
        <v>40</v>
      </c>
      <c r="O1021" s="114">
        <v>15</v>
      </c>
      <c r="P1021" s="114">
        <v>257</v>
      </c>
      <c r="Q1021" s="114">
        <v>2471</v>
      </c>
      <c r="R1021" s="13" t="s">
        <v>25</v>
      </c>
      <c r="S1021" s="13" t="s">
        <v>25</v>
      </c>
      <c r="T1021" s="13" t="s">
        <v>25</v>
      </c>
    </row>
    <row r="1022" spans="1:20" x14ac:dyDescent="0.3">
      <c r="A1022" s="14">
        <v>43933.708333333336</v>
      </c>
      <c r="B1022" s="13" t="s">
        <v>22</v>
      </c>
      <c r="C1022" s="114">
        <v>1</v>
      </c>
      <c r="D1022" s="13" t="s">
        <v>53</v>
      </c>
      <c r="E1022" s="114">
        <v>450732745</v>
      </c>
      <c r="F1022" s="114">
        <v>7680687483</v>
      </c>
      <c r="G1022" s="114">
        <v>3429</v>
      </c>
      <c r="H1022" s="114">
        <v>381</v>
      </c>
      <c r="I1022" s="114">
        <v>3810</v>
      </c>
      <c r="J1022" s="114">
        <v>8695</v>
      </c>
      <c r="K1022" s="114">
        <v>12505</v>
      </c>
      <c r="L1022" s="114">
        <v>335</v>
      </c>
      <c r="M1022" s="114">
        <v>652</v>
      </c>
      <c r="N1022" s="114">
        <v>2426</v>
      </c>
      <c r="O1022" s="114">
        <v>1729</v>
      </c>
      <c r="P1022" s="114">
        <v>16660</v>
      </c>
      <c r="Q1022" s="114">
        <v>66555</v>
      </c>
      <c r="R1022" s="13" t="s">
        <v>25</v>
      </c>
      <c r="S1022" s="13" t="s">
        <v>25</v>
      </c>
      <c r="T1022" s="13" t="s">
        <v>25</v>
      </c>
    </row>
    <row r="1023" spans="1:20" x14ac:dyDescent="0.3">
      <c r="A1023" s="14">
        <v>43933.708333333336</v>
      </c>
      <c r="B1023" s="13" t="s">
        <v>22</v>
      </c>
      <c r="C1023" s="114">
        <v>16</v>
      </c>
      <c r="D1023" s="13" t="s">
        <v>54</v>
      </c>
      <c r="E1023" s="114">
        <v>4112559576</v>
      </c>
      <c r="F1023" s="114">
        <v>1686736689</v>
      </c>
      <c r="G1023" s="114">
        <v>609</v>
      </c>
      <c r="H1023" s="114">
        <v>71</v>
      </c>
      <c r="I1023" s="114">
        <v>680</v>
      </c>
      <c r="J1023" s="114">
        <v>1772</v>
      </c>
      <c r="K1023" s="114">
        <v>2452</v>
      </c>
      <c r="L1023" s="114">
        <v>50</v>
      </c>
      <c r="M1023" s="114">
        <v>85</v>
      </c>
      <c r="N1023" s="114">
        <v>277</v>
      </c>
      <c r="O1023" s="114">
        <v>260</v>
      </c>
      <c r="P1023" s="114">
        <v>2989</v>
      </c>
      <c r="Q1023" s="114">
        <v>30973</v>
      </c>
      <c r="R1023" s="13" t="s">
        <v>25</v>
      </c>
      <c r="S1023" s="13" t="s">
        <v>25</v>
      </c>
      <c r="T1023" s="13" t="s">
        <v>25</v>
      </c>
    </row>
    <row r="1024" spans="1:20" x14ac:dyDescent="0.3">
      <c r="A1024" s="14">
        <v>43933.708333333336</v>
      </c>
      <c r="B1024" s="13" t="s">
        <v>22</v>
      </c>
      <c r="C1024" s="114">
        <v>20</v>
      </c>
      <c r="D1024" s="13" t="s">
        <v>55</v>
      </c>
      <c r="E1024" s="114">
        <v>3921531192</v>
      </c>
      <c r="F1024" s="114">
        <v>9110616306</v>
      </c>
      <c r="G1024" s="114">
        <v>109</v>
      </c>
      <c r="H1024" s="114">
        <v>26</v>
      </c>
      <c r="I1024" s="114">
        <v>135</v>
      </c>
      <c r="J1024" s="114">
        <v>768</v>
      </c>
      <c r="K1024" s="114">
        <v>903</v>
      </c>
      <c r="L1024" s="114">
        <v>15</v>
      </c>
      <c r="M1024" s="114">
        <v>22</v>
      </c>
      <c r="N1024" s="114">
        <v>137</v>
      </c>
      <c r="O1024" s="114">
        <v>73</v>
      </c>
      <c r="P1024" s="114">
        <v>1113</v>
      </c>
      <c r="Q1024" s="114">
        <v>10663</v>
      </c>
      <c r="R1024" s="13" t="s">
        <v>25</v>
      </c>
      <c r="S1024" s="13" t="s">
        <v>25</v>
      </c>
      <c r="T1024" s="13" t="s">
        <v>25</v>
      </c>
    </row>
    <row r="1025" spans="1:20" x14ac:dyDescent="0.3">
      <c r="A1025" s="14">
        <v>43933.708333333336</v>
      </c>
      <c r="B1025" s="13" t="s">
        <v>22</v>
      </c>
      <c r="C1025" s="114">
        <v>19</v>
      </c>
      <c r="D1025" s="13" t="s">
        <v>56</v>
      </c>
      <c r="E1025" s="114">
        <v>3811569725</v>
      </c>
      <c r="F1025" s="114">
        <v>133623567</v>
      </c>
      <c r="G1025" s="114">
        <v>552</v>
      </c>
      <c r="H1025" s="114">
        <v>53</v>
      </c>
      <c r="I1025" s="114">
        <v>605</v>
      </c>
      <c r="J1025" s="114">
        <v>1425</v>
      </c>
      <c r="K1025" s="114">
        <v>2030</v>
      </c>
      <c r="L1025" s="114">
        <v>29</v>
      </c>
      <c r="M1025" s="114">
        <v>52</v>
      </c>
      <c r="N1025" s="114">
        <v>223</v>
      </c>
      <c r="O1025" s="114">
        <v>163</v>
      </c>
      <c r="P1025" s="114">
        <v>2416</v>
      </c>
      <c r="Q1025" s="114">
        <v>36098</v>
      </c>
      <c r="R1025" s="13" t="s">
        <v>25</v>
      </c>
      <c r="S1025" s="13" t="s">
        <v>25</v>
      </c>
      <c r="T1025" s="13" t="s">
        <v>25</v>
      </c>
    </row>
    <row r="1026" spans="1:20" x14ac:dyDescent="0.3">
      <c r="A1026" s="14">
        <v>43933.708333333336</v>
      </c>
      <c r="B1026" s="13" t="s">
        <v>22</v>
      </c>
      <c r="C1026" s="114">
        <v>9</v>
      </c>
      <c r="D1026" s="13" t="s">
        <v>57</v>
      </c>
      <c r="E1026" s="114">
        <v>4376923077</v>
      </c>
      <c r="F1026" s="114">
        <v>1125588885</v>
      </c>
      <c r="G1026" s="114">
        <v>983</v>
      </c>
      <c r="H1026" s="114">
        <v>238</v>
      </c>
      <c r="I1026" s="114">
        <v>1221</v>
      </c>
      <c r="J1026" s="114">
        <v>4941</v>
      </c>
      <c r="K1026" s="114">
        <v>6162</v>
      </c>
      <c r="L1026" s="114">
        <v>170</v>
      </c>
      <c r="M1026" s="114">
        <v>277</v>
      </c>
      <c r="N1026" s="114">
        <v>578</v>
      </c>
      <c r="O1026" s="114">
        <v>495</v>
      </c>
      <c r="P1026" s="114">
        <v>7235</v>
      </c>
      <c r="Q1026" s="114">
        <v>78640</v>
      </c>
      <c r="R1026" s="13" t="s">
        <v>25</v>
      </c>
      <c r="S1026" s="13" t="s">
        <v>25</v>
      </c>
      <c r="T1026" s="13" t="s">
        <v>25</v>
      </c>
    </row>
    <row r="1027" spans="1:20" x14ac:dyDescent="0.3">
      <c r="A1027" s="14">
        <v>43933.708333333336</v>
      </c>
      <c r="B1027" s="13" t="s">
        <v>22</v>
      </c>
      <c r="C1027" s="114">
        <v>4</v>
      </c>
      <c r="D1027" s="13" t="s">
        <v>58</v>
      </c>
      <c r="E1027" s="114">
        <v>4606893511</v>
      </c>
      <c r="F1027" s="114">
        <v>1112123097</v>
      </c>
      <c r="G1027" s="114">
        <v>322</v>
      </c>
      <c r="H1027" s="114">
        <v>61</v>
      </c>
      <c r="I1027" s="114">
        <v>383</v>
      </c>
      <c r="J1027" s="114">
        <v>1699</v>
      </c>
      <c r="K1027" s="114">
        <v>2082</v>
      </c>
      <c r="L1027" s="114">
        <v>18</v>
      </c>
      <c r="M1027" s="114">
        <v>83</v>
      </c>
      <c r="N1027" s="114">
        <v>678</v>
      </c>
      <c r="O1027" s="114">
        <v>293</v>
      </c>
      <c r="P1027" s="114">
        <v>3053</v>
      </c>
      <c r="Q1027" s="114">
        <v>17797</v>
      </c>
      <c r="R1027" s="13" t="s">
        <v>25</v>
      </c>
      <c r="S1027" s="13" t="s">
        <v>25</v>
      </c>
      <c r="T1027" s="13" t="s">
        <v>25</v>
      </c>
    </row>
    <row r="1028" spans="1:20" x14ac:dyDescent="0.3">
      <c r="A1028" s="14">
        <v>43933.708333333336</v>
      </c>
      <c r="B1028" s="13" t="s">
        <v>22</v>
      </c>
      <c r="C1028" s="114">
        <v>10</v>
      </c>
      <c r="D1028" s="13" t="s">
        <v>59</v>
      </c>
      <c r="E1028" s="114">
        <v>4310675841</v>
      </c>
      <c r="F1028" s="114">
        <v>1238824698</v>
      </c>
      <c r="G1028" s="114">
        <v>129</v>
      </c>
      <c r="H1028" s="114">
        <v>39</v>
      </c>
      <c r="I1028" s="114">
        <v>168</v>
      </c>
      <c r="J1028" s="114">
        <v>519</v>
      </c>
      <c r="K1028" s="114">
        <v>687</v>
      </c>
      <c r="L1028" s="114">
        <v>-36</v>
      </c>
      <c r="M1028" s="114">
        <v>10</v>
      </c>
      <c r="N1028" s="114">
        <v>580</v>
      </c>
      <c r="O1028" s="114">
        <v>52</v>
      </c>
      <c r="P1028" s="114">
        <v>1319</v>
      </c>
      <c r="Q1028" s="114">
        <v>18672</v>
      </c>
      <c r="R1028" s="13" t="s">
        <v>25</v>
      </c>
      <c r="S1028" s="13" t="s">
        <v>25</v>
      </c>
      <c r="T1028" s="13" t="s">
        <v>25</v>
      </c>
    </row>
    <row r="1029" spans="1:20" x14ac:dyDescent="0.3">
      <c r="A1029" s="14">
        <v>43933.708333333336</v>
      </c>
      <c r="B1029" s="13" t="s">
        <v>22</v>
      </c>
      <c r="C1029" s="114">
        <v>2</v>
      </c>
      <c r="D1029" s="13" t="s">
        <v>60</v>
      </c>
      <c r="E1029" s="114">
        <v>4573750286</v>
      </c>
      <c r="F1029" s="114">
        <v>7320149366</v>
      </c>
      <c r="G1029" s="114">
        <v>109</v>
      </c>
      <c r="H1029" s="114">
        <v>16</v>
      </c>
      <c r="I1029" s="114">
        <v>125</v>
      </c>
      <c r="J1029" s="114">
        <v>463</v>
      </c>
      <c r="K1029" s="114">
        <v>588</v>
      </c>
      <c r="L1029" s="114">
        <v>-2</v>
      </c>
      <c r="M1029" s="114">
        <v>19</v>
      </c>
      <c r="N1029" s="114">
        <v>221</v>
      </c>
      <c r="O1029" s="114">
        <v>112</v>
      </c>
      <c r="P1029" s="114">
        <v>921</v>
      </c>
      <c r="Q1029" s="114">
        <v>3510</v>
      </c>
      <c r="R1029" s="13" t="s">
        <v>25</v>
      </c>
      <c r="S1029" s="13" t="s">
        <v>25</v>
      </c>
      <c r="T1029" s="13" t="s">
        <v>25</v>
      </c>
    </row>
    <row r="1030" spans="1:20" x14ac:dyDescent="0.3">
      <c r="A1030" s="14">
        <v>43933.708333333336</v>
      </c>
      <c r="B1030" s="13" t="s">
        <v>22</v>
      </c>
      <c r="C1030" s="114">
        <v>5</v>
      </c>
      <c r="D1030" s="13" t="s">
        <v>61</v>
      </c>
      <c r="E1030" s="114">
        <v>4543490485</v>
      </c>
      <c r="F1030" s="114">
        <v>1233845213</v>
      </c>
      <c r="G1030" s="114">
        <v>1428</v>
      </c>
      <c r="H1030" s="114">
        <v>249</v>
      </c>
      <c r="I1030" s="114">
        <v>1677</v>
      </c>
      <c r="J1030" s="114">
        <v>9052</v>
      </c>
      <c r="K1030" s="114">
        <v>10729</v>
      </c>
      <c r="L1030" s="114">
        <v>-20</v>
      </c>
      <c r="M1030" s="114">
        <v>309</v>
      </c>
      <c r="N1030" s="114">
        <v>2492</v>
      </c>
      <c r="O1030" s="114">
        <v>856</v>
      </c>
      <c r="P1030" s="114">
        <v>14077</v>
      </c>
      <c r="Q1030" s="114">
        <v>198442</v>
      </c>
      <c r="R1030" s="13" t="s">
        <v>25</v>
      </c>
      <c r="S1030" s="13" t="s">
        <v>25</v>
      </c>
      <c r="T1030" s="13" t="s">
        <v>25</v>
      </c>
    </row>
    <row r="1031" spans="1:20" x14ac:dyDescent="0.3">
      <c r="A1031" s="14">
        <v>43934.708333333336</v>
      </c>
      <c r="B1031" s="13" t="s">
        <v>22</v>
      </c>
      <c r="C1031" s="114">
        <v>13</v>
      </c>
      <c r="D1031" s="13" t="s">
        <v>42</v>
      </c>
      <c r="E1031" s="114">
        <v>4235122196</v>
      </c>
      <c r="F1031" s="114">
        <v>1339843823</v>
      </c>
      <c r="G1031" s="114">
        <v>351</v>
      </c>
      <c r="H1031" s="114">
        <v>54</v>
      </c>
      <c r="I1031" s="114">
        <v>405</v>
      </c>
      <c r="J1031" s="114">
        <v>1373</v>
      </c>
      <c r="K1031" s="114">
        <v>1778</v>
      </c>
      <c r="L1031" s="114">
        <v>36</v>
      </c>
      <c r="M1031" s="114">
        <v>53</v>
      </c>
      <c r="N1031" s="114">
        <v>211</v>
      </c>
      <c r="O1031" s="114">
        <v>224</v>
      </c>
      <c r="P1031" s="114">
        <v>2213</v>
      </c>
      <c r="Q1031" s="114">
        <v>20667</v>
      </c>
      <c r="R1031" s="13" t="s">
        <v>25</v>
      </c>
      <c r="S1031" s="13" t="s">
        <v>25</v>
      </c>
      <c r="T1031" s="13" t="s">
        <v>25</v>
      </c>
    </row>
    <row r="1032" spans="1:20" x14ac:dyDescent="0.3">
      <c r="A1032" s="14">
        <v>43934.708333333336</v>
      </c>
      <c r="B1032" s="13" t="s">
        <v>22</v>
      </c>
      <c r="C1032" s="114">
        <v>17</v>
      </c>
      <c r="D1032" s="13" t="s">
        <v>43</v>
      </c>
      <c r="E1032" s="114">
        <v>4063947052</v>
      </c>
      <c r="F1032" s="114">
        <v>1580514834</v>
      </c>
      <c r="G1032" s="114">
        <v>64</v>
      </c>
      <c r="H1032" s="114">
        <v>12</v>
      </c>
      <c r="I1032" s="114">
        <v>76</v>
      </c>
      <c r="J1032" s="114">
        <v>194</v>
      </c>
      <c r="K1032" s="114">
        <v>270</v>
      </c>
      <c r="L1032" s="114">
        <v>-7</v>
      </c>
      <c r="M1032" s="114">
        <v>4</v>
      </c>
      <c r="N1032" s="114">
        <v>31</v>
      </c>
      <c r="O1032" s="114">
        <v>18</v>
      </c>
      <c r="P1032" s="114">
        <v>319</v>
      </c>
      <c r="Q1032" s="114">
        <v>4545</v>
      </c>
      <c r="R1032" s="13" t="s">
        <v>25</v>
      </c>
      <c r="S1032" s="13" t="s">
        <v>25</v>
      </c>
      <c r="T1032" s="13" t="s">
        <v>25</v>
      </c>
    </row>
    <row r="1033" spans="1:20" x14ac:dyDescent="0.3">
      <c r="A1033" s="14">
        <v>43934.708333333336</v>
      </c>
      <c r="B1033" s="13" t="s">
        <v>22</v>
      </c>
      <c r="C1033" s="114">
        <v>4</v>
      </c>
      <c r="D1033" s="13" t="s">
        <v>44</v>
      </c>
      <c r="E1033" s="114">
        <v>4649933453</v>
      </c>
      <c r="F1033" s="114">
        <v>1135662422</v>
      </c>
      <c r="G1033" s="114">
        <v>190</v>
      </c>
      <c r="H1033" s="114">
        <v>41</v>
      </c>
      <c r="I1033" s="114">
        <v>231</v>
      </c>
      <c r="J1033" s="114">
        <v>1306</v>
      </c>
      <c r="K1033" s="114">
        <v>1537</v>
      </c>
      <c r="L1033" s="114">
        <v>22</v>
      </c>
      <c r="M1033" s="114">
        <v>51</v>
      </c>
      <c r="N1033" s="114">
        <v>400</v>
      </c>
      <c r="O1033" s="114">
        <v>212</v>
      </c>
      <c r="P1033" s="114">
        <v>2149</v>
      </c>
      <c r="Q1033" s="114">
        <v>24157</v>
      </c>
      <c r="R1033" s="13" t="s">
        <v>25</v>
      </c>
      <c r="S1033" s="13" t="s">
        <v>25</v>
      </c>
      <c r="T1033" s="13" t="s">
        <v>25</v>
      </c>
    </row>
    <row r="1034" spans="1:20" x14ac:dyDescent="0.3">
      <c r="A1034" s="14">
        <v>43934.708333333336</v>
      </c>
      <c r="B1034" s="13" t="s">
        <v>22</v>
      </c>
      <c r="C1034" s="114">
        <v>18</v>
      </c>
      <c r="D1034" s="13" t="s">
        <v>45</v>
      </c>
      <c r="E1034" s="114">
        <v>3890597598</v>
      </c>
      <c r="F1034" s="114">
        <v>1659440194</v>
      </c>
      <c r="G1034" s="114">
        <v>160</v>
      </c>
      <c r="H1034" s="114">
        <v>12</v>
      </c>
      <c r="I1034" s="114">
        <v>172</v>
      </c>
      <c r="J1034" s="114">
        <v>619</v>
      </c>
      <c r="K1034" s="114">
        <v>791</v>
      </c>
      <c r="L1034" s="114">
        <v>-4</v>
      </c>
      <c r="M1034" s="114">
        <v>5</v>
      </c>
      <c r="N1034" s="114">
        <v>70</v>
      </c>
      <c r="O1034" s="114">
        <v>67</v>
      </c>
      <c r="P1034" s="114">
        <v>928</v>
      </c>
      <c r="Q1034" s="114">
        <v>18596</v>
      </c>
      <c r="R1034" s="13" t="s">
        <v>25</v>
      </c>
      <c r="S1034" s="13" t="s">
        <v>25</v>
      </c>
      <c r="T1034" s="13" t="s">
        <v>25</v>
      </c>
    </row>
    <row r="1035" spans="1:20" x14ac:dyDescent="0.3">
      <c r="A1035" s="14">
        <v>43934.708333333336</v>
      </c>
      <c r="B1035" s="13" t="s">
        <v>22</v>
      </c>
      <c r="C1035" s="114">
        <v>15</v>
      </c>
      <c r="D1035" s="13" t="s">
        <v>46</v>
      </c>
      <c r="E1035" s="114">
        <v>4083956555</v>
      </c>
      <c r="F1035" s="114">
        <v>1425084984</v>
      </c>
      <c r="G1035" s="114">
        <v>606</v>
      </c>
      <c r="H1035" s="114">
        <v>80</v>
      </c>
      <c r="I1035" s="114">
        <v>686</v>
      </c>
      <c r="J1035" s="114">
        <v>2376</v>
      </c>
      <c r="K1035" s="114">
        <v>3062</v>
      </c>
      <c r="L1035" s="114">
        <v>5</v>
      </c>
      <c r="M1035" s="114">
        <v>66</v>
      </c>
      <c r="N1035" s="114">
        <v>360</v>
      </c>
      <c r="O1035" s="114">
        <v>248</v>
      </c>
      <c r="P1035" s="114">
        <v>3670</v>
      </c>
      <c r="Q1035" s="114">
        <v>36770</v>
      </c>
      <c r="R1035" s="13" t="s">
        <v>25</v>
      </c>
      <c r="S1035" s="13" t="s">
        <v>25</v>
      </c>
      <c r="T1035" s="13" t="s">
        <v>25</v>
      </c>
    </row>
    <row r="1036" spans="1:20" x14ac:dyDescent="0.3">
      <c r="A1036" s="14">
        <v>43934.708333333336</v>
      </c>
      <c r="B1036" s="13" t="s">
        <v>22</v>
      </c>
      <c r="C1036" s="114">
        <v>8</v>
      </c>
      <c r="D1036" s="13" t="s">
        <v>96</v>
      </c>
      <c r="E1036" s="114">
        <v>4449436681</v>
      </c>
      <c r="F1036" s="114">
        <v>113417208</v>
      </c>
      <c r="G1036" s="114">
        <v>3490</v>
      </c>
      <c r="H1036" s="114">
        <v>331</v>
      </c>
      <c r="I1036" s="114">
        <v>3821</v>
      </c>
      <c r="J1036" s="114">
        <v>9997</v>
      </c>
      <c r="K1036" s="114">
        <v>13818</v>
      </c>
      <c r="L1036" s="114">
        <v>146</v>
      </c>
      <c r="M1036" s="114">
        <v>342</v>
      </c>
      <c r="N1036" s="114">
        <v>4007</v>
      </c>
      <c r="O1036" s="114">
        <v>2615</v>
      </c>
      <c r="P1036" s="114">
        <v>20440</v>
      </c>
      <c r="Q1036" s="114">
        <v>99047</v>
      </c>
      <c r="R1036" s="13" t="s">
        <v>25</v>
      </c>
      <c r="S1036" s="13" t="s">
        <v>25</v>
      </c>
      <c r="T1036" s="13" t="s">
        <v>25</v>
      </c>
    </row>
    <row r="1037" spans="1:20" x14ac:dyDescent="0.3">
      <c r="A1037" s="14">
        <v>43934.708333333336</v>
      </c>
      <c r="B1037" s="13" t="s">
        <v>22</v>
      </c>
      <c r="C1037" s="114">
        <v>6</v>
      </c>
      <c r="D1037" s="13" t="s">
        <v>47</v>
      </c>
      <c r="E1037" s="114">
        <v>456494354</v>
      </c>
      <c r="F1037" s="114">
        <v>1376813649</v>
      </c>
      <c r="G1037" s="114">
        <v>159</v>
      </c>
      <c r="H1037" s="114">
        <v>30</v>
      </c>
      <c r="I1037" s="114">
        <v>189</v>
      </c>
      <c r="J1037" s="114">
        <v>1118</v>
      </c>
      <c r="K1037" s="114">
        <v>1307</v>
      </c>
      <c r="L1037" s="114">
        <v>-19</v>
      </c>
      <c r="M1037" s="114">
        <v>51</v>
      </c>
      <c r="N1037" s="114">
        <v>973</v>
      </c>
      <c r="O1037" s="114">
        <v>202</v>
      </c>
      <c r="P1037" s="114">
        <v>2482</v>
      </c>
      <c r="Q1037" s="114">
        <v>30941</v>
      </c>
      <c r="R1037" s="13" t="s">
        <v>25</v>
      </c>
      <c r="S1037" s="13" t="s">
        <v>25</v>
      </c>
      <c r="T1037" s="13" t="s">
        <v>25</v>
      </c>
    </row>
    <row r="1038" spans="1:20" x14ac:dyDescent="0.3">
      <c r="A1038" s="14">
        <v>43934.708333333336</v>
      </c>
      <c r="B1038" s="13" t="s">
        <v>22</v>
      </c>
      <c r="C1038" s="114">
        <v>12</v>
      </c>
      <c r="D1038" s="13" t="s">
        <v>48</v>
      </c>
      <c r="E1038" s="114">
        <v>4189277044</v>
      </c>
      <c r="F1038" s="114">
        <v>1248366722</v>
      </c>
      <c r="G1038" s="114">
        <v>1314</v>
      </c>
      <c r="H1038" s="114">
        <v>200</v>
      </c>
      <c r="I1038" s="114">
        <v>1514</v>
      </c>
      <c r="J1038" s="114">
        <v>2406</v>
      </c>
      <c r="K1038" s="114">
        <v>3920</v>
      </c>
      <c r="L1038" s="114">
        <v>103</v>
      </c>
      <c r="M1038" s="114">
        <v>123</v>
      </c>
      <c r="N1038" s="114">
        <v>764</v>
      </c>
      <c r="O1038" s="114">
        <v>284</v>
      </c>
      <c r="P1038" s="114">
        <v>4968</v>
      </c>
      <c r="Q1038" s="114">
        <v>72746</v>
      </c>
      <c r="R1038" s="13" t="s">
        <v>25</v>
      </c>
      <c r="S1038" s="13" t="s">
        <v>25</v>
      </c>
      <c r="T1038" s="13" t="s">
        <v>25</v>
      </c>
    </row>
    <row r="1039" spans="1:20" x14ac:dyDescent="0.3">
      <c r="A1039" s="14">
        <v>43934.708333333336</v>
      </c>
      <c r="B1039" s="13" t="s">
        <v>22</v>
      </c>
      <c r="C1039" s="114">
        <v>7</v>
      </c>
      <c r="D1039" s="13" t="s">
        <v>49</v>
      </c>
      <c r="E1039" s="114">
        <v>4441149315</v>
      </c>
      <c r="F1039" s="114">
        <v>89326992</v>
      </c>
      <c r="G1039" s="114">
        <v>1088</v>
      </c>
      <c r="H1039" s="114">
        <v>138</v>
      </c>
      <c r="I1039" s="114">
        <v>1226</v>
      </c>
      <c r="J1039" s="114">
        <v>2139</v>
      </c>
      <c r="K1039" s="114">
        <v>3365</v>
      </c>
      <c r="L1039" s="114">
        <v>32</v>
      </c>
      <c r="M1039" s="114">
        <v>102</v>
      </c>
      <c r="N1039" s="114">
        <v>1471</v>
      </c>
      <c r="O1039" s="114">
        <v>760</v>
      </c>
      <c r="P1039" s="114">
        <v>5596</v>
      </c>
      <c r="Q1039" s="114">
        <v>23129</v>
      </c>
      <c r="R1039" s="13" t="s">
        <v>25</v>
      </c>
      <c r="S1039" s="13" t="s">
        <v>25</v>
      </c>
      <c r="T1039" s="13" t="s">
        <v>25</v>
      </c>
    </row>
    <row r="1040" spans="1:20" x14ac:dyDescent="0.3">
      <c r="A1040" s="14">
        <v>43934.708333333336</v>
      </c>
      <c r="B1040" s="13" t="s">
        <v>22</v>
      </c>
      <c r="C1040" s="114">
        <v>3</v>
      </c>
      <c r="D1040" s="13" t="s">
        <v>50</v>
      </c>
      <c r="E1040" s="114">
        <v>4546679409</v>
      </c>
      <c r="F1040" s="114">
        <v>9190347404</v>
      </c>
      <c r="G1040" s="114">
        <v>12028</v>
      </c>
      <c r="H1040" s="114">
        <v>1143</v>
      </c>
      <c r="I1040" s="114">
        <v>13171</v>
      </c>
      <c r="J1040" s="114">
        <v>18764</v>
      </c>
      <c r="K1040" s="114">
        <v>31935</v>
      </c>
      <c r="L1040" s="114">
        <v>670</v>
      </c>
      <c r="M1040" s="114">
        <v>1262</v>
      </c>
      <c r="N1040" s="114">
        <v>17478</v>
      </c>
      <c r="O1040" s="114">
        <v>10901</v>
      </c>
      <c r="P1040" s="114">
        <v>60314</v>
      </c>
      <c r="Q1040" s="114">
        <v>211092</v>
      </c>
      <c r="R1040" s="13" t="s">
        <v>25</v>
      </c>
      <c r="S1040" s="13" t="s">
        <v>25</v>
      </c>
      <c r="T1040" s="13" t="s">
        <v>25</v>
      </c>
    </row>
    <row r="1041" spans="1:20" x14ac:dyDescent="0.3">
      <c r="A1041" s="14">
        <v>43934.708333333336</v>
      </c>
      <c r="B1041" s="13" t="s">
        <v>22</v>
      </c>
      <c r="C1041" s="114">
        <v>11</v>
      </c>
      <c r="D1041" s="13" t="s">
        <v>51</v>
      </c>
      <c r="E1041" s="114">
        <v>4361675973</v>
      </c>
      <c r="F1041" s="114">
        <v>135188753</v>
      </c>
      <c r="G1041" s="114">
        <v>959</v>
      </c>
      <c r="H1041" s="114">
        <v>108</v>
      </c>
      <c r="I1041" s="114">
        <v>1067</v>
      </c>
      <c r="J1041" s="114">
        <v>2013</v>
      </c>
      <c r="K1041" s="114">
        <v>3080</v>
      </c>
      <c r="L1041" s="114">
        <v>-34</v>
      </c>
      <c r="M1041" s="114">
        <v>78</v>
      </c>
      <c r="N1041" s="114">
        <v>1588</v>
      </c>
      <c r="O1041" s="114">
        <v>713</v>
      </c>
      <c r="P1041" s="114">
        <v>5381</v>
      </c>
      <c r="Q1041" s="114">
        <v>28379</v>
      </c>
      <c r="R1041" s="13" t="s">
        <v>25</v>
      </c>
      <c r="S1041" s="13" t="s">
        <v>25</v>
      </c>
      <c r="T1041" s="13" t="s">
        <v>25</v>
      </c>
    </row>
    <row r="1042" spans="1:20" x14ac:dyDescent="0.3">
      <c r="A1042" s="14">
        <v>43934.708333333336</v>
      </c>
      <c r="B1042" s="13" t="s">
        <v>22</v>
      </c>
      <c r="C1042" s="114">
        <v>14</v>
      </c>
      <c r="D1042" s="13" t="s">
        <v>52</v>
      </c>
      <c r="E1042" s="114">
        <v>4155774754</v>
      </c>
      <c r="F1042" s="114">
        <v>1465916051</v>
      </c>
      <c r="G1042" s="114">
        <v>28</v>
      </c>
      <c r="H1042" s="114">
        <v>4</v>
      </c>
      <c r="I1042" s="114">
        <v>32</v>
      </c>
      <c r="J1042" s="114">
        <v>170</v>
      </c>
      <c r="K1042" s="114">
        <v>202</v>
      </c>
      <c r="L1042" s="114">
        <v>0</v>
      </c>
      <c r="M1042" s="114">
        <v>0</v>
      </c>
      <c r="N1042" s="114">
        <v>40</v>
      </c>
      <c r="O1042" s="114">
        <v>15</v>
      </c>
      <c r="P1042" s="114">
        <v>257</v>
      </c>
      <c r="Q1042" s="114">
        <v>2522</v>
      </c>
      <c r="R1042" s="13" t="s">
        <v>25</v>
      </c>
      <c r="S1042" s="13" t="s">
        <v>25</v>
      </c>
      <c r="T1042" s="13" t="s">
        <v>25</v>
      </c>
    </row>
    <row r="1043" spans="1:20" x14ac:dyDescent="0.3">
      <c r="A1043" s="14">
        <v>43934.708333333336</v>
      </c>
      <c r="B1043" s="13" t="s">
        <v>22</v>
      </c>
      <c r="C1043" s="114">
        <v>1</v>
      </c>
      <c r="D1043" s="13" t="s">
        <v>53</v>
      </c>
      <c r="E1043" s="114">
        <v>450732745</v>
      </c>
      <c r="F1043" s="114">
        <v>7680687483</v>
      </c>
      <c r="G1043" s="114">
        <v>3344</v>
      </c>
      <c r="H1043" s="114">
        <v>379</v>
      </c>
      <c r="I1043" s="114">
        <v>3723</v>
      </c>
      <c r="J1043" s="114">
        <v>9042</v>
      </c>
      <c r="K1043" s="114">
        <v>12765</v>
      </c>
      <c r="L1043" s="114">
        <v>260</v>
      </c>
      <c r="M1043" s="114">
        <v>474</v>
      </c>
      <c r="N1043" s="114">
        <v>2543</v>
      </c>
      <c r="O1043" s="114">
        <v>1826</v>
      </c>
      <c r="P1043" s="114">
        <v>17134</v>
      </c>
      <c r="Q1043" s="114">
        <v>69170</v>
      </c>
      <c r="R1043" s="13" t="s">
        <v>25</v>
      </c>
      <c r="S1043" s="13" t="s">
        <v>25</v>
      </c>
      <c r="T1043" s="13" t="s">
        <v>25</v>
      </c>
    </row>
    <row r="1044" spans="1:20" x14ac:dyDescent="0.3">
      <c r="A1044" s="14">
        <v>43934.708333333336</v>
      </c>
      <c r="B1044" s="13" t="s">
        <v>22</v>
      </c>
      <c r="C1044" s="114">
        <v>16</v>
      </c>
      <c r="D1044" s="13" t="s">
        <v>54</v>
      </c>
      <c r="E1044" s="114">
        <v>4112559576</v>
      </c>
      <c r="F1044" s="114">
        <v>1686736689</v>
      </c>
      <c r="G1044" s="114">
        <v>600</v>
      </c>
      <c r="H1044" s="114">
        <v>71</v>
      </c>
      <c r="I1044" s="114">
        <v>671</v>
      </c>
      <c r="J1044" s="114">
        <v>1841</v>
      </c>
      <c r="K1044" s="114">
        <v>2512</v>
      </c>
      <c r="L1044" s="114">
        <v>60</v>
      </c>
      <c r="M1044" s="114">
        <v>76</v>
      </c>
      <c r="N1044" s="114">
        <v>286</v>
      </c>
      <c r="O1044" s="114">
        <v>267</v>
      </c>
      <c r="P1044" s="114">
        <v>3065</v>
      </c>
      <c r="Q1044" s="114">
        <v>31922</v>
      </c>
      <c r="R1044" s="13" t="s">
        <v>25</v>
      </c>
      <c r="S1044" s="13" t="s">
        <v>25</v>
      </c>
      <c r="T1044" s="13" t="s">
        <v>25</v>
      </c>
    </row>
    <row r="1045" spans="1:20" x14ac:dyDescent="0.3">
      <c r="A1045" s="14">
        <v>43934.708333333336</v>
      </c>
      <c r="B1045" s="13" t="s">
        <v>22</v>
      </c>
      <c r="C1045" s="114">
        <v>20</v>
      </c>
      <c r="D1045" s="13" t="s">
        <v>55</v>
      </c>
      <c r="E1045" s="114">
        <v>3921531192</v>
      </c>
      <c r="F1045" s="114">
        <v>9110616306</v>
      </c>
      <c r="G1045" s="114">
        <v>107</v>
      </c>
      <c r="H1045" s="114">
        <v>27</v>
      </c>
      <c r="I1045" s="114">
        <v>134</v>
      </c>
      <c r="J1045" s="114">
        <v>780</v>
      </c>
      <c r="K1045" s="114">
        <v>914</v>
      </c>
      <c r="L1045" s="114">
        <v>11</v>
      </c>
      <c r="M1045" s="114">
        <v>15</v>
      </c>
      <c r="N1045" s="114">
        <v>139</v>
      </c>
      <c r="O1045" s="114">
        <v>75</v>
      </c>
      <c r="P1045" s="114">
        <v>1128</v>
      </c>
      <c r="Q1045" s="114">
        <v>11010</v>
      </c>
      <c r="R1045" s="13" t="s">
        <v>25</v>
      </c>
      <c r="S1045" s="13" t="s">
        <v>25</v>
      </c>
      <c r="T1045" s="13" t="s">
        <v>25</v>
      </c>
    </row>
    <row r="1046" spans="1:20" x14ac:dyDescent="0.3">
      <c r="A1046" s="14">
        <v>43934.708333333336</v>
      </c>
      <c r="B1046" s="13" t="s">
        <v>22</v>
      </c>
      <c r="C1046" s="114">
        <v>19</v>
      </c>
      <c r="D1046" s="13" t="s">
        <v>56</v>
      </c>
      <c r="E1046" s="114">
        <v>3811569725</v>
      </c>
      <c r="F1046" s="114">
        <v>133623567</v>
      </c>
      <c r="G1046" s="114">
        <v>554</v>
      </c>
      <c r="H1046" s="114">
        <v>51</v>
      </c>
      <c r="I1046" s="114">
        <v>605</v>
      </c>
      <c r="J1046" s="114">
        <v>1445</v>
      </c>
      <c r="K1046" s="114">
        <v>2050</v>
      </c>
      <c r="L1046" s="114">
        <v>20</v>
      </c>
      <c r="M1046" s="114">
        <v>42</v>
      </c>
      <c r="N1046" s="114">
        <v>237</v>
      </c>
      <c r="O1046" s="114">
        <v>171</v>
      </c>
      <c r="P1046" s="114">
        <v>2458</v>
      </c>
      <c r="Q1046" s="114">
        <v>37311</v>
      </c>
      <c r="R1046" s="13" t="s">
        <v>25</v>
      </c>
      <c r="S1046" s="13" t="s">
        <v>25</v>
      </c>
      <c r="T1046" s="13" t="s">
        <v>25</v>
      </c>
    </row>
    <row r="1047" spans="1:20" x14ac:dyDescent="0.3">
      <c r="A1047" s="14">
        <v>43934.708333333336</v>
      </c>
      <c r="B1047" s="13" t="s">
        <v>22</v>
      </c>
      <c r="C1047" s="114">
        <v>9</v>
      </c>
      <c r="D1047" s="13" t="s">
        <v>57</v>
      </c>
      <c r="E1047" s="114">
        <v>4376923077</v>
      </c>
      <c r="F1047" s="114">
        <v>1125588885</v>
      </c>
      <c r="G1047" s="114">
        <v>992</v>
      </c>
      <c r="H1047" s="114">
        <v>225</v>
      </c>
      <c r="I1047" s="114">
        <v>1217</v>
      </c>
      <c r="J1047" s="114">
        <v>5040</v>
      </c>
      <c r="K1047" s="114">
        <v>6257</v>
      </c>
      <c r="L1047" s="114">
        <v>95</v>
      </c>
      <c r="M1047" s="114">
        <v>155</v>
      </c>
      <c r="N1047" s="114">
        <v>615</v>
      </c>
      <c r="O1047" s="114">
        <v>518</v>
      </c>
      <c r="P1047" s="114">
        <v>7390</v>
      </c>
      <c r="Q1047" s="114">
        <v>80889</v>
      </c>
      <c r="R1047" s="13" t="s">
        <v>25</v>
      </c>
      <c r="S1047" s="13" t="s">
        <v>25</v>
      </c>
      <c r="T1047" s="13" t="s">
        <v>25</v>
      </c>
    </row>
    <row r="1048" spans="1:20" x14ac:dyDescent="0.3">
      <c r="A1048" s="14">
        <v>43934.708333333336</v>
      </c>
      <c r="B1048" s="13" t="s">
        <v>22</v>
      </c>
      <c r="C1048" s="114">
        <v>4</v>
      </c>
      <c r="D1048" s="13" t="s">
        <v>58</v>
      </c>
      <c r="E1048" s="114">
        <v>4606893511</v>
      </c>
      <c r="F1048" s="114">
        <v>1112123097</v>
      </c>
      <c r="G1048" s="114">
        <v>326</v>
      </c>
      <c r="H1048" s="114">
        <v>56</v>
      </c>
      <c r="I1048" s="114">
        <v>382</v>
      </c>
      <c r="J1048" s="114">
        <v>1698</v>
      </c>
      <c r="K1048" s="114">
        <v>2080</v>
      </c>
      <c r="L1048" s="114">
        <v>-2</v>
      </c>
      <c r="M1048" s="114">
        <v>73</v>
      </c>
      <c r="N1048" s="114">
        <v>746</v>
      </c>
      <c r="O1048" s="114">
        <v>300</v>
      </c>
      <c r="P1048" s="114">
        <v>3126</v>
      </c>
      <c r="Q1048" s="114">
        <v>18586</v>
      </c>
      <c r="R1048" s="13" t="s">
        <v>25</v>
      </c>
      <c r="S1048" s="13" t="s">
        <v>25</v>
      </c>
      <c r="T1048" s="13" t="s">
        <v>25</v>
      </c>
    </row>
    <row r="1049" spans="1:20" x14ac:dyDescent="0.3">
      <c r="A1049" s="14">
        <v>43934.708333333336</v>
      </c>
      <c r="B1049" s="13" t="s">
        <v>22</v>
      </c>
      <c r="C1049" s="114">
        <v>10</v>
      </c>
      <c r="D1049" s="13" t="s">
        <v>59</v>
      </c>
      <c r="E1049" s="114">
        <v>4310675841</v>
      </c>
      <c r="F1049" s="114">
        <v>1238824698</v>
      </c>
      <c r="G1049" s="114">
        <v>127</v>
      </c>
      <c r="H1049" s="114">
        <v>38</v>
      </c>
      <c r="I1049" s="114">
        <v>165</v>
      </c>
      <c r="J1049" s="114">
        <v>460</v>
      </c>
      <c r="K1049" s="114">
        <v>625</v>
      </c>
      <c r="L1049" s="114">
        <v>-62</v>
      </c>
      <c r="M1049" s="114">
        <v>1</v>
      </c>
      <c r="N1049" s="114">
        <v>643</v>
      </c>
      <c r="O1049" s="114">
        <v>52</v>
      </c>
      <c r="P1049" s="114">
        <v>1320</v>
      </c>
      <c r="Q1049" s="114">
        <v>18740</v>
      </c>
      <c r="R1049" s="13" t="s">
        <v>25</v>
      </c>
      <c r="S1049" s="13" t="s">
        <v>25</v>
      </c>
      <c r="T1049" s="13" t="s">
        <v>25</v>
      </c>
    </row>
    <row r="1050" spans="1:20" x14ac:dyDescent="0.3">
      <c r="A1050" s="14">
        <v>43934.708333333336</v>
      </c>
      <c r="B1050" s="13" t="s">
        <v>22</v>
      </c>
      <c r="C1050" s="114">
        <v>2</v>
      </c>
      <c r="D1050" s="13" t="s">
        <v>60</v>
      </c>
      <c r="E1050" s="114">
        <v>4573750286</v>
      </c>
      <c r="F1050" s="114">
        <v>7320149366</v>
      </c>
      <c r="G1050" s="114">
        <v>109</v>
      </c>
      <c r="H1050" s="114">
        <v>15</v>
      </c>
      <c r="I1050" s="114">
        <v>124</v>
      </c>
      <c r="J1050" s="114">
        <v>458</v>
      </c>
      <c r="K1050" s="114">
        <v>582</v>
      </c>
      <c r="L1050" s="114">
        <v>-6</v>
      </c>
      <c r="M1050" s="114">
        <v>6</v>
      </c>
      <c r="N1050" s="114">
        <v>230</v>
      </c>
      <c r="O1050" s="114">
        <v>115</v>
      </c>
      <c r="P1050" s="114">
        <v>927</v>
      </c>
      <c r="Q1050" s="114">
        <v>3614</v>
      </c>
      <c r="R1050" s="13" t="s">
        <v>25</v>
      </c>
      <c r="S1050" s="13" t="s">
        <v>25</v>
      </c>
      <c r="T1050" s="13" t="s">
        <v>25</v>
      </c>
    </row>
    <row r="1051" spans="1:20" x14ac:dyDescent="0.3">
      <c r="A1051" s="14">
        <v>43934.708333333336</v>
      </c>
      <c r="B1051" s="13" t="s">
        <v>22</v>
      </c>
      <c r="C1051" s="114">
        <v>5</v>
      </c>
      <c r="D1051" s="13" t="s">
        <v>61</v>
      </c>
      <c r="E1051" s="114">
        <v>4543490485</v>
      </c>
      <c r="F1051" s="114">
        <v>1233845213</v>
      </c>
      <c r="G1051" s="114">
        <v>1427</v>
      </c>
      <c r="H1051" s="114">
        <v>245</v>
      </c>
      <c r="I1051" s="114">
        <v>1672</v>
      </c>
      <c r="J1051" s="114">
        <v>9094</v>
      </c>
      <c r="K1051" s="114">
        <v>10766</v>
      </c>
      <c r="L1051" s="114">
        <v>37</v>
      </c>
      <c r="M1051" s="114">
        <v>174</v>
      </c>
      <c r="N1051" s="114">
        <v>2603</v>
      </c>
      <c r="O1051" s="114">
        <v>882</v>
      </c>
      <c r="P1051" s="114">
        <v>14251</v>
      </c>
      <c r="Q1051" s="114">
        <v>203077</v>
      </c>
      <c r="R1051" s="13" t="s">
        <v>25</v>
      </c>
      <c r="S1051" s="13" t="s">
        <v>25</v>
      </c>
      <c r="T1051" s="13" t="s">
        <v>25</v>
      </c>
    </row>
    <row r="1052" spans="1:20" x14ac:dyDescent="0.3">
      <c r="A1052" s="14">
        <v>43935.708333333336</v>
      </c>
      <c r="B1052" s="13" t="s">
        <v>22</v>
      </c>
      <c r="C1052" s="114">
        <v>13</v>
      </c>
      <c r="D1052" s="13" t="s">
        <v>42</v>
      </c>
      <c r="E1052" s="114">
        <v>4235122196</v>
      </c>
      <c r="F1052" s="114">
        <v>1339843823</v>
      </c>
      <c r="G1052" s="114">
        <v>345</v>
      </c>
      <c r="H1052" s="114">
        <v>52</v>
      </c>
      <c r="I1052" s="114">
        <v>397</v>
      </c>
      <c r="J1052" s="114">
        <v>1403</v>
      </c>
      <c r="K1052" s="114">
        <v>1800</v>
      </c>
      <c r="L1052" s="114">
        <v>22</v>
      </c>
      <c r="M1052" s="114">
        <v>32</v>
      </c>
      <c r="N1052" s="114">
        <v>213</v>
      </c>
      <c r="O1052" s="114">
        <v>232</v>
      </c>
      <c r="P1052" s="114">
        <v>2245</v>
      </c>
      <c r="Q1052" s="114">
        <v>20935</v>
      </c>
      <c r="R1052" s="13" t="s">
        <v>25</v>
      </c>
      <c r="S1052" s="13" t="s">
        <v>25</v>
      </c>
      <c r="T1052" s="13" t="s">
        <v>25</v>
      </c>
    </row>
    <row r="1053" spans="1:20" x14ac:dyDescent="0.3">
      <c r="A1053" s="14">
        <v>43935.708333333336</v>
      </c>
      <c r="B1053" s="13" t="s">
        <v>22</v>
      </c>
      <c r="C1053" s="114">
        <v>17</v>
      </c>
      <c r="D1053" s="13" t="s">
        <v>43</v>
      </c>
      <c r="E1053" s="114">
        <v>4063947052</v>
      </c>
      <c r="F1053" s="114">
        <v>1580514834</v>
      </c>
      <c r="G1053" s="114">
        <v>62</v>
      </c>
      <c r="H1053" s="114">
        <v>12</v>
      </c>
      <c r="I1053" s="114">
        <v>74</v>
      </c>
      <c r="J1053" s="114">
        <v>191</v>
      </c>
      <c r="K1053" s="114">
        <v>265</v>
      </c>
      <c r="L1053" s="114">
        <v>-5</v>
      </c>
      <c r="M1053" s="114">
        <v>0</v>
      </c>
      <c r="N1053" s="114">
        <v>35</v>
      </c>
      <c r="O1053" s="114">
        <v>19</v>
      </c>
      <c r="P1053" s="114">
        <v>319</v>
      </c>
      <c r="Q1053" s="114">
        <v>4759</v>
      </c>
      <c r="R1053" s="13" t="s">
        <v>25</v>
      </c>
      <c r="S1053" s="13" t="s">
        <v>25</v>
      </c>
      <c r="T1053" s="13" t="s">
        <v>25</v>
      </c>
    </row>
    <row r="1054" spans="1:20" x14ac:dyDescent="0.3">
      <c r="A1054" s="14">
        <v>43935.708333333336</v>
      </c>
      <c r="B1054" s="13" t="s">
        <v>22</v>
      </c>
      <c r="C1054" s="114">
        <v>4</v>
      </c>
      <c r="D1054" s="13" t="s">
        <v>44</v>
      </c>
      <c r="E1054" s="114">
        <v>4649933453</v>
      </c>
      <c r="F1054" s="114">
        <v>1135662422</v>
      </c>
      <c r="G1054" s="114">
        <v>177</v>
      </c>
      <c r="H1054" s="114">
        <v>39</v>
      </c>
      <c r="I1054" s="114">
        <v>216</v>
      </c>
      <c r="J1054" s="114">
        <v>1348</v>
      </c>
      <c r="K1054" s="114">
        <v>1564</v>
      </c>
      <c r="L1054" s="114">
        <v>27</v>
      </c>
      <c r="M1054" s="114">
        <v>35</v>
      </c>
      <c r="N1054" s="114">
        <v>406</v>
      </c>
      <c r="O1054" s="114">
        <v>214</v>
      </c>
      <c r="P1054" s="114">
        <v>2184</v>
      </c>
      <c r="Q1054" s="114">
        <v>24457</v>
      </c>
      <c r="R1054" s="13" t="s">
        <v>25</v>
      </c>
      <c r="S1054" s="13" t="s">
        <v>25</v>
      </c>
      <c r="T1054" s="13" t="s">
        <v>25</v>
      </c>
    </row>
    <row r="1055" spans="1:20" x14ac:dyDescent="0.3">
      <c r="A1055" s="14">
        <v>43935.708333333336</v>
      </c>
      <c r="B1055" s="13" t="s">
        <v>22</v>
      </c>
      <c r="C1055" s="114">
        <v>18</v>
      </c>
      <c r="D1055" s="13" t="s">
        <v>45</v>
      </c>
      <c r="E1055" s="114">
        <v>3890597598</v>
      </c>
      <c r="F1055" s="114">
        <v>1659440194</v>
      </c>
      <c r="G1055" s="114">
        <v>161</v>
      </c>
      <c r="H1055" s="114">
        <v>12</v>
      </c>
      <c r="I1055" s="114">
        <v>173</v>
      </c>
      <c r="J1055" s="114">
        <v>643</v>
      </c>
      <c r="K1055" s="114">
        <v>816</v>
      </c>
      <c r="L1055" s="114">
        <v>25</v>
      </c>
      <c r="M1055" s="114">
        <v>28</v>
      </c>
      <c r="N1055" s="114">
        <v>72</v>
      </c>
      <c r="O1055" s="114">
        <v>68</v>
      </c>
      <c r="P1055" s="114">
        <v>956</v>
      </c>
      <c r="Q1055" s="114">
        <v>19014</v>
      </c>
      <c r="R1055" s="13" t="s">
        <v>25</v>
      </c>
      <c r="S1055" s="13" t="s">
        <v>25</v>
      </c>
      <c r="T1055" s="13" t="s">
        <v>25</v>
      </c>
    </row>
    <row r="1056" spans="1:20" x14ac:dyDescent="0.3">
      <c r="A1056" s="14">
        <v>43935.708333333336</v>
      </c>
      <c r="B1056" s="13" t="s">
        <v>22</v>
      </c>
      <c r="C1056" s="114">
        <v>15</v>
      </c>
      <c r="D1056" s="13" t="s">
        <v>46</v>
      </c>
      <c r="E1056" s="114">
        <v>4083956555</v>
      </c>
      <c r="F1056" s="114">
        <v>1425084984</v>
      </c>
      <c r="G1056" s="114">
        <v>618</v>
      </c>
      <c r="H1056" s="114">
        <v>82</v>
      </c>
      <c r="I1056" s="114">
        <v>700</v>
      </c>
      <c r="J1056" s="114">
        <v>2394</v>
      </c>
      <c r="K1056" s="114">
        <v>3094</v>
      </c>
      <c r="L1056" s="114">
        <v>32</v>
      </c>
      <c r="M1056" s="114">
        <v>99</v>
      </c>
      <c r="N1056" s="114">
        <v>415</v>
      </c>
      <c r="O1056" s="114">
        <v>260</v>
      </c>
      <c r="P1056" s="114">
        <v>3769</v>
      </c>
      <c r="Q1056" s="114">
        <v>38094</v>
      </c>
      <c r="R1056" s="13" t="s">
        <v>25</v>
      </c>
      <c r="S1056" s="13" t="s">
        <v>25</v>
      </c>
      <c r="T1056" s="13" t="s">
        <v>25</v>
      </c>
    </row>
    <row r="1057" spans="1:20" x14ac:dyDescent="0.3">
      <c r="A1057" s="14">
        <v>43935.708333333336</v>
      </c>
      <c r="B1057" s="13" t="s">
        <v>22</v>
      </c>
      <c r="C1057" s="114">
        <v>8</v>
      </c>
      <c r="D1057" s="13" t="s">
        <v>96</v>
      </c>
      <c r="E1057" s="114">
        <v>4449436681</v>
      </c>
      <c r="F1057" s="114">
        <v>113417208</v>
      </c>
      <c r="G1057" s="114">
        <v>3473</v>
      </c>
      <c r="H1057" s="114">
        <v>328</v>
      </c>
      <c r="I1057" s="114">
        <v>3801</v>
      </c>
      <c r="J1057" s="114">
        <v>9977</v>
      </c>
      <c r="K1057" s="114">
        <v>13778</v>
      </c>
      <c r="L1057" s="114">
        <v>-40</v>
      </c>
      <c r="M1057" s="114">
        <v>312</v>
      </c>
      <c r="N1057" s="114">
        <v>4269</v>
      </c>
      <c r="O1057" s="114">
        <v>2705</v>
      </c>
      <c r="P1057" s="114">
        <v>20752</v>
      </c>
      <c r="Q1057" s="114">
        <v>101896</v>
      </c>
      <c r="R1057" s="13" t="s">
        <v>25</v>
      </c>
      <c r="S1057" s="13" t="s">
        <v>25</v>
      </c>
      <c r="T1057" s="13" t="s">
        <v>25</v>
      </c>
    </row>
    <row r="1058" spans="1:20" x14ac:dyDescent="0.3">
      <c r="A1058" s="14">
        <v>43935.708333333336</v>
      </c>
      <c r="B1058" s="13" t="s">
        <v>22</v>
      </c>
      <c r="C1058" s="114">
        <v>6</v>
      </c>
      <c r="D1058" s="13" t="s">
        <v>47</v>
      </c>
      <c r="E1058" s="114">
        <v>456494354</v>
      </c>
      <c r="F1058" s="114">
        <v>1376813649</v>
      </c>
      <c r="G1058" s="114">
        <v>166</v>
      </c>
      <c r="H1058" s="114">
        <v>28</v>
      </c>
      <c r="I1058" s="114">
        <v>194</v>
      </c>
      <c r="J1058" s="114">
        <v>705</v>
      </c>
      <c r="K1058" s="114">
        <v>899</v>
      </c>
      <c r="L1058" s="114">
        <v>-408</v>
      </c>
      <c r="M1058" s="114">
        <v>38</v>
      </c>
      <c r="N1058" s="114">
        <v>1415</v>
      </c>
      <c r="O1058" s="114">
        <v>206</v>
      </c>
      <c r="P1058" s="114">
        <v>2520</v>
      </c>
      <c r="Q1058" s="114">
        <v>31764</v>
      </c>
      <c r="R1058" s="13" t="s">
        <v>25</v>
      </c>
      <c r="S1058" s="13" t="s">
        <v>25</v>
      </c>
      <c r="T1058" s="13" t="s">
        <v>25</v>
      </c>
    </row>
    <row r="1059" spans="1:20" x14ac:dyDescent="0.3">
      <c r="A1059" s="14">
        <v>43935.708333333336</v>
      </c>
      <c r="B1059" s="13" t="s">
        <v>22</v>
      </c>
      <c r="C1059" s="114">
        <v>12</v>
      </c>
      <c r="D1059" s="13" t="s">
        <v>48</v>
      </c>
      <c r="E1059" s="114">
        <v>4189277044</v>
      </c>
      <c r="F1059" s="114">
        <v>1248366722</v>
      </c>
      <c r="G1059" s="114">
        <v>1344</v>
      </c>
      <c r="H1059" s="114">
        <v>199</v>
      </c>
      <c r="I1059" s="114">
        <v>1543</v>
      </c>
      <c r="J1059" s="114">
        <v>2479</v>
      </c>
      <c r="K1059" s="114">
        <v>4022</v>
      </c>
      <c r="L1059" s="114">
        <v>102</v>
      </c>
      <c r="M1059" s="114">
        <v>143</v>
      </c>
      <c r="N1059" s="114">
        <v>789</v>
      </c>
      <c r="O1059" s="114">
        <v>300</v>
      </c>
      <c r="P1059" s="114">
        <v>5111</v>
      </c>
      <c r="Q1059" s="114">
        <v>74650</v>
      </c>
      <c r="R1059" s="13" t="s">
        <v>25</v>
      </c>
      <c r="S1059" s="13" t="s">
        <v>25</v>
      </c>
      <c r="T1059" s="13" t="s">
        <v>25</v>
      </c>
    </row>
    <row r="1060" spans="1:20" x14ac:dyDescent="0.3">
      <c r="A1060" s="14">
        <v>43935.708333333336</v>
      </c>
      <c r="B1060" s="13" t="s">
        <v>22</v>
      </c>
      <c r="C1060" s="114">
        <v>7</v>
      </c>
      <c r="D1060" s="13" t="s">
        <v>49</v>
      </c>
      <c r="E1060" s="114">
        <v>4441149315</v>
      </c>
      <c r="F1060" s="114">
        <v>89326992</v>
      </c>
      <c r="G1060" s="114">
        <v>967</v>
      </c>
      <c r="H1060" s="114">
        <v>133</v>
      </c>
      <c r="I1060" s="114">
        <v>1100</v>
      </c>
      <c r="J1060" s="114">
        <v>2366</v>
      </c>
      <c r="K1060" s="114">
        <v>3466</v>
      </c>
      <c r="L1060" s="114">
        <v>101</v>
      </c>
      <c r="M1060" s="114">
        <v>212</v>
      </c>
      <c r="N1060" s="114">
        <v>1549</v>
      </c>
      <c r="O1060" s="114">
        <v>793</v>
      </c>
      <c r="P1060" s="114">
        <v>5808</v>
      </c>
      <c r="Q1060" s="114">
        <v>24446</v>
      </c>
      <c r="R1060" s="13" t="s">
        <v>25</v>
      </c>
      <c r="S1060" s="13" t="s">
        <v>25</v>
      </c>
      <c r="T1060" s="13" t="s">
        <v>25</v>
      </c>
    </row>
    <row r="1061" spans="1:20" x14ac:dyDescent="0.3">
      <c r="A1061" s="14">
        <v>43935.708333333336</v>
      </c>
      <c r="B1061" s="13" t="s">
        <v>22</v>
      </c>
      <c r="C1061" s="114">
        <v>3</v>
      </c>
      <c r="D1061" s="13" t="s">
        <v>50</v>
      </c>
      <c r="E1061" s="114">
        <v>4546679409</v>
      </c>
      <c r="F1061" s="114">
        <v>9190347404</v>
      </c>
      <c r="G1061" s="114">
        <v>12077</v>
      </c>
      <c r="H1061" s="114">
        <v>1122</v>
      </c>
      <c r="I1061" s="114">
        <v>13199</v>
      </c>
      <c r="J1061" s="114">
        <v>19164</v>
      </c>
      <c r="K1061" s="114">
        <v>32363</v>
      </c>
      <c r="L1061" s="114">
        <v>428</v>
      </c>
      <c r="M1061" s="114">
        <v>1012</v>
      </c>
      <c r="N1061" s="114">
        <v>17821</v>
      </c>
      <c r="O1061" s="114">
        <v>11142</v>
      </c>
      <c r="P1061" s="114">
        <v>61326</v>
      </c>
      <c r="Q1061" s="114">
        <v>214870</v>
      </c>
      <c r="R1061" s="13" t="s">
        <v>25</v>
      </c>
      <c r="S1061" s="13" t="s">
        <v>25</v>
      </c>
      <c r="T1061" s="13" t="s">
        <v>25</v>
      </c>
    </row>
    <row r="1062" spans="1:20" x14ac:dyDescent="0.3">
      <c r="A1062" s="14">
        <v>43935.708333333336</v>
      </c>
      <c r="B1062" s="13" t="s">
        <v>22</v>
      </c>
      <c r="C1062" s="114">
        <v>11</v>
      </c>
      <c r="D1062" s="13" t="s">
        <v>51</v>
      </c>
      <c r="E1062" s="114">
        <v>4361675973</v>
      </c>
      <c r="F1062" s="114">
        <v>135188753</v>
      </c>
      <c r="G1062" s="114">
        <v>937</v>
      </c>
      <c r="H1062" s="114">
        <v>106</v>
      </c>
      <c r="I1062" s="114">
        <v>1043</v>
      </c>
      <c r="J1062" s="114">
        <v>2052</v>
      </c>
      <c r="K1062" s="114">
        <v>3095</v>
      </c>
      <c r="L1062" s="114">
        <v>15</v>
      </c>
      <c r="M1062" s="114">
        <v>45</v>
      </c>
      <c r="N1062" s="114">
        <v>1603</v>
      </c>
      <c r="O1062" s="114">
        <v>728</v>
      </c>
      <c r="P1062" s="114">
        <v>5426</v>
      </c>
      <c r="Q1062" s="114">
        <v>29160</v>
      </c>
      <c r="R1062" s="13" t="s">
        <v>25</v>
      </c>
      <c r="S1062" s="13" t="s">
        <v>25</v>
      </c>
      <c r="T1062" s="13" t="s">
        <v>25</v>
      </c>
    </row>
    <row r="1063" spans="1:20" x14ac:dyDescent="0.3">
      <c r="A1063" s="14">
        <v>43935.708333333336</v>
      </c>
      <c r="B1063" s="13" t="s">
        <v>22</v>
      </c>
      <c r="C1063" s="114">
        <v>14</v>
      </c>
      <c r="D1063" s="13" t="s">
        <v>52</v>
      </c>
      <c r="E1063" s="114">
        <v>4155774754</v>
      </c>
      <c r="F1063" s="114">
        <v>1465916051</v>
      </c>
      <c r="G1063" s="114">
        <v>26</v>
      </c>
      <c r="H1063" s="114">
        <v>4</v>
      </c>
      <c r="I1063" s="114">
        <v>30</v>
      </c>
      <c r="J1063" s="114">
        <v>170</v>
      </c>
      <c r="K1063" s="114">
        <v>200</v>
      </c>
      <c r="L1063" s="114">
        <v>-2</v>
      </c>
      <c r="M1063" s="114">
        <v>0</v>
      </c>
      <c r="N1063" s="114">
        <v>42</v>
      </c>
      <c r="O1063" s="114">
        <v>15</v>
      </c>
      <c r="P1063" s="114">
        <v>257</v>
      </c>
      <c r="Q1063" s="114">
        <v>2522</v>
      </c>
      <c r="R1063" s="13" t="s">
        <v>25</v>
      </c>
      <c r="S1063" s="13" t="s">
        <v>25</v>
      </c>
      <c r="T1063" s="13" t="s">
        <v>25</v>
      </c>
    </row>
    <row r="1064" spans="1:20" x14ac:dyDescent="0.3">
      <c r="A1064" s="14">
        <v>43935.708333333336</v>
      </c>
      <c r="B1064" s="13" t="s">
        <v>22</v>
      </c>
      <c r="C1064" s="114">
        <v>1</v>
      </c>
      <c r="D1064" s="13" t="s">
        <v>53</v>
      </c>
      <c r="E1064" s="114">
        <v>450732745</v>
      </c>
      <c r="F1064" s="114">
        <v>7680687483</v>
      </c>
      <c r="G1064" s="114">
        <v>3395</v>
      </c>
      <c r="H1064" s="114">
        <v>367</v>
      </c>
      <c r="I1064" s="114">
        <v>3762</v>
      </c>
      <c r="J1064" s="114">
        <v>9293</v>
      </c>
      <c r="K1064" s="114">
        <v>13055</v>
      </c>
      <c r="L1064" s="114">
        <v>290</v>
      </c>
      <c r="M1064" s="114">
        <v>556</v>
      </c>
      <c r="N1064" s="114">
        <v>2708</v>
      </c>
      <c r="O1064" s="114">
        <v>1927</v>
      </c>
      <c r="P1064" s="114">
        <v>17690</v>
      </c>
      <c r="Q1064" s="114">
        <v>71678</v>
      </c>
      <c r="R1064" s="13" t="s">
        <v>25</v>
      </c>
      <c r="S1064" s="13" t="s">
        <v>25</v>
      </c>
      <c r="T1064" s="13" t="s">
        <v>25</v>
      </c>
    </row>
    <row r="1065" spans="1:20" x14ac:dyDescent="0.3">
      <c r="A1065" s="14">
        <v>43935.708333333336</v>
      </c>
      <c r="B1065" s="13" t="s">
        <v>22</v>
      </c>
      <c r="C1065" s="114">
        <v>16</v>
      </c>
      <c r="D1065" s="13" t="s">
        <v>54</v>
      </c>
      <c r="E1065" s="114">
        <v>4112559576</v>
      </c>
      <c r="F1065" s="114">
        <v>1686736689</v>
      </c>
      <c r="G1065" s="114">
        <v>611</v>
      </c>
      <c r="H1065" s="114">
        <v>62</v>
      </c>
      <c r="I1065" s="114">
        <v>673</v>
      </c>
      <c r="J1065" s="114">
        <v>1879</v>
      </c>
      <c r="K1065" s="114">
        <v>2552</v>
      </c>
      <c r="L1065" s="114">
        <v>40</v>
      </c>
      <c r="M1065" s="114">
        <v>53</v>
      </c>
      <c r="N1065" s="114">
        <v>288</v>
      </c>
      <c r="O1065" s="114">
        <v>278</v>
      </c>
      <c r="P1065" s="114">
        <v>3118</v>
      </c>
      <c r="Q1065" s="114">
        <v>33071</v>
      </c>
      <c r="R1065" s="13" t="s">
        <v>25</v>
      </c>
      <c r="S1065" s="13" t="s">
        <v>25</v>
      </c>
      <c r="T1065" s="13" t="s">
        <v>25</v>
      </c>
    </row>
    <row r="1066" spans="1:20" x14ac:dyDescent="0.3">
      <c r="A1066" s="14">
        <v>43935.708333333336</v>
      </c>
      <c r="B1066" s="13" t="s">
        <v>22</v>
      </c>
      <c r="C1066" s="114">
        <v>20</v>
      </c>
      <c r="D1066" s="13" t="s">
        <v>55</v>
      </c>
      <c r="E1066" s="114">
        <v>3921531192</v>
      </c>
      <c r="F1066" s="114">
        <v>9110616306</v>
      </c>
      <c r="G1066" s="114">
        <v>107</v>
      </c>
      <c r="H1066" s="114">
        <v>24</v>
      </c>
      <c r="I1066" s="114">
        <v>131</v>
      </c>
      <c r="J1066" s="114">
        <v>769</v>
      </c>
      <c r="K1066" s="114">
        <v>900</v>
      </c>
      <c r="L1066" s="114">
        <v>-14</v>
      </c>
      <c r="M1066" s="114">
        <v>10</v>
      </c>
      <c r="N1066" s="114">
        <v>158</v>
      </c>
      <c r="O1066" s="114">
        <v>80</v>
      </c>
      <c r="P1066" s="114">
        <v>1138</v>
      </c>
      <c r="Q1066" s="114">
        <v>11893</v>
      </c>
      <c r="R1066" s="13" t="s">
        <v>25</v>
      </c>
      <c r="S1066" s="13" t="s">
        <v>25</v>
      </c>
      <c r="T1066" s="13" t="s">
        <v>25</v>
      </c>
    </row>
    <row r="1067" spans="1:20" x14ac:dyDescent="0.3">
      <c r="A1067" s="14">
        <v>43935.708333333336</v>
      </c>
      <c r="B1067" s="13" t="s">
        <v>22</v>
      </c>
      <c r="C1067" s="114">
        <v>19</v>
      </c>
      <c r="D1067" s="13" t="s">
        <v>56</v>
      </c>
      <c r="E1067" s="114">
        <v>3811569725</v>
      </c>
      <c r="F1067" s="114">
        <v>133623567</v>
      </c>
      <c r="G1067" s="114">
        <v>552</v>
      </c>
      <c r="H1067" s="114">
        <v>53</v>
      </c>
      <c r="I1067" s="114">
        <v>605</v>
      </c>
      <c r="J1067" s="114">
        <v>1466</v>
      </c>
      <c r="K1067" s="114">
        <v>2071</v>
      </c>
      <c r="L1067" s="114">
        <v>21</v>
      </c>
      <c r="M1067" s="114">
        <v>43</v>
      </c>
      <c r="N1067" s="114">
        <v>255</v>
      </c>
      <c r="O1067" s="114">
        <v>175</v>
      </c>
      <c r="P1067" s="114">
        <v>2501</v>
      </c>
      <c r="Q1067" s="114">
        <v>37877</v>
      </c>
      <c r="R1067" s="13" t="s">
        <v>25</v>
      </c>
      <c r="S1067" s="13" t="s">
        <v>25</v>
      </c>
      <c r="T1067" s="13" t="s">
        <v>25</v>
      </c>
    </row>
    <row r="1068" spans="1:20" x14ac:dyDescent="0.3">
      <c r="A1068" s="14">
        <v>43935.708333333336</v>
      </c>
      <c r="B1068" s="13" t="s">
        <v>22</v>
      </c>
      <c r="C1068" s="114">
        <v>9</v>
      </c>
      <c r="D1068" s="13" t="s">
        <v>57</v>
      </c>
      <c r="E1068" s="114">
        <v>4376923077</v>
      </c>
      <c r="F1068" s="114">
        <v>1125588885</v>
      </c>
      <c r="G1068" s="114">
        <v>1002</v>
      </c>
      <c r="H1068" s="114">
        <v>225</v>
      </c>
      <c r="I1068" s="114">
        <v>1227</v>
      </c>
      <c r="J1068" s="114">
        <v>5125</v>
      </c>
      <c r="K1068" s="114">
        <v>6352</v>
      </c>
      <c r="L1068" s="114">
        <v>95</v>
      </c>
      <c r="M1068" s="114">
        <v>137</v>
      </c>
      <c r="N1068" s="114">
        <v>637</v>
      </c>
      <c r="O1068" s="114">
        <v>538</v>
      </c>
      <c r="P1068" s="114">
        <v>7527</v>
      </c>
      <c r="Q1068" s="114">
        <v>82269</v>
      </c>
      <c r="R1068" s="13" t="s">
        <v>25</v>
      </c>
      <c r="S1068" s="13" t="s">
        <v>25</v>
      </c>
      <c r="T1068" s="13" t="s">
        <v>25</v>
      </c>
    </row>
    <row r="1069" spans="1:20" x14ac:dyDescent="0.3">
      <c r="A1069" s="14">
        <v>43935.708333333336</v>
      </c>
      <c r="B1069" s="13" t="s">
        <v>22</v>
      </c>
      <c r="C1069" s="114">
        <v>4</v>
      </c>
      <c r="D1069" s="13" t="s">
        <v>58</v>
      </c>
      <c r="E1069" s="114">
        <v>4606893511</v>
      </c>
      <c r="F1069" s="114">
        <v>1112123097</v>
      </c>
      <c r="G1069" s="114">
        <v>325</v>
      </c>
      <c r="H1069" s="114">
        <v>54</v>
      </c>
      <c r="I1069" s="114">
        <v>379</v>
      </c>
      <c r="J1069" s="114">
        <v>1703</v>
      </c>
      <c r="K1069" s="114">
        <v>2082</v>
      </c>
      <c r="L1069" s="114">
        <v>2</v>
      </c>
      <c r="M1069" s="114">
        <v>15</v>
      </c>
      <c r="N1069" s="114">
        <v>749</v>
      </c>
      <c r="O1069" s="114">
        <v>310</v>
      </c>
      <c r="P1069" s="114">
        <v>3141</v>
      </c>
      <c r="Q1069" s="114">
        <v>18774</v>
      </c>
      <c r="R1069" s="13" t="s">
        <v>25</v>
      </c>
      <c r="S1069" s="13" t="s">
        <v>25</v>
      </c>
      <c r="T1069" s="13" t="s">
        <v>25</v>
      </c>
    </row>
    <row r="1070" spans="1:20" x14ac:dyDescent="0.3">
      <c r="A1070" s="14">
        <v>43935.708333333336</v>
      </c>
      <c r="B1070" s="13" t="s">
        <v>22</v>
      </c>
      <c r="C1070" s="114">
        <v>10</v>
      </c>
      <c r="D1070" s="13" t="s">
        <v>59</v>
      </c>
      <c r="E1070" s="114">
        <v>4310675841</v>
      </c>
      <c r="F1070" s="114">
        <v>1238824698</v>
      </c>
      <c r="G1070" s="114">
        <v>127</v>
      </c>
      <c r="H1070" s="114">
        <v>37</v>
      </c>
      <c r="I1070" s="114">
        <v>164</v>
      </c>
      <c r="J1070" s="114">
        <v>458</v>
      </c>
      <c r="K1070" s="114">
        <v>622</v>
      </c>
      <c r="L1070" s="114">
        <v>-3</v>
      </c>
      <c r="M1070" s="114">
        <v>1</v>
      </c>
      <c r="N1070" s="114">
        <v>646</v>
      </c>
      <c r="O1070" s="114">
        <v>53</v>
      </c>
      <c r="P1070" s="114">
        <v>1321</v>
      </c>
      <c r="Q1070" s="114">
        <v>18956</v>
      </c>
      <c r="R1070" s="13" t="s">
        <v>25</v>
      </c>
      <c r="S1070" s="13" t="s">
        <v>25</v>
      </c>
      <c r="T1070" s="13" t="s">
        <v>25</v>
      </c>
    </row>
    <row r="1071" spans="1:20" x14ac:dyDescent="0.3">
      <c r="A1071" s="14">
        <v>43935.708333333336</v>
      </c>
      <c r="B1071" s="13" t="s">
        <v>22</v>
      </c>
      <c r="C1071" s="114">
        <v>2</v>
      </c>
      <c r="D1071" s="13" t="s">
        <v>60</v>
      </c>
      <c r="E1071" s="114">
        <v>4573750286</v>
      </c>
      <c r="F1071" s="114">
        <v>7320149366</v>
      </c>
      <c r="G1071" s="114">
        <v>112</v>
      </c>
      <c r="H1071" s="114">
        <v>14</v>
      </c>
      <c r="I1071" s="114">
        <v>126</v>
      </c>
      <c r="J1071" s="114">
        <v>433</v>
      </c>
      <c r="K1071" s="114">
        <v>559</v>
      </c>
      <c r="L1071" s="114">
        <v>-23</v>
      </c>
      <c r="M1071" s="114">
        <v>20</v>
      </c>
      <c r="N1071" s="114">
        <v>270</v>
      </c>
      <c r="O1071" s="114">
        <v>118</v>
      </c>
      <c r="P1071" s="114">
        <v>947</v>
      </c>
      <c r="Q1071" s="114">
        <v>3726</v>
      </c>
      <c r="R1071" s="13" t="s">
        <v>25</v>
      </c>
      <c r="S1071" s="13" t="s">
        <v>25</v>
      </c>
      <c r="T1071" s="13" t="s">
        <v>25</v>
      </c>
    </row>
    <row r="1072" spans="1:20" x14ac:dyDescent="0.3">
      <c r="A1072" s="14">
        <v>43935.708333333336</v>
      </c>
      <c r="B1072" s="13" t="s">
        <v>22</v>
      </c>
      <c r="C1072" s="114">
        <v>5</v>
      </c>
      <c r="D1072" s="13" t="s">
        <v>61</v>
      </c>
      <c r="E1072" s="114">
        <v>4543490485</v>
      </c>
      <c r="F1072" s="114">
        <v>1233845213</v>
      </c>
      <c r="G1072" s="114">
        <v>1427</v>
      </c>
      <c r="H1072" s="114">
        <v>233</v>
      </c>
      <c r="I1072" s="114">
        <v>1660</v>
      </c>
      <c r="J1072" s="114">
        <v>9076</v>
      </c>
      <c r="K1072" s="114">
        <v>10736</v>
      </c>
      <c r="L1072" s="114">
        <v>-30</v>
      </c>
      <c r="M1072" s="114">
        <v>181</v>
      </c>
      <c r="N1072" s="114">
        <v>2790</v>
      </c>
      <c r="O1072" s="114">
        <v>906</v>
      </c>
      <c r="P1072" s="114">
        <v>14432</v>
      </c>
      <c r="Q1072" s="114">
        <v>208878</v>
      </c>
      <c r="R1072" s="13" t="s">
        <v>25</v>
      </c>
      <c r="S1072" s="13" t="s">
        <v>25</v>
      </c>
      <c r="T1072" s="13" t="s">
        <v>25</v>
      </c>
    </row>
    <row r="1073" spans="1:20" x14ac:dyDescent="0.3">
      <c r="A1073" s="14">
        <v>43936.708333333336</v>
      </c>
      <c r="B1073" s="13" t="s">
        <v>22</v>
      </c>
      <c r="C1073" s="114">
        <v>13</v>
      </c>
      <c r="D1073" s="13" t="s">
        <v>42</v>
      </c>
      <c r="E1073" s="114">
        <v>4235122196</v>
      </c>
      <c r="F1073" s="114">
        <v>1339843823</v>
      </c>
      <c r="G1073" s="114">
        <v>341</v>
      </c>
      <c r="H1073" s="114">
        <v>44</v>
      </c>
      <c r="I1073" s="114">
        <v>385</v>
      </c>
      <c r="J1073" s="114">
        <v>1425</v>
      </c>
      <c r="K1073" s="114">
        <v>1810</v>
      </c>
      <c r="L1073" s="114">
        <v>10</v>
      </c>
      <c r="M1073" s="114">
        <v>29</v>
      </c>
      <c r="N1073" s="114">
        <v>224</v>
      </c>
      <c r="O1073" s="114">
        <v>240</v>
      </c>
      <c r="P1073" s="114">
        <v>2274</v>
      </c>
      <c r="Q1073" s="114">
        <v>22500</v>
      </c>
      <c r="R1073" s="13" t="s">
        <v>25</v>
      </c>
      <c r="S1073" s="13" t="s">
        <v>25</v>
      </c>
      <c r="T1073" s="13" t="s">
        <v>25</v>
      </c>
    </row>
    <row r="1074" spans="1:20" x14ac:dyDescent="0.3">
      <c r="A1074" s="14">
        <v>43936.708333333336</v>
      </c>
      <c r="B1074" s="13" t="s">
        <v>22</v>
      </c>
      <c r="C1074" s="114">
        <v>17</v>
      </c>
      <c r="D1074" s="13" t="s">
        <v>43</v>
      </c>
      <c r="E1074" s="114">
        <v>4063947052</v>
      </c>
      <c r="F1074" s="114">
        <v>1580514834</v>
      </c>
      <c r="G1074" s="114">
        <v>60</v>
      </c>
      <c r="H1074" s="114">
        <v>12</v>
      </c>
      <c r="I1074" s="114">
        <v>72</v>
      </c>
      <c r="J1074" s="114">
        <v>189</v>
      </c>
      <c r="K1074" s="114">
        <v>261</v>
      </c>
      <c r="L1074" s="114">
        <v>-4</v>
      </c>
      <c r="M1074" s="114">
        <v>1</v>
      </c>
      <c r="N1074" s="114">
        <v>38</v>
      </c>
      <c r="O1074" s="114">
        <v>21</v>
      </c>
      <c r="P1074" s="114">
        <v>320</v>
      </c>
      <c r="Q1074" s="114">
        <v>5037</v>
      </c>
      <c r="R1074" s="13" t="s">
        <v>25</v>
      </c>
      <c r="S1074" s="13" t="s">
        <v>25</v>
      </c>
      <c r="T1074" s="13" t="s">
        <v>25</v>
      </c>
    </row>
    <row r="1075" spans="1:20" x14ac:dyDescent="0.3">
      <c r="A1075" s="14">
        <v>43936.708333333336</v>
      </c>
      <c r="B1075" s="13" t="s">
        <v>22</v>
      </c>
      <c r="C1075" s="114">
        <v>4</v>
      </c>
      <c r="D1075" s="13" t="s">
        <v>44</v>
      </c>
      <c r="E1075" s="114">
        <v>4649933453</v>
      </c>
      <c r="F1075" s="114">
        <v>1135662422</v>
      </c>
      <c r="G1075" s="114">
        <v>166</v>
      </c>
      <c r="H1075" s="114">
        <v>32</v>
      </c>
      <c r="I1075" s="114">
        <v>198</v>
      </c>
      <c r="J1075" s="114">
        <v>1378</v>
      </c>
      <c r="K1075" s="114">
        <v>1576</v>
      </c>
      <c r="L1075" s="114">
        <v>12</v>
      </c>
      <c r="M1075" s="114">
        <v>40</v>
      </c>
      <c r="N1075" s="114">
        <v>425</v>
      </c>
      <c r="O1075" s="114">
        <v>223</v>
      </c>
      <c r="P1075" s="114">
        <v>2224</v>
      </c>
      <c r="Q1075" s="114">
        <v>25370</v>
      </c>
      <c r="R1075" s="13" t="s">
        <v>25</v>
      </c>
      <c r="S1075" s="13" t="s">
        <v>25</v>
      </c>
      <c r="T1075" s="13" t="s">
        <v>25</v>
      </c>
    </row>
    <row r="1076" spans="1:20" x14ac:dyDescent="0.3">
      <c r="A1076" s="14">
        <v>43936.708333333336</v>
      </c>
      <c r="B1076" s="13" t="s">
        <v>22</v>
      </c>
      <c r="C1076" s="114">
        <v>18</v>
      </c>
      <c r="D1076" s="13" t="s">
        <v>45</v>
      </c>
      <c r="E1076" s="114">
        <v>3890597598</v>
      </c>
      <c r="F1076" s="114">
        <v>1659440194</v>
      </c>
      <c r="G1076" s="114">
        <v>156</v>
      </c>
      <c r="H1076" s="114">
        <v>11</v>
      </c>
      <c r="I1076" s="114">
        <v>167</v>
      </c>
      <c r="J1076" s="114">
        <v>652</v>
      </c>
      <c r="K1076" s="114">
        <v>819</v>
      </c>
      <c r="L1076" s="114">
        <v>3</v>
      </c>
      <c r="M1076" s="114">
        <v>15</v>
      </c>
      <c r="N1076" s="114">
        <v>81</v>
      </c>
      <c r="O1076" s="114">
        <v>71</v>
      </c>
      <c r="P1076" s="114">
        <v>971</v>
      </c>
      <c r="Q1076" s="114">
        <v>19662</v>
      </c>
      <c r="R1076" s="13" t="s">
        <v>25</v>
      </c>
      <c r="S1076" s="13" t="s">
        <v>25</v>
      </c>
      <c r="T1076" s="13" t="s">
        <v>25</v>
      </c>
    </row>
    <row r="1077" spans="1:20" x14ac:dyDescent="0.3">
      <c r="A1077" s="14">
        <v>43936.708333333336</v>
      </c>
      <c r="B1077" s="13" t="s">
        <v>22</v>
      </c>
      <c r="C1077" s="114">
        <v>15</v>
      </c>
      <c r="D1077" s="13" t="s">
        <v>46</v>
      </c>
      <c r="E1077" s="114">
        <v>4083956555</v>
      </c>
      <c r="F1077" s="114">
        <v>1425084984</v>
      </c>
      <c r="G1077" s="114">
        <v>607</v>
      </c>
      <c r="H1077" s="114">
        <v>86</v>
      </c>
      <c r="I1077" s="114">
        <v>693</v>
      </c>
      <c r="J1077" s="114">
        <v>2394</v>
      </c>
      <c r="K1077" s="114">
        <v>3087</v>
      </c>
      <c r="L1077" s="114">
        <v>-7</v>
      </c>
      <c r="M1077" s="114">
        <v>38</v>
      </c>
      <c r="N1077" s="114">
        <v>442</v>
      </c>
      <c r="O1077" s="114">
        <v>278</v>
      </c>
      <c r="P1077" s="114">
        <v>3807</v>
      </c>
      <c r="Q1077" s="114">
        <v>39534</v>
      </c>
      <c r="R1077" s="13" t="s">
        <v>25</v>
      </c>
      <c r="S1077" s="13" t="s">
        <v>25</v>
      </c>
      <c r="T1077" s="13" t="s">
        <v>25</v>
      </c>
    </row>
    <row r="1078" spans="1:20" x14ac:dyDescent="0.3">
      <c r="A1078" s="14">
        <v>43936.708333333336</v>
      </c>
      <c r="B1078" s="13" t="s">
        <v>22</v>
      </c>
      <c r="C1078" s="114">
        <v>8</v>
      </c>
      <c r="D1078" s="13" t="s">
        <v>96</v>
      </c>
      <c r="E1078" s="114">
        <v>4449436681</v>
      </c>
      <c r="F1078" s="114">
        <v>113417208</v>
      </c>
      <c r="G1078" s="114">
        <v>3388</v>
      </c>
      <c r="H1078" s="114">
        <v>325</v>
      </c>
      <c r="I1078" s="114">
        <v>3713</v>
      </c>
      <c r="J1078" s="114">
        <v>9864</v>
      </c>
      <c r="K1078" s="114">
        <v>13577</v>
      </c>
      <c r="L1078" s="114">
        <v>-201</v>
      </c>
      <c r="M1078" s="114">
        <v>277</v>
      </c>
      <c r="N1078" s="114">
        <v>4664</v>
      </c>
      <c r="O1078" s="114">
        <v>2788</v>
      </c>
      <c r="P1078" s="114">
        <v>21029</v>
      </c>
      <c r="Q1078" s="114">
        <v>106149</v>
      </c>
      <c r="R1078" s="13" t="s">
        <v>25</v>
      </c>
      <c r="S1078" s="13" t="s">
        <v>25</v>
      </c>
      <c r="T1078" s="13" t="s">
        <v>25</v>
      </c>
    </row>
    <row r="1079" spans="1:20" x14ac:dyDescent="0.3">
      <c r="A1079" s="14">
        <v>43936.708333333336</v>
      </c>
      <c r="B1079" s="13" t="s">
        <v>22</v>
      </c>
      <c r="C1079" s="114">
        <v>6</v>
      </c>
      <c r="D1079" s="13" t="s">
        <v>47</v>
      </c>
      <c r="E1079" s="114">
        <v>456494354</v>
      </c>
      <c r="F1079" s="114">
        <v>1376813649</v>
      </c>
      <c r="G1079" s="114">
        <v>163</v>
      </c>
      <c r="H1079" s="114">
        <v>24</v>
      </c>
      <c r="I1079" s="114">
        <v>187</v>
      </c>
      <c r="J1079" s="114">
        <v>1207</v>
      </c>
      <c r="K1079" s="114">
        <v>1394</v>
      </c>
      <c r="L1079" s="114">
        <v>495</v>
      </c>
      <c r="M1079" s="114">
        <v>24</v>
      </c>
      <c r="N1079" s="114">
        <v>938</v>
      </c>
      <c r="O1079" s="114">
        <v>212</v>
      </c>
      <c r="P1079" s="114">
        <v>2544</v>
      </c>
      <c r="Q1079" s="114">
        <v>33800</v>
      </c>
      <c r="R1079" s="13" t="s">
        <v>25</v>
      </c>
      <c r="S1079" s="13" t="s">
        <v>190</v>
      </c>
      <c r="T1079" s="13" t="s">
        <v>191</v>
      </c>
    </row>
    <row r="1080" spans="1:20" x14ac:dyDescent="0.3">
      <c r="A1080" s="14">
        <v>43936.708333333336</v>
      </c>
      <c r="B1080" s="13" t="s">
        <v>22</v>
      </c>
      <c r="C1080" s="114">
        <v>12</v>
      </c>
      <c r="D1080" s="13" t="s">
        <v>48</v>
      </c>
      <c r="E1080" s="114">
        <v>4189277044</v>
      </c>
      <c r="F1080" s="114">
        <v>1248366722</v>
      </c>
      <c r="G1080" s="114">
        <v>1342</v>
      </c>
      <c r="H1080" s="114">
        <v>196</v>
      </c>
      <c r="I1080" s="114">
        <v>1538</v>
      </c>
      <c r="J1080" s="114">
        <v>2509</v>
      </c>
      <c r="K1080" s="114">
        <v>4047</v>
      </c>
      <c r="L1080" s="114">
        <v>25</v>
      </c>
      <c r="M1080" s="114">
        <v>121</v>
      </c>
      <c r="N1080" s="114">
        <v>874</v>
      </c>
      <c r="O1080" s="114">
        <v>311</v>
      </c>
      <c r="P1080" s="114">
        <v>5232</v>
      </c>
      <c r="Q1080" s="114">
        <v>75584</v>
      </c>
      <c r="R1080" s="13" t="s">
        <v>25</v>
      </c>
      <c r="S1080" s="13" t="s">
        <v>25</v>
      </c>
      <c r="T1080" s="13" t="s">
        <v>25</v>
      </c>
    </row>
    <row r="1081" spans="1:20" x14ac:dyDescent="0.3">
      <c r="A1081" s="14">
        <v>43936.708333333336</v>
      </c>
      <c r="B1081" s="13" t="s">
        <v>22</v>
      </c>
      <c r="C1081" s="114">
        <v>7</v>
      </c>
      <c r="D1081" s="13" t="s">
        <v>49</v>
      </c>
      <c r="E1081" s="114">
        <v>4441149315</v>
      </c>
      <c r="F1081" s="114">
        <v>89326992</v>
      </c>
      <c r="G1081" s="114">
        <v>959</v>
      </c>
      <c r="H1081" s="114">
        <v>120</v>
      </c>
      <c r="I1081" s="114">
        <v>1079</v>
      </c>
      <c r="J1081" s="114">
        <v>2385</v>
      </c>
      <c r="K1081" s="114">
        <v>3464</v>
      </c>
      <c r="L1081" s="114">
        <v>-2</v>
      </c>
      <c r="M1081" s="114">
        <v>128</v>
      </c>
      <c r="N1081" s="114">
        <v>1665</v>
      </c>
      <c r="O1081" s="114">
        <v>807</v>
      </c>
      <c r="P1081" s="114">
        <v>5936</v>
      </c>
      <c r="Q1081" s="114">
        <v>25793</v>
      </c>
      <c r="R1081" s="13" t="s">
        <v>25</v>
      </c>
      <c r="S1081" s="13" t="s">
        <v>25</v>
      </c>
      <c r="T1081" s="13" t="s">
        <v>25</v>
      </c>
    </row>
    <row r="1082" spans="1:20" x14ac:dyDescent="0.3">
      <c r="A1082" s="14">
        <v>43936.708333333336</v>
      </c>
      <c r="B1082" s="13" t="s">
        <v>22</v>
      </c>
      <c r="C1082" s="114">
        <v>3</v>
      </c>
      <c r="D1082" s="13" t="s">
        <v>50</v>
      </c>
      <c r="E1082" s="114">
        <v>4546679409</v>
      </c>
      <c r="F1082" s="114">
        <v>9190347404</v>
      </c>
      <c r="G1082" s="114">
        <v>12043</v>
      </c>
      <c r="H1082" s="114">
        <v>1074</v>
      </c>
      <c r="I1082" s="114">
        <v>13117</v>
      </c>
      <c r="J1082" s="114">
        <v>19804</v>
      </c>
      <c r="K1082" s="114">
        <v>32921</v>
      </c>
      <c r="L1082" s="114">
        <v>558</v>
      </c>
      <c r="M1082" s="114">
        <v>827</v>
      </c>
      <c r="N1082" s="114">
        <v>17855</v>
      </c>
      <c r="O1082" s="114">
        <v>11377</v>
      </c>
      <c r="P1082" s="114">
        <v>62153</v>
      </c>
      <c r="Q1082" s="114">
        <v>221968</v>
      </c>
      <c r="R1082" s="13" t="s">
        <v>25</v>
      </c>
      <c r="S1082" s="13" t="s">
        <v>25</v>
      </c>
      <c r="T1082" s="13" t="s">
        <v>25</v>
      </c>
    </row>
    <row r="1083" spans="1:20" x14ac:dyDescent="0.3">
      <c r="A1083" s="14">
        <v>43936.708333333336</v>
      </c>
      <c r="B1083" s="13" t="s">
        <v>22</v>
      </c>
      <c r="C1083" s="114">
        <v>11</v>
      </c>
      <c r="D1083" s="13" t="s">
        <v>51</v>
      </c>
      <c r="E1083" s="114">
        <v>4361675973</v>
      </c>
      <c r="F1083" s="114">
        <v>135188753</v>
      </c>
      <c r="G1083" s="114">
        <v>888</v>
      </c>
      <c r="H1083" s="114">
        <v>106</v>
      </c>
      <c r="I1083" s="114">
        <v>994</v>
      </c>
      <c r="J1083" s="114">
        <v>2103</v>
      </c>
      <c r="K1083" s="114">
        <v>3097</v>
      </c>
      <c r="L1083" s="114">
        <v>2</v>
      </c>
      <c r="M1083" s="114">
        <v>77</v>
      </c>
      <c r="N1083" s="114">
        <v>1660</v>
      </c>
      <c r="O1083" s="114">
        <v>746</v>
      </c>
      <c r="P1083" s="114">
        <v>5503</v>
      </c>
      <c r="Q1083" s="114">
        <v>30329</v>
      </c>
      <c r="R1083" s="13" t="s">
        <v>25</v>
      </c>
      <c r="S1083" s="13" t="s">
        <v>25</v>
      </c>
      <c r="T1083" s="13" t="s">
        <v>25</v>
      </c>
    </row>
    <row r="1084" spans="1:20" x14ac:dyDescent="0.3">
      <c r="A1084" s="14">
        <v>43936.708333333336</v>
      </c>
      <c r="B1084" s="13" t="s">
        <v>22</v>
      </c>
      <c r="C1084" s="114">
        <v>14</v>
      </c>
      <c r="D1084" s="13" t="s">
        <v>52</v>
      </c>
      <c r="E1084" s="114">
        <v>4155774754</v>
      </c>
      <c r="F1084" s="114">
        <v>1465916051</v>
      </c>
      <c r="G1084" s="114">
        <v>27</v>
      </c>
      <c r="H1084" s="114">
        <v>4</v>
      </c>
      <c r="I1084" s="114">
        <v>31</v>
      </c>
      <c r="J1084" s="114">
        <v>175</v>
      </c>
      <c r="K1084" s="114">
        <v>206</v>
      </c>
      <c r="L1084" s="114">
        <v>6</v>
      </c>
      <c r="M1084" s="114">
        <v>6</v>
      </c>
      <c r="N1084" s="114">
        <v>42</v>
      </c>
      <c r="O1084" s="114">
        <v>15</v>
      </c>
      <c r="P1084" s="114">
        <v>263</v>
      </c>
      <c r="Q1084" s="114">
        <v>2855</v>
      </c>
      <c r="R1084" s="13" t="s">
        <v>25</v>
      </c>
      <c r="S1084" s="13" t="s">
        <v>25</v>
      </c>
      <c r="T1084" s="13" t="s">
        <v>25</v>
      </c>
    </row>
    <row r="1085" spans="1:20" x14ac:dyDescent="0.3">
      <c r="A1085" s="14">
        <v>43936.708333333336</v>
      </c>
      <c r="B1085" s="13" t="s">
        <v>22</v>
      </c>
      <c r="C1085" s="114">
        <v>1</v>
      </c>
      <c r="D1085" s="13" t="s">
        <v>53</v>
      </c>
      <c r="E1085" s="114">
        <v>450732745</v>
      </c>
      <c r="F1085" s="114">
        <v>7680687483</v>
      </c>
      <c r="G1085" s="114">
        <v>3338</v>
      </c>
      <c r="H1085" s="114">
        <v>366</v>
      </c>
      <c r="I1085" s="114">
        <v>3704</v>
      </c>
      <c r="J1085" s="114">
        <v>9491</v>
      </c>
      <c r="K1085" s="114">
        <v>13195</v>
      </c>
      <c r="L1085" s="114">
        <v>140</v>
      </c>
      <c r="M1085" s="114">
        <v>539</v>
      </c>
      <c r="N1085" s="114">
        <v>3019</v>
      </c>
      <c r="O1085" s="114">
        <v>2015</v>
      </c>
      <c r="P1085" s="114">
        <v>18229</v>
      </c>
      <c r="Q1085" s="114">
        <v>75664</v>
      </c>
      <c r="R1085" s="13" t="s">
        <v>25</v>
      </c>
      <c r="S1085" s="13" t="s">
        <v>25</v>
      </c>
      <c r="T1085" s="13" t="s">
        <v>25</v>
      </c>
    </row>
    <row r="1086" spans="1:20" x14ac:dyDescent="0.3">
      <c r="A1086" s="14">
        <v>43936.708333333336</v>
      </c>
      <c r="B1086" s="13" t="s">
        <v>22</v>
      </c>
      <c r="C1086" s="114">
        <v>16</v>
      </c>
      <c r="D1086" s="13" t="s">
        <v>54</v>
      </c>
      <c r="E1086" s="114">
        <v>4112559576</v>
      </c>
      <c r="F1086" s="114">
        <v>1686736689</v>
      </c>
      <c r="G1086" s="114">
        <v>592</v>
      </c>
      <c r="H1086" s="114">
        <v>73</v>
      </c>
      <c r="I1086" s="114">
        <v>665</v>
      </c>
      <c r="J1086" s="114">
        <v>1908</v>
      </c>
      <c r="K1086" s="114">
        <v>2573</v>
      </c>
      <c r="L1086" s="114">
        <v>21</v>
      </c>
      <c r="M1086" s="114">
        <v>66</v>
      </c>
      <c r="N1086" s="114">
        <v>323</v>
      </c>
      <c r="O1086" s="114">
        <v>288</v>
      </c>
      <c r="P1086" s="114">
        <v>3184</v>
      </c>
      <c r="Q1086" s="114">
        <v>34518</v>
      </c>
      <c r="R1086" s="13" t="s">
        <v>25</v>
      </c>
      <c r="S1086" s="13" t="s">
        <v>25</v>
      </c>
      <c r="T1086" s="13" t="s">
        <v>25</v>
      </c>
    </row>
    <row r="1087" spans="1:20" x14ac:dyDescent="0.3">
      <c r="A1087" s="14">
        <v>43936.708333333336</v>
      </c>
      <c r="B1087" s="13" t="s">
        <v>22</v>
      </c>
      <c r="C1087" s="114">
        <v>20</v>
      </c>
      <c r="D1087" s="13" t="s">
        <v>55</v>
      </c>
      <c r="E1087" s="114">
        <v>3921531192</v>
      </c>
      <c r="F1087" s="114">
        <v>9110616306</v>
      </c>
      <c r="G1087" s="114">
        <v>107</v>
      </c>
      <c r="H1087" s="114">
        <v>26</v>
      </c>
      <c r="I1087" s="114">
        <v>133</v>
      </c>
      <c r="J1087" s="114">
        <v>737</v>
      </c>
      <c r="K1087" s="114">
        <v>870</v>
      </c>
      <c r="L1087" s="114">
        <v>-30</v>
      </c>
      <c r="M1087" s="114">
        <v>23</v>
      </c>
      <c r="N1087" s="114">
        <v>208</v>
      </c>
      <c r="O1087" s="114">
        <v>83</v>
      </c>
      <c r="P1087" s="114">
        <v>1161</v>
      </c>
      <c r="Q1087" s="114">
        <v>12395</v>
      </c>
      <c r="R1087" s="13" t="s">
        <v>25</v>
      </c>
      <c r="S1087" s="13" t="s">
        <v>25</v>
      </c>
      <c r="T1087" s="13" t="s">
        <v>25</v>
      </c>
    </row>
    <row r="1088" spans="1:20" x14ac:dyDescent="0.3">
      <c r="A1088" s="14">
        <v>43936.708333333336</v>
      </c>
      <c r="B1088" s="13" t="s">
        <v>22</v>
      </c>
      <c r="C1088" s="114">
        <v>19</v>
      </c>
      <c r="D1088" s="13" t="s">
        <v>56</v>
      </c>
      <c r="E1088" s="114">
        <v>3811569725</v>
      </c>
      <c r="F1088" s="114">
        <v>133623567</v>
      </c>
      <c r="G1088" s="114">
        <v>541</v>
      </c>
      <c r="H1088" s="114">
        <v>49</v>
      </c>
      <c r="I1088" s="114">
        <v>590</v>
      </c>
      <c r="J1088" s="114">
        <v>1491</v>
      </c>
      <c r="K1088" s="114">
        <v>2081</v>
      </c>
      <c r="L1088" s="114">
        <v>10</v>
      </c>
      <c r="M1088" s="114">
        <v>34</v>
      </c>
      <c r="N1088" s="114">
        <v>273</v>
      </c>
      <c r="O1088" s="114">
        <v>181</v>
      </c>
      <c r="P1088" s="114">
        <v>2535</v>
      </c>
      <c r="Q1088" s="114">
        <v>39867</v>
      </c>
      <c r="R1088" s="13" t="s">
        <v>25</v>
      </c>
      <c r="S1088" s="13" t="s">
        <v>25</v>
      </c>
      <c r="T1088" s="13" t="s">
        <v>25</v>
      </c>
    </row>
    <row r="1089" spans="1:20" x14ac:dyDescent="0.3">
      <c r="A1089" s="14">
        <v>43936.708333333336</v>
      </c>
      <c r="B1089" s="13" t="s">
        <v>22</v>
      </c>
      <c r="C1089" s="114">
        <v>9</v>
      </c>
      <c r="D1089" s="13" t="s">
        <v>57</v>
      </c>
      <c r="E1089" s="114">
        <v>4376923077</v>
      </c>
      <c r="F1089" s="114">
        <v>1125588885</v>
      </c>
      <c r="G1089" s="114">
        <v>977</v>
      </c>
      <c r="H1089" s="114">
        <v>216</v>
      </c>
      <c r="I1089" s="114">
        <v>1193</v>
      </c>
      <c r="J1089" s="114">
        <v>5224</v>
      </c>
      <c r="K1089" s="114">
        <v>6417</v>
      </c>
      <c r="L1089" s="114">
        <v>65</v>
      </c>
      <c r="M1089" s="114">
        <v>139</v>
      </c>
      <c r="N1089" s="114">
        <v>693</v>
      </c>
      <c r="O1089" s="114">
        <v>556</v>
      </c>
      <c r="P1089" s="114">
        <v>7666</v>
      </c>
      <c r="Q1089" s="114">
        <v>86348</v>
      </c>
      <c r="R1089" s="13" t="s">
        <v>25</v>
      </c>
      <c r="S1089" s="13" t="s">
        <v>25</v>
      </c>
      <c r="T1089" s="13" t="s">
        <v>25</v>
      </c>
    </row>
    <row r="1090" spans="1:20" x14ac:dyDescent="0.3">
      <c r="A1090" s="14">
        <v>43936.708333333336</v>
      </c>
      <c r="B1090" s="13" t="s">
        <v>22</v>
      </c>
      <c r="C1090" s="114">
        <v>4</v>
      </c>
      <c r="D1090" s="13" t="s">
        <v>58</v>
      </c>
      <c r="E1090" s="114">
        <v>4606893511</v>
      </c>
      <c r="F1090" s="114">
        <v>1112123097</v>
      </c>
      <c r="G1090" s="114">
        <v>312</v>
      </c>
      <c r="H1090" s="114">
        <v>48</v>
      </c>
      <c r="I1090" s="114">
        <v>360</v>
      </c>
      <c r="J1090" s="114">
        <v>1744</v>
      </c>
      <c r="K1090" s="114">
        <v>2104</v>
      </c>
      <c r="L1090" s="114">
        <v>22</v>
      </c>
      <c r="M1090" s="114">
        <v>79</v>
      </c>
      <c r="N1090" s="114">
        <v>798</v>
      </c>
      <c r="O1090" s="114">
        <v>318</v>
      </c>
      <c r="P1090" s="114">
        <v>3220</v>
      </c>
      <c r="Q1090" s="114">
        <v>19535</v>
      </c>
      <c r="R1090" s="13" t="s">
        <v>25</v>
      </c>
      <c r="S1090" s="13" t="s">
        <v>25</v>
      </c>
      <c r="T1090" s="13" t="s">
        <v>25</v>
      </c>
    </row>
    <row r="1091" spans="1:20" x14ac:dyDescent="0.3">
      <c r="A1091" s="14">
        <v>43936.708333333336</v>
      </c>
      <c r="B1091" s="13" t="s">
        <v>22</v>
      </c>
      <c r="C1091" s="114">
        <v>10</v>
      </c>
      <c r="D1091" s="13" t="s">
        <v>59</v>
      </c>
      <c r="E1091" s="114">
        <v>4310675841</v>
      </c>
      <c r="F1091" s="114">
        <v>1238824698</v>
      </c>
      <c r="G1091" s="114">
        <v>122</v>
      </c>
      <c r="H1091" s="114">
        <v>37</v>
      </c>
      <c r="I1091" s="114">
        <v>159</v>
      </c>
      <c r="J1091" s="114">
        <v>423</v>
      </c>
      <c r="K1091" s="114">
        <v>582</v>
      </c>
      <c r="L1091" s="114">
        <v>-40</v>
      </c>
      <c r="M1091" s="114">
        <v>1</v>
      </c>
      <c r="N1091" s="114">
        <v>686</v>
      </c>
      <c r="O1091" s="114">
        <v>54</v>
      </c>
      <c r="P1091" s="114">
        <v>1322</v>
      </c>
      <c r="Q1091" s="114">
        <v>20258</v>
      </c>
      <c r="R1091" s="13" t="s">
        <v>25</v>
      </c>
      <c r="S1091" s="13" t="s">
        <v>25</v>
      </c>
      <c r="T1091" s="13" t="s">
        <v>25</v>
      </c>
    </row>
    <row r="1092" spans="1:20" x14ac:dyDescent="0.3">
      <c r="A1092" s="14">
        <v>43936.708333333336</v>
      </c>
      <c r="B1092" s="13" t="s">
        <v>22</v>
      </c>
      <c r="C1092" s="114">
        <v>2</v>
      </c>
      <c r="D1092" s="13" t="s">
        <v>60</v>
      </c>
      <c r="E1092" s="114">
        <v>4573750286</v>
      </c>
      <c r="F1092" s="114">
        <v>7320149366</v>
      </c>
      <c r="G1092" s="114">
        <v>112</v>
      </c>
      <c r="H1092" s="114">
        <v>11</v>
      </c>
      <c r="I1092" s="114">
        <v>123</v>
      </c>
      <c r="J1092" s="114">
        <v>425</v>
      </c>
      <c r="K1092" s="114">
        <v>548</v>
      </c>
      <c r="L1092" s="114">
        <v>-11</v>
      </c>
      <c r="M1092" s="114">
        <v>11</v>
      </c>
      <c r="N1092" s="114">
        <v>289</v>
      </c>
      <c r="O1092" s="114">
        <v>121</v>
      </c>
      <c r="P1092" s="114">
        <v>958</v>
      </c>
      <c r="Q1092" s="114">
        <v>3894</v>
      </c>
      <c r="R1092" s="13" t="s">
        <v>25</v>
      </c>
      <c r="S1092" s="13" t="s">
        <v>25</v>
      </c>
      <c r="T1092" s="13" t="s">
        <v>25</v>
      </c>
    </row>
    <row r="1093" spans="1:20" x14ac:dyDescent="0.3">
      <c r="A1093" s="14">
        <v>43936.708333333336</v>
      </c>
      <c r="B1093" s="13" t="s">
        <v>22</v>
      </c>
      <c r="C1093" s="114">
        <v>5</v>
      </c>
      <c r="D1093" s="13" t="s">
        <v>61</v>
      </c>
      <c r="E1093" s="114">
        <v>4543490485</v>
      </c>
      <c r="F1093" s="114">
        <v>1233845213</v>
      </c>
      <c r="G1093" s="114">
        <v>1402</v>
      </c>
      <c r="H1093" s="114">
        <v>219</v>
      </c>
      <c r="I1093" s="114">
        <v>1621</v>
      </c>
      <c r="J1093" s="114">
        <v>9168</v>
      </c>
      <c r="K1093" s="114">
        <v>10789</v>
      </c>
      <c r="L1093" s="114">
        <v>53</v>
      </c>
      <c r="M1093" s="114">
        <v>192</v>
      </c>
      <c r="N1093" s="114">
        <v>2895</v>
      </c>
      <c r="O1093" s="114">
        <v>940</v>
      </c>
      <c r="P1093" s="114">
        <v>14624</v>
      </c>
      <c r="Q1093" s="114">
        <v>216344</v>
      </c>
      <c r="R1093" s="13" t="s">
        <v>25</v>
      </c>
      <c r="S1093" s="13" t="s">
        <v>25</v>
      </c>
      <c r="T1093" s="13" t="s">
        <v>25</v>
      </c>
    </row>
    <row r="1094" spans="1:20" x14ac:dyDescent="0.3">
      <c r="A1094" s="14">
        <v>43937.708333333336</v>
      </c>
      <c r="B1094" s="13" t="s">
        <v>22</v>
      </c>
      <c r="C1094" s="114">
        <v>13</v>
      </c>
      <c r="D1094" s="13" t="s">
        <v>42</v>
      </c>
      <c r="E1094" s="114">
        <v>4235122196</v>
      </c>
      <c r="F1094" s="114">
        <v>1339843823</v>
      </c>
      <c r="G1094" s="114">
        <v>324</v>
      </c>
      <c r="H1094" s="114">
        <v>42</v>
      </c>
      <c r="I1094" s="114">
        <v>366</v>
      </c>
      <c r="J1094" s="114">
        <v>1484</v>
      </c>
      <c r="K1094" s="114">
        <v>1850</v>
      </c>
      <c r="L1094" s="114">
        <v>40</v>
      </c>
      <c r="M1094" s="114">
        <v>72</v>
      </c>
      <c r="N1094" s="114">
        <v>253</v>
      </c>
      <c r="O1094" s="114">
        <v>243</v>
      </c>
      <c r="P1094" s="114">
        <v>2346</v>
      </c>
      <c r="Q1094" s="114">
        <v>23786</v>
      </c>
      <c r="R1094" s="13" t="s">
        <v>25</v>
      </c>
      <c r="S1094" s="13" t="s">
        <v>25</v>
      </c>
      <c r="T1094" s="13" t="s">
        <v>25</v>
      </c>
    </row>
    <row r="1095" spans="1:20" x14ac:dyDescent="0.3">
      <c r="A1095" s="14">
        <v>43937.708333333336</v>
      </c>
      <c r="B1095" s="13" t="s">
        <v>22</v>
      </c>
      <c r="C1095" s="114">
        <v>17</v>
      </c>
      <c r="D1095" s="13" t="s">
        <v>43</v>
      </c>
      <c r="E1095" s="114">
        <v>4063947052</v>
      </c>
      <c r="F1095" s="114">
        <v>1580514834</v>
      </c>
      <c r="G1095" s="114">
        <v>60</v>
      </c>
      <c r="H1095" s="114">
        <v>9</v>
      </c>
      <c r="I1095" s="114">
        <v>69</v>
      </c>
      <c r="J1095" s="114">
        <v>204</v>
      </c>
      <c r="K1095" s="114">
        <v>273</v>
      </c>
      <c r="L1095" s="114">
        <v>12</v>
      </c>
      <c r="M1095" s="114">
        <v>16</v>
      </c>
      <c r="N1095" s="114">
        <v>41</v>
      </c>
      <c r="O1095" s="114">
        <v>22</v>
      </c>
      <c r="P1095" s="114">
        <v>336</v>
      </c>
      <c r="Q1095" s="114">
        <v>5349</v>
      </c>
      <c r="R1095" s="13" t="s">
        <v>25</v>
      </c>
      <c r="S1095" s="13" t="s">
        <v>25</v>
      </c>
      <c r="T1095" s="13" t="s">
        <v>25</v>
      </c>
    </row>
    <row r="1096" spans="1:20" x14ac:dyDescent="0.3">
      <c r="A1096" s="14">
        <v>43937.708333333336</v>
      </c>
      <c r="B1096" s="13" t="s">
        <v>22</v>
      </c>
      <c r="C1096" s="114">
        <v>4</v>
      </c>
      <c r="D1096" s="13" t="s">
        <v>44</v>
      </c>
      <c r="E1096" s="114">
        <v>4649933453</v>
      </c>
      <c r="F1096" s="114">
        <v>1135662422</v>
      </c>
      <c r="G1096" s="114">
        <v>180</v>
      </c>
      <c r="H1096" s="114">
        <v>34</v>
      </c>
      <c r="I1096" s="114">
        <v>214</v>
      </c>
      <c r="J1096" s="114">
        <v>1379</v>
      </c>
      <c r="K1096" s="114">
        <v>1593</v>
      </c>
      <c r="L1096" s="114">
        <v>17</v>
      </c>
      <c r="M1096" s="114">
        <v>43</v>
      </c>
      <c r="N1096" s="114">
        <v>449</v>
      </c>
      <c r="O1096" s="114">
        <v>225</v>
      </c>
      <c r="P1096" s="114">
        <v>2267</v>
      </c>
      <c r="Q1096" s="114">
        <v>26416</v>
      </c>
      <c r="R1096" s="13" t="s">
        <v>25</v>
      </c>
      <c r="S1096" s="13" t="s">
        <v>25</v>
      </c>
      <c r="T1096" s="13" t="s">
        <v>25</v>
      </c>
    </row>
    <row r="1097" spans="1:20" x14ac:dyDescent="0.3">
      <c r="A1097" s="14">
        <v>43937.708333333336</v>
      </c>
      <c r="B1097" s="13" t="s">
        <v>22</v>
      </c>
      <c r="C1097" s="114">
        <v>18</v>
      </c>
      <c r="D1097" s="13" t="s">
        <v>45</v>
      </c>
      <c r="E1097" s="114">
        <v>3890597598</v>
      </c>
      <c r="F1097" s="114">
        <v>1659440194</v>
      </c>
      <c r="G1097" s="114">
        <v>157</v>
      </c>
      <c r="H1097" s="114">
        <v>9</v>
      </c>
      <c r="I1097" s="114">
        <v>166</v>
      </c>
      <c r="J1097" s="114">
        <v>681</v>
      </c>
      <c r="K1097" s="114">
        <v>847</v>
      </c>
      <c r="L1097" s="114">
        <v>28</v>
      </c>
      <c r="M1097" s="114">
        <v>38</v>
      </c>
      <c r="N1097" s="114">
        <v>90</v>
      </c>
      <c r="O1097" s="114">
        <v>72</v>
      </c>
      <c r="P1097" s="114">
        <v>1009</v>
      </c>
      <c r="Q1097" s="114">
        <v>20642</v>
      </c>
      <c r="R1097" s="13" t="s">
        <v>25</v>
      </c>
      <c r="S1097" s="13" t="s">
        <v>25</v>
      </c>
      <c r="T1097" s="13" t="s">
        <v>25</v>
      </c>
    </row>
    <row r="1098" spans="1:20" x14ac:dyDescent="0.3">
      <c r="A1098" s="14">
        <v>43937.708333333336</v>
      </c>
      <c r="B1098" s="13" t="s">
        <v>22</v>
      </c>
      <c r="C1098" s="114">
        <v>15</v>
      </c>
      <c r="D1098" s="13" t="s">
        <v>46</v>
      </c>
      <c r="E1098" s="114">
        <v>4083956555</v>
      </c>
      <c r="F1098" s="114">
        <v>1425084984</v>
      </c>
      <c r="G1098" s="114">
        <v>618</v>
      </c>
      <c r="H1098" s="114">
        <v>76</v>
      </c>
      <c r="I1098" s="114">
        <v>694</v>
      </c>
      <c r="J1098" s="114">
        <v>2424</v>
      </c>
      <c r="K1098" s="114">
        <v>3118</v>
      </c>
      <c r="L1098" s="114">
        <v>31</v>
      </c>
      <c r="M1098" s="114">
        <v>80</v>
      </c>
      <c r="N1098" s="114">
        <v>483</v>
      </c>
      <c r="O1098" s="114">
        <v>286</v>
      </c>
      <c r="P1098" s="114">
        <v>3887</v>
      </c>
      <c r="Q1098" s="114">
        <v>41296</v>
      </c>
      <c r="R1098" s="13" t="s">
        <v>25</v>
      </c>
      <c r="S1098" s="13" t="s">
        <v>25</v>
      </c>
      <c r="T1098" s="13" t="s">
        <v>25</v>
      </c>
    </row>
    <row r="1099" spans="1:20" x14ac:dyDescent="0.3">
      <c r="A1099" s="14">
        <v>43937.708333333336</v>
      </c>
      <c r="B1099" s="13" t="s">
        <v>22</v>
      </c>
      <c r="C1099" s="114">
        <v>8</v>
      </c>
      <c r="D1099" s="13" t="s">
        <v>96</v>
      </c>
      <c r="E1099" s="114">
        <v>4449436681</v>
      </c>
      <c r="F1099" s="114">
        <v>113417208</v>
      </c>
      <c r="G1099" s="114">
        <v>3360</v>
      </c>
      <c r="H1099" s="114">
        <v>316</v>
      </c>
      <c r="I1099" s="114">
        <v>3676</v>
      </c>
      <c r="J1099" s="114">
        <v>9987</v>
      </c>
      <c r="K1099" s="114">
        <v>13663</v>
      </c>
      <c r="L1099" s="114">
        <v>86</v>
      </c>
      <c r="M1099" s="114">
        <v>457</v>
      </c>
      <c r="N1099" s="114">
        <v>4980</v>
      </c>
      <c r="O1099" s="114">
        <v>2843</v>
      </c>
      <c r="P1099" s="114">
        <v>21486</v>
      </c>
      <c r="Q1099" s="114">
        <v>112105</v>
      </c>
      <c r="R1099" s="13" t="s">
        <v>25</v>
      </c>
      <c r="S1099" s="13" t="s">
        <v>25</v>
      </c>
      <c r="T1099" s="13" t="s">
        <v>25</v>
      </c>
    </row>
    <row r="1100" spans="1:20" x14ac:dyDescent="0.3">
      <c r="A1100" s="14">
        <v>43937.708333333336</v>
      </c>
      <c r="B1100" s="13" t="s">
        <v>22</v>
      </c>
      <c r="C1100" s="114">
        <v>6</v>
      </c>
      <c r="D1100" s="13" t="s">
        <v>47</v>
      </c>
      <c r="E1100" s="114">
        <v>456494354</v>
      </c>
      <c r="F1100" s="114">
        <v>1376813649</v>
      </c>
      <c r="G1100" s="114">
        <v>159</v>
      </c>
      <c r="H1100" s="114">
        <v>26</v>
      </c>
      <c r="I1100" s="114">
        <v>185</v>
      </c>
      <c r="J1100" s="114">
        <v>1145</v>
      </c>
      <c r="K1100" s="114">
        <v>1330</v>
      </c>
      <c r="L1100" s="114">
        <v>-64</v>
      </c>
      <c r="M1100" s="114">
        <v>72</v>
      </c>
      <c r="N1100" s="114">
        <v>1069</v>
      </c>
      <c r="O1100" s="114">
        <v>217</v>
      </c>
      <c r="P1100" s="114">
        <v>2616</v>
      </c>
      <c r="Q1100" s="114">
        <v>35766</v>
      </c>
      <c r="R1100" s="13" t="s">
        <v>25</v>
      </c>
      <c r="S1100" s="13" t="s">
        <v>25</v>
      </c>
      <c r="T1100" s="13" t="s">
        <v>25</v>
      </c>
    </row>
    <row r="1101" spans="1:20" x14ac:dyDescent="0.3">
      <c r="A1101" s="14">
        <v>43937.708333333336</v>
      </c>
      <c r="B1101" s="13" t="s">
        <v>22</v>
      </c>
      <c r="C1101" s="114">
        <v>12</v>
      </c>
      <c r="D1101" s="13" t="s">
        <v>48</v>
      </c>
      <c r="E1101" s="114">
        <v>4189277044</v>
      </c>
      <c r="F1101" s="114">
        <v>1248366722</v>
      </c>
      <c r="G1101" s="114">
        <v>1347</v>
      </c>
      <c r="H1101" s="114">
        <v>197</v>
      </c>
      <c r="I1101" s="114">
        <v>1544</v>
      </c>
      <c r="J1101" s="114">
        <v>2600</v>
      </c>
      <c r="K1101" s="114">
        <v>4144</v>
      </c>
      <c r="L1101" s="114">
        <v>97</v>
      </c>
      <c r="M1101" s="114">
        <v>148</v>
      </c>
      <c r="N1101" s="114">
        <v>920</v>
      </c>
      <c r="O1101" s="114">
        <v>316</v>
      </c>
      <c r="P1101" s="114">
        <v>5380</v>
      </c>
      <c r="Q1101" s="114">
        <v>81993</v>
      </c>
      <c r="R1101" s="13" t="s">
        <v>25</v>
      </c>
      <c r="S1101" s="13" t="s">
        <v>25</v>
      </c>
      <c r="T1101" s="13" t="s">
        <v>25</v>
      </c>
    </row>
    <row r="1102" spans="1:20" x14ac:dyDescent="0.3">
      <c r="A1102" s="14">
        <v>43937.708333333336</v>
      </c>
      <c r="B1102" s="13" t="s">
        <v>22</v>
      </c>
      <c r="C1102" s="114">
        <v>7</v>
      </c>
      <c r="D1102" s="13" t="s">
        <v>49</v>
      </c>
      <c r="E1102" s="114">
        <v>4441149315</v>
      </c>
      <c r="F1102" s="114">
        <v>89326992</v>
      </c>
      <c r="G1102" s="114">
        <v>957</v>
      </c>
      <c r="H1102" s="114">
        <v>103</v>
      </c>
      <c r="I1102" s="114">
        <v>1060</v>
      </c>
      <c r="J1102" s="114">
        <v>2377</v>
      </c>
      <c r="K1102" s="114">
        <v>3437</v>
      </c>
      <c r="L1102" s="114">
        <v>-27</v>
      </c>
      <c r="M1102" s="114">
        <v>103</v>
      </c>
      <c r="N1102" s="114">
        <v>1774</v>
      </c>
      <c r="O1102" s="114">
        <v>828</v>
      </c>
      <c r="P1102" s="114">
        <v>6039</v>
      </c>
      <c r="Q1102" s="114">
        <v>26945</v>
      </c>
      <c r="R1102" s="13" t="s">
        <v>25</v>
      </c>
      <c r="S1102" s="13" t="s">
        <v>25</v>
      </c>
      <c r="T1102" s="13" t="s">
        <v>25</v>
      </c>
    </row>
    <row r="1103" spans="1:20" x14ac:dyDescent="0.3">
      <c r="A1103" s="14">
        <v>43937.708333333336</v>
      </c>
      <c r="B1103" s="13" t="s">
        <v>22</v>
      </c>
      <c r="C1103" s="114">
        <v>3</v>
      </c>
      <c r="D1103" s="13" t="s">
        <v>50</v>
      </c>
      <c r="E1103" s="114">
        <v>4546679409</v>
      </c>
      <c r="F1103" s="114">
        <v>9190347404</v>
      </c>
      <c r="G1103" s="114">
        <v>11356</v>
      </c>
      <c r="H1103" s="114">
        <v>1032</v>
      </c>
      <c r="I1103" s="114">
        <v>12388</v>
      </c>
      <c r="J1103" s="114">
        <v>20702</v>
      </c>
      <c r="K1103" s="114">
        <v>33090</v>
      </c>
      <c r="L1103" s="114">
        <v>169</v>
      </c>
      <c r="M1103" s="114">
        <v>941</v>
      </c>
      <c r="N1103" s="114">
        <v>18396</v>
      </c>
      <c r="O1103" s="114">
        <v>11608</v>
      </c>
      <c r="P1103" s="114">
        <v>63094</v>
      </c>
      <c r="Q1103" s="114">
        <v>232674</v>
      </c>
      <c r="R1103" s="13" t="s">
        <v>25</v>
      </c>
      <c r="S1103" s="13" t="s">
        <v>25</v>
      </c>
      <c r="T1103" s="13" t="s">
        <v>25</v>
      </c>
    </row>
    <row r="1104" spans="1:20" x14ac:dyDescent="0.3">
      <c r="A1104" s="14">
        <v>43937.708333333336</v>
      </c>
      <c r="B1104" s="13" t="s">
        <v>22</v>
      </c>
      <c r="C1104" s="114">
        <v>11</v>
      </c>
      <c r="D1104" s="13" t="s">
        <v>51</v>
      </c>
      <c r="E1104" s="114">
        <v>4361675973</v>
      </c>
      <c r="F1104" s="114">
        <v>135188753</v>
      </c>
      <c r="G1104" s="114">
        <v>850</v>
      </c>
      <c r="H1104" s="114">
        <v>102</v>
      </c>
      <c r="I1104" s="114">
        <v>952</v>
      </c>
      <c r="J1104" s="114">
        <v>2172</v>
      </c>
      <c r="K1104" s="114">
        <v>3124</v>
      </c>
      <c r="L1104" s="114">
        <v>27</v>
      </c>
      <c r="M1104" s="114">
        <v>79</v>
      </c>
      <c r="N1104" s="114">
        <v>1694</v>
      </c>
      <c r="O1104" s="114">
        <v>764</v>
      </c>
      <c r="P1104" s="114">
        <v>5582</v>
      </c>
      <c r="Q1104" s="114">
        <v>33778</v>
      </c>
      <c r="R1104" s="13" t="s">
        <v>25</v>
      </c>
      <c r="S1104" s="13" t="s">
        <v>25</v>
      </c>
      <c r="T1104" s="13" t="s">
        <v>25</v>
      </c>
    </row>
    <row r="1105" spans="1:20" x14ac:dyDescent="0.3">
      <c r="A1105" s="14">
        <v>43937.708333333336</v>
      </c>
      <c r="B1105" s="13" t="s">
        <v>22</v>
      </c>
      <c r="C1105" s="114">
        <v>14</v>
      </c>
      <c r="D1105" s="13" t="s">
        <v>52</v>
      </c>
      <c r="E1105" s="114">
        <v>4155774754</v>
      </c>
      <c r="F1105" s="114">
        <v>1465916051</v>
      </c>
      <c r="G1105" s="114">
        <v>25</v>
      </c>
      <c r="H1105" s="114">
        <v>4</v>
      </c>
      <c r="I1105" s="114">
        <v>29</v>
      </c>
      <c r="J1105" s="114">
        <v>174</v>
      </c>
      <c r="K1105" s="114">
        <v>203</v>
      </c>
      <c r="L1105" s="114">
        <v>-3</v>
      </c>
      <c r="M1105" s="114">
        <v>0</v>
      </c>
      <c r="N1105" s="114">
        <v>44</v>
      </c>
      <c r="O1105" s="114">
        <v>16</v>
      </c>
      <c r="P1105" s="114">
        <v>263</v>
      </c>
      <c r="Q1105" s="114">
        <v>2967</v>
      </c>
      <c r="R1105" s="13" t="s">
        <v>25</v>
      </c>
      <c r="S1105" s="13" t="s">
        <v>25</v>
      </c>
      <c r="T1105" s="13" t="s">
        <v>25</v>
      </c>
    </row>
    <row r="1106" spans="1:20" x14ac:dyDescent="0.3">
      <c r="A1106" s="14">
        <v>43937.708333333336</v>
      </c>
      <c r="B1106" s="13" t="s">
        <v>22</v>
      </c>
      <c r="C1106" s="114">
        <v>1</v>
      </c>
      <c r="D1106" s="13" t="s">
        <v>53</v>
      </c>
      <c r="E1106" s="114">
        <v>450732745</v>
      </c>
      <c r="F1106" s="114">
        <v>7680687483</v>
      </c>
      <c r="G1106" s="114">
        <v>3418</v>
      </c>
      <c r="H1106" s="114">
        <v>346</v>
      </c>
      <c r="I1106" s="114">
        <v>3764</v>
      </c>
      <c r="J1106" s="114">
        <v>10019</v>
      </c>
      <c r="K1106" s="114">
        <v>13783</v>
      </c>
      <c r="L1106" s="114">
        <v>588</v>
      </c>
      <c r="M1106" s="114">
        <v>879</v>
      </c>
      <c r="N1106" s="114">
        <v>3231</v>
      </c>
      <c r="O1106" s="114">
        <v>2094</v>
      </c>
      <c r="P1106" s="114">
        <v>19108</v>
      </c>
      <c r="Q1106" s="114">
        <v>80708</v>
      </c>
      <c r="R1106" s="13" t="s">
        <v>25</v>
      </c>
      <c r="S1106" s="13" t="s">
        <v>25</v>
      </c>
      <c r="T1106" s="13" t="s">
        <v>25</v>
      </c>
    </row>
    <row r="1107" spans="1:20" x14ac:dyDescent="0.3">
      <c r="A1107" s="14">
        <v>43937.708333333336</v>
      </c>
      <c r="B1107" s="13" t="s">
        <v>22</v>
      </c>
      <c r="C1107" s="114">
        <v>16</v>
      </c>
      <c r="D1107" s="13" t="s">
        <v>54</v>
      </c>
      <c r="E1107" s="114">
        <v>4112559576</v>
      </c>
      <c r="F1107" s="114">
        <v>1686736689</v>
      </c>
      <c r="G1107" s="114">
        <v>603</v>
      </c>
      <c r="H1107" s="114">
        <v>58</v>
      </c>
      <c r="I1107" s="114">
        <v>661</v>
      </c>
      <c r="J1107" s="114">
        <v>1964</v>
      </c>
      <c r="K1107" s="114">
        <v>2625</v>
      </c>
      <c r="L1107" s="114">
        <v>52</v>
      </c>
      <c r="M1107" s="114">
        <v>74</v>
      </c>
      <c r="N1107" s="114">
        <v>334</v>
      </c>
      <c r="O1107" s="114">
        <v>299</v>
      </c>
      <c r="P1107" s="114">
        <v>3258</v>
      </c>
      <c r="Q1107" s="114">
        <v>36158</v>
      </c>
      <c r="R1107" s="13" t="s">
        <v>25</v>
      </c>
      <c r="S1107" s="13" t="s">
        <v>25</v>
      </c>
      <c r="T1107" s="13" t="s">
        <v>25</v>
      </c>
    </row>
    <row r="1108" spans="1:20" x14ac:dyDescent="0.3">
      <c r="A1108" s="14">
        <v>43937.708333333336</v>
      </c>
      <c r="B1108" s="13" t="s">
        <v>22</v>
      </c>
      <c r="C1108" s="114">
        <v>20</v>
      </c>
      <c r="D1108" s="13" t="s">
        <v>55</v>
      </c>
      <c r="E1108" s="114">
        <v>3921531192</v>
      </c>
      <c r="F1108" s="114">
        <v>9110616306</v>
      </c>
      <c r="G1108" s="114">
        <v>109</v>
      </c>
      <c r="H1108" s="114">
        <v>24</v>
      </c>
      <c r="I1108" s="114">
        <v>133</v>
      </c>
      <c r="J1108" s="114">
        <v>732</v>
      </c>
      <c r="K1108" s="114">
        <v>865</v>
      </c>
      <c r="L1108" s="114">
        <v>-5</v>
      </c>
      <c r="M1108" s="114">
        <v>3</v>
      </c>
      <c r="N1108" s="114">
        <v>214</v>
      </c>
      <c r="O1108" s="114">
        <v>85</v>
      </c>
      <c r="P1108" s="114">
        <v>1164</v>
      </c>
      <c r="Q1108" s="114">
        <v>12796</v>
      </c>
      <c r="R1108" s="13" t="s">
        <v>25</v>
      </c>
      <c r="S1108" s="13" t="s">
        <v>25</v>
      </c>
      <c r="T1108" s="13" t="s">
        <v>25</v>
      </c>
    </row>
    <row r="1109" spans="1:20" x14ac:dyDescent="0.3">
      <c r="A1109" s="14">
        <v>43937.708333333336</v>
      </c>
      <c r="B1109" s="13" t="s">
        <v>22</v>
      </c>
      <c r="C1109" s="114">
        <v>19</v>
      </c>
      <c r="D1109" s="13" t="s">
        <v>56</v>
      </c>
      <c r="E1109" s="114">
        <v>3811569725</v>
      </c>
      <c r="F1109" s="114">
        <v>133623567</v>
      </c>
      <c r="G1109" s="114">
        <v>525</v>
      </c>
      <c r="H1109" s="114">
        <v>48</v>
      </c>
      <c r="I1109" s="114">
        <v>573</v>
      </c>
      <c r="J1109" s="114">
        <v>1535</v>
      </c>
      <c r="K1109" s="114">
        <v>2108</v>
      </c>
      <c r="L1109" s="114">
        <v>27</v>
      </c>
      <c r="M1109" s="114">
        <v>44</v>
      </c>
      <c r="N1109" s="114">
        <v>284</v>
      </c>
      <c r="O1109" s="114">
        <v>187</v>
      </c>
      <c r="P1109" s="114">
        <v>2579</v>
      </c>
      <c r="Q1109" s="114">
        <v>42405</v>
      </c>
      <c r="R1109" s="13" t="s">
        <v>25</v>
      </c>
      <c r="S1109" s="13" t="s">
        <v>25</v>
      </c>
      <c r="T1109" s="13" t="s">
        <v>25</v>
      </c>
    </row>
    <row r="1110" spans="1:20" x14ac:dyDescent="0.3">
      <c r="A1110" s="14">
        <v>43937.708333333336</v>
      </c>
      <c r="B1110" s="13" t="s">
        <v>22</v>
      </c>
      <c r="C1110" s="114">
        <v>9</v>
      </c>
      <c r="D1110" s="13" t="s">
        <v>57</v>
      </c>
      <c r="E1110" s="114">
        <v>4376923077</v>
      </c>
      <c r="F1110" s="114">
        <v>1125588885</v>
      </c>
      <c r="G1110" s="114">
        <v>940</v>
      </c>
      <c r="H1110" s="114">
        <v>213</v>
      </c>
      <c r="I1110" s="114">
        <v>1153</v>
      </c>
      <c r="J1110" s="114">
        <v>5460</v>
      </c>
      <c r="K1110" s="114">
        <v>6613</v>
      </c>
      <c r="L1110" s="114">
        <v>196</v>
      </c>
      <c r="M1110" s="114">
        <v>277</v>
      </c>
      <c r="N1110" s="114">
        <v>745</v>
      </c>
      <c r="O1110" s="114">
        <v>585</v>
      </c>
      <c r="P1110" s="114">
        <v>7943</v>
      </c>
      <c r="Q1110" s="114">
        <v>91651</v>
      </c>
      <c r="R1110" s="13" t="s">
        <v>25</v>
      </c>
      <c r="S1110" s="13" t="s">
        <v>25</v>
      </c>
      <c r="T1110" s="13" t="s">
        <v>25</v>
      </c>
    </row>
    <row r="1111" spans="1:20" x14ac:dyDescent="0.3">
      <c r="A1111" s="14">
        <v>43937.708333333336</v>
      </c>
      <c r="B1111" s="13" t="s">
        <v>22</v>
      </c>
      <c r="C1111" s="114">
        <v>4</v>
      </c>
      <c r="D1111" s="13" t="s">
        <v>58</v>
      </c>
      <c r="E1111" s="114">
        <v>4606893511</v>
      </c>
      <c r="F1111" s="114">
        <v>1112123097</v>
      </c>
      <c r="G1111" s="114">
        <v>296</v>
      </c>
      <c r="H1111" s="114">
        <v>43</v>
      </c>
      <c r="I1111" s="114">
        <v>339</v>
      </c>
      <c r="J1111" s="114">
        <v>1748</v>
      </c>
      <c r="K1111" s="114">
        <v>2087</v>
      </c>
      <c r="L1111" s="114">
        <v>-17</v>
      </c>
      <c r="M1111" s="114">
        <v>74</v>
      </c>
      <c r="N1111" s="114">
        <v>885</v>
      </c>
      <c r="O1111" s="114">
        <v>322</v>
      </c>
      <c r="P1111" s="114">
        <v>3294</v>
      </c>
      <c r="Q1111" s="114">
        <v>20773</v>
      </c>
      <c r="R1111" s="13" t="s">
        <v>25</v>
      </c>
      <c r="S1111" s="13" t="s">
        <v>25</v>
      </c>
      <c r="T1111" s="13" t="s">
        <v>25</v>
      </c>
    </row>
    <row r="1112" spans="1:20" x14ac:dyDescent="0.3">
      <c r="A1112" s="14">
        <v>43937.708333333336</v>
      </c>
      <c r="B1112" s="13" t="s">
        <v>22</v>
      </c>
      <c r="C1112" s="114">
        <v>10</v>
      </c>
      <c r="D1112" s="13" t="s">
        <v>59</v>
      </c>
      <c r="E1112" s="114">
        <v>4310675841</v>
      </c>
      <c r="F1112" s="114">
        <v>1238824698</v>
      </c>
      <c r="G1112" s="114">
        <v>116</v>
      </c>
      <c r="H1112" s="114">
        <v>33</v>
      </c>
      <c r="I1112" s="114">
        <v>149</v>
      </c>
      <c r="J1112" s="114">
        <v>387</v>
      </c>
      <c r="K1112" s="114">
        <v>536</v>
      </c>
      <c r="L1112" s="114">
        <v>-46</v>
      </c>
      <c r="M1112" s="114">
        <v>7</v>
      </c>
      <c r="N1112" s="114">
        <v>738</v>
      </c>
      <c r="O1112" s="114">
        <v>55</v>
      </c>
      <c r="P1112" s="114">
        <v>1329</v>
      </c>
      <c r="Q1112" s="114">
        <v>21487</v>
      </c>
      <c r="R1112" s="13" t="s">
        <v>25</v>
      </c>
      <c r="S1112" s="13" t="s">
        <v>25</v>
      </c>
      <c r="T1112" s="13" t="s">
        <v>25</v>
      </c>
    </row>
    <row r="1113" spans="1:20" x14ac:dyDescent="0.3">
      <c r="A1113" s="14">
        <v>43937.708333333336</v>
      </c>
      <c r="B1113" s="13" t="s">
        <v>22</v>
      </c>
      <c r="C1113" s="114">
        <v>2</v>
      </c>
      <c r="D1113" s="13" t="s">
        <v>60</v>
      </c>
      <c r="E1113" s="114">
        <v>4573750286</v>
      </c>
      <c r="F1113" s="114">
        <v>7320149366</v>
      </c>
      <c r="G1113" s="114">
        <v>105</v>
      </c>
      <c r="H1113" s="114">
        <v>12</v>
      </c>
      <c r="I1113" s="114">
        <v>117</v>
      </c>
      <c r="J1113" s="114">
        <v>401</v>
      </c>
      <c r="K1113" s="114">
        <v>518</v>
      </c>
      <c r="L1113" s="114">
        <v>-30</v>
      </c>
      <c r="M1113" s="114">
        <v>13</v>
      </c>
      <c r="N1113" s="114">
        <v>331</v>
      </c>
      <c r="O1113" s="114">
        <v>122</v>
      </c>
      <c r="P1113" s="114">
        <v>971</v>
      </c>
      <c r="Q1113" s="114">
        <v>4159</v>
      </c>
      <c r="R1113" s="13" t="s">
        <v>25</v>
      </c>
      <c r="S1113" s="13" t="s">
        <v>25</v>
      </c>
      <c r="T1113" s="13" t="s">
        <v>25</v>
      </c>
    </row>
    <row r="1114" spans="1:20" x14ac:dyDescent="0.3">
      <c r="A1114" s="14">
        <v>43937.708333333336</v>
      </c>
      <c r="B1114" s="13" t="s">
        <v>22</v>
      </c>
      <c r="C1114" s="114">
        <v>5</v>
      </c>
      <c r="D1114" s="13" t="s">
        <v>61</v>
      </c>
      <c r="E1114" s="114">
        <v>4543490485</v>
      </c>
      <c r="F1114" s="114">
        <v>1233845213</v>
      </c>
      <c r="G1114" s="114">
        <v>1388</v>
      </c>
      <c r="H1114" s="114">
        <v>209</v>
      </c>
      <c r="I1114" s="114">
        <v>1597</v>
      </c>
      <c r="J1114" s="114">
        <v>9203</v>
      </c>
      <c r="K1114" s="114">
        <v>10800</v>
      </c>
      <c r="L1114" s="114">
        <v>11</v>
      </c>
      <c r="M1114" s="114">
        <v>366</v>
      </c>
      <c r="N1114" s="114">
        <v>3209</v>
      </c>
      <c r="O1114" s="114">
        <v>981</v>
      </c>
      <c r="P1114" s="114">
        <v>14990</v>
      </c>
      <c r="Q1114" s="114">
        <v>224549</v>
      </c>
      <c r="R1114" s="13" t="s">
        <v>25</v>
      </c>
      <c r="S1114" s="13" t="s">
        <v>25</v>
      </c>
      <c r="T1114" s="13" t="s">
        <v>25</v>
      </c>
    </row>
    <row r="1115" spans="1:20" x14ac:dyDescent="0.3">
      <c r="A1115" s="14">
        <v>43938.708333333336</v>
      </c>
      <c r="B1115" s="13" t="s">
        <v>22</v>
      </c>
      <c r="C1115" s="114">
        <v>13</v>
      </c>
      <c r="D1115" s="13" t="s">
        <v>42</v>
      </c>
      <c r="E1115" s="114">
        <v>4235122196</v>
      </c>
      <c r="F1115" s="114">
        <v>1339843823</v>
      </c>
      <c r="G1115" s="114">
        <v>319</v>
      </c>
      <c r="H1115" s="114">
        <v>43</v>
      </c>
      <c r="I1115" s="114">
        <v>362</v>
      </c>
      <c r="J1115" s="114">
        <v>1580</v>
      </c>
      <c r="K1115" s="114">
        <v>1942</v>
      </c>
      <c r="L1115" s="114">
        <v>92</v>
      </c>
      <c r="M1115" s="114">
        <v>97</v>
      </c>
      <c r="N1115" s="114">
        <v>255</v>
      </c>
      <c r="O1115" s="114">
        <v>246</v>
      </c>
      <c r="P1115" s="114">
        <v>2443</v>
      </c>
      <c r="Q1115" s="114">
        <v>25436</v>
      </c>
      <c r="R1115" s="13" t="s">
        <v>25</v>
      </c>
      <c r="S1115" s="13" t="s">
        <v>25</v>
      </c>
      <c r="T1115" s="13" t="s">
        <v>25</v>
      </c>
    </row>
    <row r="1116" spans="1:20" x14ac:dyDescent="0.3">
      <c r="A1116" s="14">
        <v>43938.708333333336</v>
      </c>
      <c r="B1116" s="13" t="s">
        <v>22</v>
      </c>
      <c r="C1116" s="114">
        <v>17</v>
      </c>
      <c r="D1116" s="13" t="s">
        <v>43</v>
      </c>
      <c r="E1116" s="114">
        <v>4063947052</v>
      </c>
      <c r="F1116" s="114">
        <v>1580514834</v>
      </c>
      <c r="G1116" s="114">
        <v>59</v>
      </c>
      <c r="H1116" s="114">
        <v>9</v>
      </c>
      <c r="I1116" s="114">
        <v>68</v>
      </c>
      <c r="J1116" s="114">
        <v>198</v>
      </c>
      <c r="K1116" s="114">
        <v>266</v>
      </c>
      <c r="L1116" s="114">
        <v>-7</v>
      </c>
      <c r="M1116" s="114">
        <v>1</v>
      </c>
      <c r="N1116" s="114">
        <v>49</v>
      </c>
      <c r="O1116" s="114">
        <v>22</v>
      </c>
      <c r="P1116" s="114">
        <v>337</v>
      </c>
      <c r="Q1116" s="114">
        <v>5710</v>
      </c>
      <c r="R1116" s="13" t="s">
        <v>25</v>
      </c>
      <c r="S1116" s="13" t="s">
        <v>25</v>
      </c>
      <c r="T1116" s="13" t="s">
        <v>25</v>
      </c>
    </row>
    <row r="1117" spans="1:20" x14ac:dyDescent="0.3">
      <c r="A1117" s="14">
        <v>43938.708333333336</v>
      </c>
      <c r="B1117" s="13" t="s">
        <v>22</v>
      </c>
      <c r="C1117" s="114">
        <v>4</v>
      </c>
      <c r="D1117" s="13" t="s">
        <v>44</v>
      </c>
      <c r="E1117" s="114">
        <v>4649933453</v>
      </c>
      <c r="F1117" s="114">
        <v>1135662422</v>
      </c>
      <c r="G1117" s="114">
        <v>181</v>
      </c>
      <c r="H1117" s="114">
        <v>32</v>
      </c>
      <c r="I1117" s="114">
        <v>213</v>
      </c>
      <c r="J1117" s="114">
        <v>1369</v>
      </c>
      <c r="K1117" s="114">
        <v>1582</v>
      </c>
      <c r="L1117" s="114">
        <v>-11</v>
      </c>
      <c r="M1117" s="114">
        <v>29</v>
      </c>
      <c r="N1117" s="114">
        <v>480</v>
      </c>
      <c r="O1117" s="114">
        <v>234</v>
      </c>
      <c r="P1117" s="114">
        <v>2296</v>
      </c>
      <c r="Q1117" s="114">
        <v>27698</v>
      </c>
      <c r="R1117" s="13" t="s">
        <v>25</v>
      </c>
      <c r="S1117" s="13" t="s">
        <v>25</v>
      </c>
      <c r="T1117" s="13" t="s">
        <v>25</v>
      </c>
    </row>
    <row r="1118" spans="1:20" x14ac:dyDescent="0.3">
      <c r="A1118" s="14">
        <v>43938.708333333336</v>
      </c>
      <c r="B1118" s="13" t="s">
        <v>22</v>
      </c>
      <c r="C1118" s="114">
        <v>18</v>
      </c>
      <c r="D1118" s="13" t="s">
        <v>45</v>
      </c>
      <c r="E1118" s="114">
        <v>3890597598</v>
      </c>
      <c r="F1118" s="114">
        <v>1659440194</v>
      </c>
      <c r="G1118" s="114">
        <v>154</v>
      </c>
      <c r="H1118" s="114">
        <v>7</v>
      </c>
      <c r="I1118" s="114">
        <v>161</v>
      </c>
      <c r="J1118" s="114">
        <v>658</v>
      </c>
      <c r="K1118" s="114">
        <v>819</v>
      </c>
      <c r="L1118" s="114">
        <v>-28</v>
      </c>
      <c r="M1118" s="114">
        <v>-18</v>
      </c>
      <c r="N1118" s="114">
        <v>99</v>
      </c>
      <c r="O1118" s="114">
        <v>73</v>
      </c>
      <c r="P1118" s="114">
        <v>991</v>
      </c>
      <c r="Q1118" s="114">
        <v>21657</v>
      </c>
      <c r="R1118" s="13" t="s">
        <v>25</v>
      </c>
      <c r="S1118" s="13" t="s">
        <v>25</v>
      </c>
      <c r="T1118" s="13" t="s">
        <v>25</v>
      </c>
    </row>
    <row r="1119" spans="1:20" x14ac:dyDescent="0.3">
      <c r="A1119" s="14">
        <v>43938.708333333336</v>
      </c>
      <c r="B1119" s="13" t="s">
        <v>22</v>
      </c>
      <c r="C1119" s="114">
        <v>15</v>
      </c>
      <c r="D1119" s="13" t="s">
        <v>46</v>
      </c>
      <c r="E1119" s="114">
        <v>4083956555</v>
      </c>
      <c r="F1119" s="114">
        <v>1425084984</v>
      </c>
      <c r="G1119" s="114">
        <v>622</v>
      </c>
      <c r="H1119" s="114">
        <v>76</v>
      </c>
      <c r="I1119" s="114">
        <v>698</v>
      </c>
      <c r="J1119" s="114">
        <v>2329</v>
      </c>
      <c r="K1119" s="114">
        <v>3027</v>
      </c>
      <c r="L1119" s="114">
        <v>-91</v>
      </c>
      <c r="M1119" s="114">
        <v>64</v>
      </c>
      <c r="N1119" s="114">
        <v>631</v>
      </c>
      <c r="O1119" s="114">
        <v>293</v>
      </c>
      <c r="P1119" s="114">
        <v>3951</v>
      </c>
      <c r="Q1119" s="114">
        <v>43697</v>
      </c>
      <c r="R1119" s="13" t="s">
        <v>25</v>
      </c>
      <c r="S1119" s="13" t="s">
        <v>25</v>
      </c>
      <c r="T1119" s="13" t="s">
        <v>25</v>
      </c>
    </row>
    <row r="1120" spans="1:20" x14ac:dyDescent="0.3">
      <c r="A1120" s="14">
        <v>43938.708333333336</v>
      </c>
      <c r="B1120" s="13" t="s">
        <v>22</v>
      </c>
      <c r="C1120" s="114">
        <v>8</v>
      </c>
      <c r="D1120" s="13" t="s">
        <v>96</v>
      </c>
      <c r="E1120" s="114">
        <v>4449436681</v>
      </c>
      <c r="F1120" s="114">
        <v>113417208</v>
      </c>
      <c r="G1120" s="114">
        <v>3330</v>
      </c>
      <c r="H1120" s="114">
        <v>309</v>
      </c>
      <c r="I1120" s="114">
        <v>3639</v>
      </c>
      <c r="J1120" s="114">
        <v>9946</v>
      </c>
      <c r="K1120" s="114">
        <v>13585</v>
      </c>
      <c r="L1120" s="114">
        <v>-78</v>
      </c>
      <c r="M1120" s="114">
        <v>348</v>
      </c>
      <c r="N1120" s="114">
        <v>5346</v>
      </c>
      <c r="O1120" s="114">
        <v>2903</v>
      </c>
      <c r="P1120" s="114">
        <v>21834</v>
      </c>
      <c r="Q1120" s="114">
        <v>116826</v>
      </c>
      <c r="R1120" s="13" t="s">
        <v>25</v>
      </c>
      <c r="S1120" s="13" t="s">
        <v>25</v>
      </c>
      <c r="T1120" s="13" t="s">
        <v>25</v>
      </c>
    </row>
    <row r="1121" spans="1:20" x14ac:dyDescent="0.3">
      <c r="A1121" s="14">
        <v>43938.708333333336</v>
      </c>
      <c r="B1121" s="13" t="s">
        <v>22</v>
      </c>
      <c r="C1121" s="114">
        <v>6</v>
      </c>
      <c r="D1121" s="13" t="s">
        <v>47</v>
      </c>
      <c r="E1121" s="114">
        <v>456494354</v>
      </c>
      <c r="F1121" s="114">
        <v>1376813649</v>
      </c>
      <c r="G1121" s="114">
        <v>148</v>
      </c>
      <c r="H1121" s="114">
        <v>23</v>
      </c>
      <c r="I1121" s="114">
        <v>171</v>
      </c>
      <c r="J1121" s="114">
        <v>1257</v>
      </c>
      <c r="K1121" s="114">
        <v>1428</v>
      </c>
      <c r="L1121" s="114">
        <v>98</v>
      </c>
      <c r="M1121" s="114">
        <v>59</v>
      </c>
      <c r="N1121" s="114">
        <v>1027</v>
      </c>
      <c r="O1121" s="114">
        <v>220</v>
      </c>
      <c r="P1121" s="114">
        <v>2675</v>
      </c>
      <c r="Q1121" s="114">
        <v>40030</v>
      </c>
      <c r="R1121" s="13" t="s">
        <v>25</v>
      </c>
      <c r="S1121" s="13" t="s">
        <v>25</v>
      </c>
      <c r="T1121" s="13" t="s">
        <v>25</v>
      </c>
    </row>
    <row r="1122" spans="1:20" x14ac:dyDescent="0.3">
      <c r="A1122" s="14">
        <v>43938.708333333336</v>
      </c>
      <c r="B1122" s="13" t="s">
        <v>22</v>
      </c>
      <c r="C1122" s="114">
        <v>12</v>
      </c>
      <c r="D1122" s="13" t="s">
        <v>48</v>
      </c>
      <c r="E1122" s="114">
        <v>4189277044</v>
      </c>
      <c r="F1122" s="114">
        <v>1248366722</v>
      </c>
      <c r="G1122" s="114">
        <v>1332</v>
      </c>
      <c r="H1122" s="114">
        <v>187</v>
      </c>
      <c r="I1122" s="114">
        <v>1519</v>
      </c>
      <c r="J1122" s="114">
        <v>2695</v>
      </c>
      <c r="K1122" s="114">
        <v>4214</v>
      </c>
      <c r="L1122" s="114">
        <v>70</v>
      </c>
      <c r="M1122" s="114">
        <v>144</v>
      </c>
      <c r="N1122" s="114">
        <v>978</v>
      </c>
      <c r="O1122" s="114">
        <v>332</v>
      </c>
      <c r="P1122" s="114">
        <v>5524</v>
      </c>
      <c r="Q1122" s="114">
        <v>84755</v>
      </c>
      <c r="R1122" s="13" t="s">
        <v>25</v>
      </c>
      <c r="S1122" s="13" t="s">
        <v>25</v>
      </c>
      <c r="T1122" s="13" t="s">
        <v>25</v>
      </c>
    </row>
    <row r="1123" spans="1:20" x14ac:dyDescent="0.3">
      <c r="A1123" s="14">
        <v>43938.708333333336</v>
      </c>
      <c r="B1123" s="13" t="s">
        <v>22</v>
      </c>
      <c r="C1123" s="114">
        <v>7</v>
      </c>
      <c r="D1123" s="13" t="s">
        <v>49</v>
      </c>
      <c r="E1123" s="114">
        <v>4441149315</v>
      </c>
      <c r="F1123" s="114">
        <v>89326992</v>
      </c>
      <c r="G1123" s="114">
        <v>897</v>
      </c>
      <c r="H1123" s="114">
        <v>105</v>
      </c>
      <c r="I1123" s="114">
        <v>1002</v>
      </c>
      <c r="J1123" s="114">
        <v>2457</v>
      </c>
      <c r="K1123" s="114">
        <v>3459</v>
      </c>
      <c r="L1123" s="114">
        <v>22</v>
      </c>
      <c r="M1123" s="114">
        <v>149</v>
      </c>
      <c r="N1123" s="114">
        <v>1863</v>
      </c>
      <c r="O1123" s="114">
        <v>866</v>
      </c>
      <c r="P1123" s="114">
        <v>6188</v>
      </c>
      <c r="Q1123" s="114">
        <v>28181</v>
      </c>
      <c r="R1123" s="13" t="s">
        <v>25</v>
      </c>
      <c r="S1123" s="13" t="s">
        <v>25</v>
      </c>
      <c r="T1123" s="13" t="s">
        <v>25</v>
      </c>
    </row>
    <row r="1124" spans="1:20" x14ac:dyDescent="0.3">
      <c r="A1124" s="14">
        <v>43938.708333333336</v>
      </c>
      <c r="B1124" s="13" t="s">
        <v>22</v>
      </c>
      <c r="C1124" s="114">
        <v>3</v>
      </c>
      <c r="D1124" s="13" t="s">
        <v>50</v>
      </c>
      <c r="E1124" s="114">
        <v>4546679409</v>
      </c>
      <c r="F1124" s="114">
        <v>9190347404</v>
      </c>
      <c r="G1124" s="114">
        <v>10627</v>
      </c>
      <c r="H1124" s="114">
        <v>971</v>
      </c>
      <c r="I1124" s="114">
        <v>11598</v>
      </c>
      <c r="J1124" s="114">
        <v>21836</v>
      </c>
      <c r="K1124" s="114">
        <v>33434</v>
      </c>
      <c r="L1124" s="114">
        <v>344</v>
      </c>
      <c r="M1124" s="114">
        <v>1041</v>
      </c>
      <c r="N1124" s="114">
        <v>18850</v>
      </c>
      <c r="O1124" s="114">
        <v>11851</v>
      </c>
      <c r="P1124" s="114">
        <v>64135</v>
      </c>
      <c r="Q1124" s="114">
        <v>243513</v>
      </c>
      <c r="R1124" s="13" t="s">
        <v>25</v>
      </c>
      <c r="S1124" s="13" t="s">
        <v>25</v>
      </c>
      <c r="T1124" s="13" t="s">
        <v>25</v>
      </c>
    </row>
    <row r="1125" spans="1:20" x14ac:dyDescent="0.3">
      <c r="A1125" s="14">
        <v>43938.708333333336</v>
      </c>
      <c r="B1125" s="13" t="s">
        <v>22</v>
      </c>
      <c r="C1125" s="114">
        <v>11</v>
      </c>
      <c r="D1125" s="13" t="s">
        <v>51</v>
      </c>
      <c r="E1125" s="114">
        <v>4361675973</v>
      </c>
      <c r="F1125" s="114">
        <v>135188753</v>
      </c>
      <c r="G1125" s="114">
        <v>839</v>
      </c>
      <c r="H1125" s="114">
        <v>94</v>
      </c>
      <c r="I1125" s="114">
        <v>933</v>
      </c>
      <c r="J1125" s="114">
        <v>2224</v>
      </c>
      <c r="K1125" s="114">
        <v>3157</v>
      </c>
      <c r="L1125" s="114">
        <v>33</v>
      </c>
      <c r="M1125" s="114">
        <v>86</v>
      </c>
      <c r="N1125" s="114">
        <v>1726</v>
      </c>
      <c r="O1125" s="114">
        <v>785</v>
      </c>
      <c r="P1125" s="114">
        <v>5668</v>
      </c>
      <c r="Q1125" s="114">
        <v>37997</v>
      </c>
      <c r="R1125" s="13" t="s">
        <v>25</v>
      </c>
      <c r="S1125" s="13" t="s">
        <v>25</v>
      </c>
      <c r="T1125" s="13" t="s">
        <v>25</v>
      </c>
    </row>
    <row r="1126" spans="1:20" x14ac:dyDescent="0.3">
      <c r="A1126" s="14">
        <v>43938.708333333336</v>
      </c>
      <c r="B1126" s="13" t="s">
        <v>22</v>
      </c>
      <c r="C1126" s="114">
        <v>14</v>
      </c>
      <c r="D1126" s="13" t="s">
        <v>52</v>
      </c>
      <c r="E1126" s="114">
        <v>4155774754</v>
      </c>
      <c r="F1126" s="114">
        <v>1465916051</v>
      </c>
      <c r="G1126" s="114">
        <v>26</v>
      </c>
      <c r="H1126" s="114">
        <v>4</v>
      </c>
      <c r="I1126" s="114">
        <v>30</v>
      </c>
      <c r="J1126" s="114">
        <v>178</v>
      </c>
      <c r="K1126" s="114">
        <v>208</v>
      </c>
      <c r="L1126" s="114">
        <v>5</v>
      </c>
      <c r="M1126" s="114">
        <v>6</v>
      </c>
      <c r="N1126" s="114">
        <v>45</v>
      </c>
      <c r="O1126" s="114">
        <v>16</v>
      </c>
      <c r="P1126" s="114">
        <v>269</v>
      </c>
      <c r="Q1126" s="114">
        <v>3082</v>
      </c>
      <c r="R1126" s="13" t="s">
        <v>25</v>
      </c>
      <c r="S1126" s="13" t="s">
        <v>25</v>
      </c>
      <c r="T1126" s="13" t="s">
        <v>25</v>
      </c>
    </row>
    <row r="1127" spans="1:20" x14ac:dyDescent="0.3">
      <c r="A1127" s="14">
        <v>43938.708333333336</v>
      </c>
      <c r="B1127" s="13" t="s">
        <v>22</v>
      </c>
      <c r="C1127" s="114">
        <v>1</v>
      </c>
      <c r="D1127" s="13" t="s">
        <v>53</v>
      </c>
      <c r="E1127" s="114">
        <v>450732745</v>
      </c>
      <c r="F1127" s="114">
        <v>7680687483</v>
      </c>
      <c r="G1127" s="114">
        <v>3266</v>
      </c>
      <c r="H1127" s="114">
        <v>333</v>
      </c>
      <c r="I1127" s="114">
        <v>3599</v>
      </c>
      <c r="J1127" s="114">
        <v>10399</v>
      </c>
      <c r="K1127" s="114">
        <v>13998</v>
      </c>
      <c r="L1127" s="114">
        <v>215</v>
      </c>
      <c r="M1127" s="114">
        <v>695</v>
      </c>
      <c r="N1127" s="114">
        <v>3634</v>
      </c>
      <c r="O1127" s="114">
        <v>2171</v>
      </c>
      <c r="P1127" s="114">
        <v>19803</v>
      </c>
      <c r="Q1127" s="114">
        <v>86714</v>
      </c>
      <c r="R1127" s="13" t="s">
        <v>25</v>
      </c>
      <c r="S1127" s="13" t="s">
        <v>25</v>
      </c>
      <c r="T1127" s="13" t="s">
        <v>25</v>
      </c>
    </row>
    <row r="1128" spans="1:20" x14ac:dyDescent="0.3">
      <c r="A1128" s="14">
        <v>43938.708333333336</v>
      </c>
      <c r="B1128" s="13" t="s">
        <v>22</v>
      </c>
      <c r="C1128" s="114">
        <v>16</v>
      </c>
      <c r="D1128" s="13" t="s">
        <v>54</v>
      </c>
      <c r="E1128" s="114">
        <v>4112559576</v>
      </c>
      <c r="F1128" s="114">
        <v>1686736689</v>
      </c>
      <c r="G1128" s="114">
        <v>590</v>
      </c>
      <c r="H1128" s="114">
        <v>62</v>
      </c>
      <c r="I1128" s="114">
        <v>652</v>
      </c>
      <c r="J1128" s="114">
        <v>2004</v>
      </c>
      <c r="K1128" s="114">
        <v>2656</v>
      </c>
      <c r="L1128" s="114">
        <v>31</v>
      </c>
      <c r="M1128" s="114">
        <v>69</v>
      </c>
      <c r="N1128" s="114">
        <v>364</v>
      </c>
      <c r="O1128" s="114">
        <v>307</v>
      </c>
      <c r="P1128" s="114">
        <v>3327</v>
      </c>
      <c r="Q1128" s="114">
        <v>38278</v>
      </c>
      <c r="R1128" s="13" t="s">
        <v>25</v>
      </c>
      <c r="S1128" s="13" t="s">
        <v>25</v>
      </c>
      <c r="T1128" s="13" t="s">
        <v>25</v>
      </c>
    </row>
    <row r="1129" spans="1:20" x14ac:dyDescent="0.3">
      <c r="A1129" s="14">
        <v>43938.708333333336</v>
      </c>
      <c r="B1129" s="13" t="s">
        <v>22</v>
      </c>
      <c r="C1129" s="114">
        <v>20</v>
      </c>
      <c r="D1129" s="13" t="s">
        <v>55</v>
      </c>
      <c r="E1129" s="114">
        <v>3921531192</v>
      </c>
      <c r="F1129" s="114">
        <v>9110616306</v>
      </c>
      <c r="G1129" s="114">
        <v>113</v>
      </c>
      <c r="H1129" s="114">
        <v>23</v>
      </c>
      <c r="I1129" s="114">
        <v>136</v>
      </c>
      <c r="J1129" s="114">
        <v>736</v>
      </c>
      <c r="K1129" s="114">
        <v>872</v>
      </c>
      <c r="L1129" s="114">
        <v>7</v>
      </c>
      <c r="M1129" s="114">
        <v>14</v>
      </c>
      <c r="N1129" s="114">
        <v>220</v>
      </c>
      <c r="O1129" s="114">
        <v>86</v>
      </c>
      <c r="P1129" s="114">
        <v>1178</v>
      </c>
      <c r="Q1129" s="114">
        <v>13304</v>
      </c>
      <c r="R1129" s="13" t="s">
        <v>25</v>
      </c>
      <c r="S1129" s="13" t="s">
        <v>25</v>
      </c>
      <c r="T1129" s="13" t="s">
        <v>25</v>
      </c>
    </row>
    <row r="1130" spans="1:20" x14ac:dyDescent="0.3">
      <c r="A1130" s="14">
        <v>43938.708333333336</v>
      </c>
      <c r="B1130" s="13" t="s">
        <v>22</v>
      </c>
      <c r="C1130" s="114">
        <v>19</v>
      </c>
      <c r="D1130" s="13" t="s">
        <v>56</v>
      </c>
      <c r="E1130" s="114">
        <v>3811569725</v>
      </c>
      <c r="F1130" s="114">
        <v>133623567</v>
      </c>
      <c r="G1130" s="114">
        <v>521</v>
      </c>
      <c r="H1130" s="114">
        <v>46</v>
      </c>
      <c r="I1130" s="114">
        <v>567</v>
      </c>
      <c r="J1130" s="114">
        <v>1572</v>
      </c>
      <c r="K1130" s="114">
        <v>2139</v>
      </c>
      <c r="L1130" s="114">
        <v>31</v>
      </c>
      <c r="M1130" s="114">
        <v>46</v>
      </c>
      <c r="N1130" s="114">
        <v>296</v>
      </c>
      <c r="O1130" s="114">
        <v>190</v>
      </c>
      <c r="P1130" s="114">
        <v>2625</v>
      </c>
      <c r="Q1130" s="114">
        <v>45172</v>
      </c>
      <c r="R1130" s="13" t="s">
        <v>25</v>
      </c>
      <c r="S1130" s="13" t="s">
        <v>25</v>
      </c>
      <c r="T1130" s="13" t="s">
        <v>25</v>
      </c>
    </row>
    <row r="1131" spans="1:20" x14ac:dyDescent="0.3">
      <c r="A1131" s="14">
        <v>43938.708333333336</v>
      </c>
      <c r="B1131" s="13" t="s">
        <v>22</v>
      </c>
      <c r="C1131" s="114">
        <v>9</v>
      </c>
      <c r="D1131" s="13" t="s">
        <v>57</v>
      </c>
      <c r="E1131" s="114">
        <v>4376923077</v>
      </c>
      <c r="F1131" s="114">
        <v>1125588885</v>
      </c>
      <c r="G1131" s="114">
        <v>898</v>
      </c>
      <c r="H1131" s="114">
        <v>207</v>
      </c>
      <c r="I1131" s="114">
        <v>1105</v>
      </c>
      <c r="J1131" s="114">
        <v>5478</v>
      </c>
      <c r="K1131" s="114">
        <v>6583</v>
      </c>
      <c r="L1131" s="114">
        <v>-30</v>
      </c>
      <c r="M1131" s="114">
        <v>167</v>
      </c>
      <c r="N1131" s="114">
        <v>925</v>
      </c>
      <c r="O1131" s="114">
        <v>602</v>
      </c>
      <c r="P1131" s="114">
        <v>8110</v>
      </c>
      <c r="Q1131" s="114">
        <v>96231</v>
      </c>
      <c r="R1131" s="13" t="s">
        <v>25</v>
      </c>
      <c r="S1131" s="13" t="s">
        <v>25</v>
      </c>
      <c r="T1131" s="13" t="s">
        <v>25</v>
      </c>
    </row>
    <row r="1132" spans="1:20" x14ac:dyDescent="0.3">
      <c r="A1132" s="14">
        <v>43938.708333333336</v>
      </c>
      <c r="B1132" s="13" t="s">
        <v>22</v>
      </c>
      <c r="C1132" s="114">
        <v>4</v>
      </c>
      <c r="D1132" s="13" t="s">
        <v>58</v>
      </c>
      <c r="E1132" s="114">
        <v>4606893511</v>
      </c>
      <c r="F1132" s="114">
        <v>1112123097</v>
      </c>
      <c r="G1132" s="114">
        <v>286</v>
      </c>
      <c r="H1132" s="114">
        <v>44</v>
      </c>
      <c r="I1132" s="114">
        <v>330</v>
      </c>
      <c r="J1132" s="114">
        <v>1660</v>
      </c>
      <c r="K1132" s="114">
        <v>1990</v>
      </c>
      <c r="L1132" s="114">
        <v>-97</v>
      </c>
      <c r="M1132" s="114">
        <v>82</v>
      </c>
      <c r="N1132" s="114">
        <v>1044</v>
      </c>
      <c r="O1132" s="114">
        <v>342</v>
      </c>
      <c r="P1132" s="114">
        <v>3376</v>
      </c>
      <c r="Q1132" s="114">
        <v>21921</v>
      </c>
      <c r="R1132" s="13" t="s">
        <v>25</v>
      </c>
      <c r="S1132" s="13" t="s">
        <v>25</v>
      </c>
      <c r="T1132" s="13" t="s">
        <v>25</v>
      </c>
    </row>
    <row r="1133" spans="1:20" x14ac:dyDescent="0.3">
      <c r="A1133" s="14">
        <v>43938.708333333336</v>
      </c>
      <c r="B1133" s="13" t="s">
        <v>22</v>
      </c>
      <c r="C1133" s="114">
        <v>10</v>
      </c>
      <c r="D1133" s="13" t="s">
        <v>59</v>
      </c>
      <c r="E1133" s="114">
        <v>4310675841</v>
      </c>
      <c r="F1133" s="114">
        <v>1238824698</v>
      </c>
      <c r="G1133" s="114">
        <v>111</v>
      </c>
      <c r="H1133" s="114">
        <v>31</v>
      </c>
      <c r="I1133" s="114">
        <v>142</v>
      </c>
      <c r="J1133" s="114">
        <v>352</v>
      </c>
      <c r="K1133" s="114">
        <v>494</v>
      </c>
      <c r="L1133" s="114">
        <v>-42</v>
      </c>
      <c r="M1133" s="114">
        <v>8</v>
      </c>
      <c r="N1133" s="114">
        <v>786</v>
      </c>
      <c r="O1133" s="114">
        <v>57</v>
      </c>
      <c r="P1133" s="114">
        <v>1337</v>
      </c>
      <c r="Q1133" s="114">
        <v>22818</v>
      </c>
      <c r="R1133" s="13" t="s">
        <v>25</v>
      </c>
      <c r="S1133" s="13" t="s">
        <v>25</v>
      </c>
      <c r="T1133" s="13" t="s">
        <v>25</v>
      </c>
    </row>
    <row r="1134" spans="1:20" x14ac:dyDescent="0.3">
      <c r="A1134" s="14">
        <v>43938.708333333336</v>
      </c>
      <c r="B1134" s="13" t="s">
        <v>22</v>
      </c>
      <c r="C1134" s="114">
        <v>2</v>
      </c>
      <c r="D1134" s="13" t="s">
        <v>60</v>
      </c>
      <c r="E1134" s="114">
        <v>4573750286</v>
      </c>
      <c r="F1134" s="114">
        <v>7320149366</v>
      </c>
      <c r="G1134" s="114">
        <v>108</v>
      </c>
      <c r="H1134" s="114">
        <v>9</v>
      </c>
      <c r="I1134" s="114">
        <v>117</v>
      </c>
      <c r="J1134" s="114">
        <v>374</v>
      </c>
      <c r="K1134" s="114">
        <v>491</v>
      </c>
      <c r="L1134" s="114">
        <v>-27</v>
      </c>
      <c r="M1134" s="114">
        <v>22</v>
      </c>
      <c r="N1134" s="114">
        <v>379</v>
      </c>
      <c r="O1134" s="114">
        <v>123</v>
      </c>
      <c r="P1134" s="114">
        <v>993</v>
      </c>
      <c r="Q1134" s="114">
        <v>4366</v>
      </c>
      <c r="R1134" s="13" t="s">
        <v>25</v>
      </c>
      <c r="S1134" s="13" t="s">
        <v>25</v>
      </c>
      <c r="T1134" s="13" t="s">
        <v>25</v>
      </c>
    </row>
    <row r="1135" spans="1:20" x14ac:dyDescent="0.3">
      <c r="A1135" s="14">
        <v>43938.708333333336</v>
      </c>
      <c r="B1135" s="13" t="s">
        <v>22</v>
      </c>
      <c r="C1135" s="114">
        <v>5</v>
      </c>
      <c r="D1135" s="13" t="s">
        <v>61</v>
      </c>
      <c r="E1135" s="114">
        <v>4543490485</v>
      </c>
      <c r="F1135" s="114">
        <v>1233845213</v>
      </c>
      <c r="G1135" s="114">
        <v>1359</v>
      </c>
      <c r="H1135" s="114">
        <v>197</v>
      </c>
      <c r="I1135" s="114">
        <v>1556</v>
      </c>
      <c r="J1135" s="114">
        <v>9062</v>
      </c>
      <c r="K1135" s="114">
        <v>10618</v>
      </c>
      <c r="L1135" s="114">
        <v>-182</v>
      </c>
      <c r="M1135" s="114">
        <v>384</v>
      </c>
      <c r="N1135" s="114">
        <v>3730</v>
      </c>
      <c r="O1135" s="114">
        <v>1026</v>
      </c>
      <c r="P1135" s="114">
        <v>15374</v>
      </c>
      <c r="Q1135" s="114">
        <v>236722</v>
      </c>
      <c r="R1135" s="13" t="s">
        <v>25</v>
      </c>
      <c r="S1135" s="13" t="s">
        <v>25</v>
      </c>
      <c r="T1135" s="13" t="s">
        <v>25</v>
      </c>
    </row>
    <row r="1136" spans="1:20" x14ac:dyDescent="0.3">
      <c r="A1136" s="14">
        <v>43939.708333333336</v>
      </c>
      <c r="B1136" s="13" t="s">
        <v>22</v>
      </c>
      <c r="C1136" s="114">
        <v>13</v>
      </c>
      <c r="D1136" s="13" t="s">
        <v>42</v>
      </c>
      <c r="E1136" s="114">
        <v>4235122196</v>
      </c>
      <c r="F1136" s="114">
        <v>1339843823</v>
      </c>
      <c r="G1136" s="114">
        <v>321</v>
      </c>
      <c r="H1136" s="114">
        <v>41</v>
      </c>
      <c r="I1136" s="114">
        <v>362</v>
      </c>
      <c r="J1136" s="114">
        <v>1609</v>
      </c>
      <c r="K1136" s="114">
        <v>1971</v>
      </c>
      <c r="L1136" s="114">
        <v>29</v>
      </c>
      <c r="M1136" s="114">
        <v>44</v>
      </c>
      <c r="N1136" s="114">
        <v>263</v>
      </c>
      <c r="O1136" s="114">
        <v>253</v>
      </c>
      <c r="P1136" s="114">
        <v>2487</v>
      </c>
      <c r="Q1136" s="114">
        <v>27016</v>
      </c>
      <c r="R1136" s="13" t="s">
        <v>25</v>
      </c>
      <c r="S1136" s="13" t="s">
        <v>25</v>
      </c>
      <c r="T1136" s="13" t="s">
        <v>25</v>
      </c>
    </row>
    <row r="1137" spans="1:20" x14ac:dyDescent="0.3">
      <c r="A1137" s="14">
        <v>43939.708333333336</v>
      </c>
      <c r="B1137" s="13" t="s">
        <v>22</v>
      </c>
      <c r="C1137" s="114">
        <v>17</v>
      </c>
      <c r="D1137" s="13" t="s">
        <v>43</v>
      </c>
      <c r="E1137" s="114">
        <v>4063947052</v>
      </c>
      <c r="F1137" s="114">
        <v>1580514834</v>
      </c>
      <c r="G1137" s="114">
        <v>60</v>
      </c>
      <c r="H1137" s="114">
        <v>8</v>
      </c>
      <c r="I1137" s="114">
        <v>68</v>
      </c>
      <c r="J1137" s="114">
        <v>194</v>
      </c>
      <c r="K1137" s="114">
        <v>262</v>
      </c>
      <c r="L1137" s="114">
        <v>-4</v>
      </c>
      <c r="M1137" s="114">
        <v>2</v>
      </c>
      <c r="N1137" s="114">
        <v>54</v>
      </c>
      <c r="O1137" s="114">
        <v>23</v>
      </c>
      <c r="P1137" s="114">
        <v>339</v>
      </c>
      <c r="Q1137" s="114">
        <v>6056</v>
      </c>
      <c r="R1137" s="13" t="s">
        <v>25</v>
      </c>
      <c r="S1137" s="13" t="s">
        <v>25</v>
      </c>
      <c r="T1137" s="13" t="s">
        <v>25</v>
      </c>
    </row>
    <row r="1138" spans="1:20" x14ac:dyDescent="0.3">
      <c r="A1138" s="14">
        <v>43939.708333333336</v>
      </c>
      <c r="B1138" s="13" t="s">
        <v>22</v>
      </c>
      <c r="C1138" s="114">
        <v>4</v>
      </c>
      <c r="D1138" s="13" t="s">
        <v>44</v>
      </c>
      <c r="E1138" s="114">
        <v>4649933453</v>
      </c>
      <c r="F1138" s="114">
        <v>1135662422</v>
      </c>
      <c r="G1138" s="114">
        <v>179</v>
      </c>
      <c r="H1138" s="114">
        <v>28</v>
      </c>
      <c r="I1138" s="114">
        <v>207</v>
      </c>
      <c r="J1138" s="114">
        <v>1349</v>
      </c>
      <c r="K1138" s="114">
        <v>1556</v>
      </c>
      <c r="L1138" s="114">
        <v>-26</v>
      </c>
      <c r="M1138" s="114">
        <v>29</v>
      </c>
      <c r="N1138" s="114">
        <v>530</v>
      </c>
      <c r="O1138" s="114">
        <v>239</v>
      </c>
      <c r="P1138" s="114">
        <v>2325</v>
      </c>
      <c r="Q1138" s="114">
        <v>28888</v>
      </c>
      <c r="R1138" s="13" t="s">
        <v>25</v>
      </c>
      <c r="S1138" s="13" t="s">
        <v>25</v>
      </c>
      <c r="T1138" s="13" t="s">
        <v>25</v>
      </c>
    </row>
    <row r="1139" spans="1:20" x14ac:dyDescent="0.3">
      <c r="A1139" s="14">
        <v>43939.708333333336</v>
      </c>
      <c r="B1139" s="13" t="s">
        <v>22</v>
      </c>
      <c r="C1139" s="114">
        <v>18</v>
      </c>
      <c r="D1139" s="13" t="s">
        <v>45</v>
      </c>
      <c r="E1139" s="114">
        <v>3890597598</v>
      </c>
      <c r="F1139" s="114">
        <v>1659440194</v>
      </c>
      <c r="G1139" s="114">
        <v>152</v>
      </c>
      <c r="H1139" s="114">
        <v>7</v>
      </c>
      <c r="I1139" s="114">
        <v>159</v>
      </c>
      <c r="J1139" s="114">
        <v>673</v>
      </c>
      <c r="K1139" s="114">
        <v>832</v>
      </c>
      <c r="L1139" s="114">
        <v>13</v>
      </c>
      <c r="M1139" s="114">
        <v>20</v>
      </c>
      <c r="N1139" s="114">
        <v>106</v>
      </c>
      <c r="O1139" s="114">
        <v>73</v>
      </c>
      <c r="P1139" s="114">
        <v>1011</v>
      </c>
      <c r="Q1139" s="114">
        <v>22794</v>
      </c>
      <c r="R1139" s="13" t="s">
        <v>25</v>
      </c>
      <c r="S1139" s="13" t="s">
        <v>25</v>
      </c>
      <c r="T1139" s="13" t="s">
        <v>25</v>
      </c>
    </row>
    <row r="1140" spans="1:20" x14ac:dyDescent="0.3">
      <c r="A1140" s="14">
        <v>43939.708333333336</v>
      </c>
      <c r="B1140" s="13" t="s">
        <v>22</v>
      </c>
      <c r="C1140" s="114">
        <v>15</v>
      </c>
      <c r="D1140" s="13" t="s">
        <v>46</v>
      </c>
      <c r="E1140" s="114">
        <v>4083956555</v>
      </c>
      <c r="F1140" s="114">
        <v>1425084984</v>
      </c>
      <c r="G1140" s="114">
        <v>605</v>
      </c>
      <c r="H1140" s="114">
        <v>76</v>
      </c>
      <c r="I1140" s="114">
        <v>681</v>
      </c>
      <c r="J1140" s="114">
        <v>2364</v>
      </c>
      <c r="K1140" s="114">
        <v>3045</v>
      </c>
      <c r="L1140" s="114">
        <v>18</v>
      </c>
      <c r="M1140" s="114">
        <v>37</v>
      </c>
      <c r="N1140" s="114">
        <v>643</v>
      </c>
      <c r="O1140" s="114">
        <v>300</v>
      </c>
      <c r="P1140" s="114">
        <v>3988</v>
      </c>
      <c r="Q1140" s="114">
        <v>46294</v>
      </c>
      <c r="R1140" s="13" t="s">
        <v>25</v>
      </c>
      <c r="S1140" s="13" t="s">
        <v>25</v>
      </c>
      <c r="T1140" s="13" t="s">
        <v>25</v>
      </c>
    </row>
    <row r="1141" spans="1:20" x14ac:dyDescent="0.3">
      <c r="A1141" s="14">
        <v>43939.708333333336</v>
      </c>
      <c r="B1141" s="13" t="s">
        <v>22</v>
      </c>
      <c r="C1141" s="114">
        <v>8</v>
      </c>
      <c r="D1141" s="13" t="s">
        <v>96</v>
      </c>
      <c r="E1141" s="114">
        <v>4449436681</v>
      </c>
      <c r="F1141" s="114">
        <v>113417208</v>
      </c>
      <c r="G1141" s="114">
        <v>3234</v>
      </c>
      <c r="H1141" s="114">
        <v>296</v>
      </c>
      <c r="I1141" s="114">
        <v>3530</v>
      </c>
      <c r="J1141" s="114">
        <v>10054</v>
      </c>
      <c r="K1141" s="114">
        <v>13584</v>
      </c>
      <c r="L1141" s="114">
        <v>-1</v>
      </c>
      <c r="M1141" s="114">
        <v>350</v>
      </c>
      <c r="N1141" s="114">
        <v>5635</v>
      </c>
      <c r="O1141" s="114">
        <v>2965</v>
      </c>
      <c r="P1141" s="114">
        <v>22184</v>
      </c>
      <c r="Q1141" s="114">
        <v>121220</v>
      </c>
      <c r="R1141" s="13" t="s">
        <v>25</v>
      </c>
      <c r="S1141" s="13" t="s">
        <v>25</v>
      </c>
      <c r="T1141" s="13" t="s">
        <v>25</v>
      </c>
    </row>
    <row r="1142" spans="1:20" x14ac:dyDescent="0.3">
      <c r="A1142" s="14">
        <v>43939.708333333336</v>
      </c>
      <c r="B1142" s="13" t="s">
        <v>22</v>
      </c>
      <c r="C1142" s="114">
        <v>6</v>
      </c>
      <c r="D1142" s="13" t="s">
        <v>47</v>
      </c>
      <c r="E1142" s="114">
        <v>456494354</v>
      </c>
      <c r="F1142" s="114">
        <v>1376813649</v>
      </c>
      <c r="G1142" s="114">
        <v>141</v>
      </c>
      <c r="H1142" s="114">
        <v>27</v>
      </c>
      <c r="I1142" s="114">
        <v>168</v>
      </c>
      <c r="J1142" s="114">
        <v>1235</v>
      </c>
      <c r="K1142" s="114">
        <v>1403</v>
      </c>
      <c r="L1142" s="114">
        <v>-25</v>
      </c>
      <c r="M1142" s="114">
        <v>56</v>
      </c>
      <c r="N1142" s="114">
        <v>1106</v>
      </c>
      <c r="O1142" s="114">
        <v>222</v>
      </c>
      <c r="P1142" s="114">
        <v>2731</v>
      </c>
      <c r="Q1142" s="114">
        <v>43293</v>
      </c>
      <c r="R1142" s="13" t="s">
        <v>25</v>
      </c>
      <c r="S1142" s="13" t="s">
        <v>25</v>
      </c>
      <c r="T1142" s="13" t="s">
        <v>25</v>
      </c>
    </row>
    <row r="1143" spans="1:20" x14ac:dyDescent="0.3">
      <c r="A1143" s="14">
        <v>43939.708333333336</v>
      </c>
      <c r="B1143" s="13" t="s">
        <v>22</v>
      </c>
      <c r="C1143" s="114">
        <v>12</v>
      </c>
      <c r="D1143" s="13" t="s">
        <v>48</v>
      </c>
      <c r="E1143" s="114">
        <v>4189277044</v>
      </c>
      <c r="F1143" s="114">
        <v>1248366722</v>
      </c>
      <c r="G1143" s="114">
        <v>1376</v>
      </c>
      <c r="H1143" s="114">
        <v>186</v>
      </c>
      <c r="I1143" s="114">
        <v>1562</v>
      </c>
      <c r="J1143" s="114">
        <v>2720</v>
      </c>
      <c r="K1143" s="114">
        <v>4282</v>
      </c>
      <c r="L1143" s="114">
        <v>68</v>
      </c>
      <c r="M1143" s="114">
        <v>144</v>
      </c>
      <c r="N1143" s="114">
        <v>1046</v>
      </c>
      <c r="O1143" s="114">
        <v>340</v>
      </c>
      <c r="P1143" s="114">
        <v>5668</v>
      </c>
      <c r="Q1143" s="114">
        <v>89553</v>
      </c>
      <c r="R1143" s="13" t="s">
        <v>25</v>
      </c>
      <c r="S1143" s="13" t="s">
        <v>25</v>
      </c>
      <c r="T1143" s="13" t="s">
        <v>25</v>
      </c>
    </row>
    <row r="1144" spans="1:20" x14ac:dyDescent="0.3">
      <c r="A1144" s="14">
        <v>43939.708333333336</v>
      </c>
      <c r="B1144" s="13" t="s">
        <v>22</v>
      </c>
      <c r="C1144" s="114">
        <v>7</v>
      </c>
      <c r="D1144" s="13" t="s">
        <v>49</v>
      </c>
      <c r="E1144" s="114">
        <v>4441149315</v>
      </c>
      <c r="F1144" s="114">
        <v>89326992</v>
      </c>
      <c r="G1144" s="114">
        <v>901</v>
      </c>
      <c r="H1144" s="114">
        <v>105</v>
      </c>
      <c r="I1144" s="114">
        <v>1006</v>
      </c>
      <c r="J1144" s="114">
        <v>2406</v>
      </c>
      <c r="K1144" s="114">
        <v>3412</v>
      </c>
      <c r="L1144" s="114">
        <v>-47</v>
      </c>
      <c r="M1144" s="114">
        <v>113</v>
      </c>
      <c r="N1144" s="114">
        <v>1992</v>
      </c>
      <c r="O1144" s="114">
        <v>897</v>
      </c>
      <c r="P1144" s="114">
        <v>6301</v>
      </c>
      <c r="Q1144" s="114">
        <v>29322</v>
      </c>
      <c r="R1144" s="13" t="s">
        <v>25</v>
      </c>
      <c r="S1144" s="13" t="s">
        <v>25</v>
      </c>
      <c r="T1144" s="13" t="s">
        <v>25</v>
      </c>
    </row>
    <row r="1145" spans="1:20" x14ac:dyDescent="0.3">
      <c r="A1145" s="14">
        <v>43939.708333333336</v>
      </c>
      <c r="B1145" s="13" t="s">
        <v>22</v>
      </c>
      <c r="C1145" s="114">
        <v>3</v>
      </c>
      <c r="D1145" s="13" t="s">
        <v>50</v>
      </c>
      <c r="E1145" s="114">
        <v>4546679409</v>
      </c>
      <c r="F1145" s="114">
        <v>9190347404</v>
      </c>
      <c r="G1145" s="114">
        <v>10042</v>
      </c>
      <c r="H1145" s="114">
        <v>947</v>
      </c>
      <c r="I1145" s="114">
        <v>10989</v>
      </c>
      <c r="J1145" s="114">
        <v>23206</v>
      </c>
      <c r="K1145" s="114">
        <v>34195</v>
      </c>
      <c r="L1145" s="114">
        <v>761</v>
      </c>
      <c r="M1145" s="114">
        <v>1246</v>
      </c>
      <c r="N1145" s="114">
        <v>19136</v>
      </c>
      <c r="O1145" s="114">
        <v>12050</v>
      </c>
      <c r="P1145" s="114">
        <v>65381</v>
      </c>
      <c r="Q1145" s="114">
        <v>255331</v>
      </c>
      <c r="R1145" s="13" t="s">
        <v>25</v>
      </c>
      <c r="S1145" s="13" t="s">
        <v>25</v>
      </c>
      <c r="T1145" s="13" t="s">
        <v>25</v>
      </c>
    </row>
    <row r="1146" spans="1:20" x14ac:dyDescent="0.3">
      <c r="A1146" s="14">
        <v>43939.708333333336</v>
      </c>
      <c r="B1146" s="13" t="s">
        <v>22</v>
      </c>
      <c r="C1146" s="114">
        <v>11</v>
      </c>
      <c r="D1146" s="13" t="s">
        <v>51</v>
      </c>
      <c r="E1146" s="114">
        <v>4361675973</v>
      </c>
      <c r="F1146" s="114">
        <v>135188753</v>
      </c>
      <c r="G1146" s="114">
        <v>804</v>
      </c>
      <c r="H1146" s="114">
        <v>88</v>
      </c>
      <c r="I1146" s="114">
        <v>892</v>
      </c>
      <c r="J1146" s="114">
        <v>2280</v>
      </c>
      <c r="K1146" s="114">
        <v>3172</v>
      </c>
      <c r="L1146" s="114">
        <v>15</v>
      </c>
      <c r="M1146" s="114">
        <v>53</v>
      </c>
      <c r="N1146" s="114">
        <v>1754</v>
      </c>
      <c r="O1146" s="114">
        <v>795</v>
      </c>
      <c r="P1146" s="114">
        <v>5721</v>
      </c>
      <c r="Q1146" s="114">
        <v>39909</v>
      </c>
      <c r="R1146" s="13" t="s">
        <v>25</v>
      </c>
      <c r="S1146" s="13" t="s">
        <v>25</v>
      </c>
      <c r="T1146" s="13" t="s">
        <v>25</v>
      </c>
    </row>
    <row r="1147" spans="1:20" x14ac:dyDescent="0.3">
      <c r="A1147" s="14">
        <v>43939.708333333336</v>
      </c>
      <c r="B1147" s="13" t="s">
        <v>22</v>
      </c>
      <c r="C1147" s="114">
        <v>14</v>
      </c>
      <c r="D1147" s="13" t="s">
        <v>52</v>
      </c>
      <c r="E1147" s="114">
        <v>4155774754</v>
      </c>
      <c r="F1147" s="114">
        <v>1465916051</v>
      </c>
      <c r="G1147" s="114">
        <v>27</v>
      </c>
      <c r="H1147" s="114">
        <v>4</v>
      </c>
      <c r="I1147" s="114">
        <v>31</v>
      </c>
      <c r="J1147" s="114">
        <v>178</v>
      </c>
      <c r="K1147" s="114">
        <v>209</v>
      </c>
      <c r="L1147" s="114">
        <v>1</v>
      </c>
      <c r="M1147" s="114">
        <v>0</v>
      </c>
      <c r="N1147" s="114">
        <v>44</v>
      </c>
      <c r="O1147" s="114">
        <v>16</v>
      </c>
      <c r="P1147" s="114">
        <v>269</v>
      </c>
      <c r="Q1147" s="114">
        <v>3082</v>
      </c>
      <c r="R1147" s="13" t="s">
        <v>25</v>
      </c>
      <c r="S1147" s="13" t="s">
        <v>25</v>
      </c>
      <c r="T1147" s="13" t="s">
        <v>25</v>
      </c>
    </row>
    <row r="1148" spans="1:20" x14ac:dyDescent="0.3">
      <c r="A1148" s="14">
        <v>43939.708333333336</v>
      </c>
      <c r="B1148" s="13" t="s">
        <v>22</v>
      </c>
      <c r="C1148" s="114">
        <v>1</v>
      </c>
      <c r="D1148" s="13" t="s">
        <v>53</v>
      </c>
      <c r="E1148" s="114">
        <v>450732745</v>
      </c>
      <c r="F1148" s="114">
        <v>7680687483</v>
      </c>
      <c r="G1148" s="114">
        <v>3271</v>
      </c>
      <c r="H1148" s="114">
        <v>323</v>
      </c>
      <c r="I1148" s="114">
        <v>3594</v>
      </c>
      <c r="J1148" s="114">
        <v>10629</v>
      </c>
      <c r="K1148" s="114">
        <v>14223</v>
      </c>
      <c r="L1148" s="114">
        <v>225</v>
      </c>
      <c r="M1148" s="114">
        <v>661</v>
      </c>
      <c r="N1148" s="114">
        <v>3989</v>
      </c>
      <c r="O1148" s="114">
        <v>2252</v>
      </c>
      <c r="P1148" s="114">
        <v>20464</v>
      </c>
      <c r="Q1148" s="114">
        <v>91844</v>
      </c>
      <c r="R1148" s="13" t="s">
        <v>25</v>
      </c>
      <c r="S1148" s="13" t="s">
        <v>25</v>
      </c>
      <c r="T1148" s="13" t="s">
        <v>25</v>
      </c>
    </row>
    <row r="1149" spans="1:20" x14ac:dyDescent="0.3">
      <c r="A1149" s="14">
        <v>43939.708333333336</v>
      </c>
      <c r="B1149" s="13" t="s">
        <v>22</v>
      </c>
      <c r="C1149" s="114">
        <v>16</v>
      </c>
      <c r="D1149" s="13" t="s">
        <v>54</v>
      </c>
      <c r="E1149" s="114">
        <v>4112559576</v>
      </c>
      <c r="F1149" s="114">
        <v>1686736689</v>
      </c>
      <c r="G1149" s="114">
        <v>594</v>
      </c>
      <c r="H1149" s="114">
        <v>60</v>
      </c>
      <c r="I1149" s="114">
        <v>654</v>
      </c>
      <c r="J1149" s="114">
        <v>2040</v>
      </c>
      <c r="K1149" s="114">
        <v>2694</v>
      </c>
      <c r="L1149" s="114">
        <v>38</v>
      </c>
      <c r="M1149" s="114">
        <v>82</v>
      </c>
      <c r="N1149" s="114">
        <v>401</v>
      </c>
      <c r="O1149" s="114">
        <v>314</v>
      </c>
      <c r="P1149" s="114">
        <v>3409</v>
      </c>
      <c r="Q1149" s="114">
        <v>40423</v>
      </c>
      <c r="R1149" s="13" t="s">
        <v>25</v>
      </c>
      <c r="S1149" s="13" t="s">
        <v>25</v>
      </c>
      <c r="T1149" s="13" t="s">
        <v>25</v>
      </c>
    </row>
    <row r="1150" spans="1:20" x14ac:dyDescent="0.3">
      <c r="A1150" s="14">
        <v>43939.708333333336</v>
      </c>
      <c r="B1150" s="13" t="s">
        <v>22</v>
      </c>
      <c r="C1150" s="114">
        <v>20</v>
      </c>
      <c r="D1150" s="13" t="s">
        <v>55</v>
      </c>
      <c r="E1150" s="114">
        <v>3921531192</v>
      </c>
      <c r="F1150" s="114">
        <v>9110616306</v>
      </c>
      <c r="G1150" s="114">
        <v>112</v>
      </c>
      <c r="H1150" s="114">
        <v>23</v>
      </c>
      <c r="I1150" s="114">
        <v>135</v>
      </c>
      <c r="J1150" s="114">
        <v>746</v>
      </c>
      <c r="K1150" s="114">
        <v>881</v>
      </c>
      <c r="L1150" s="114">
        <v>9</v>
      </c>
      <c r="M1150" s="114">
        <v>20</v>
      </c>
      <c r="N1150" s="114">
        <v>231</v>
      </c>
      <c r="O1150" s="114">
        <v>86</v>
      </c>
      <c r="P1150" s="114">
        <v>1198</v>
      </c>
      <c r="Q1150" s="114">
        <v>14087</v>
      </c>
      <c r="R1150" s="13" t="s">
        <v>25</v>
      </c>
      <c r="S1150" s="13" t="s">
        <v>25</v>
      </c>
      <c r="T1150" s="13" t="s">
        <v>25</v>
      </c>
    </row>
    <row r="1151" spans="1:20" x14ac:dyDescent="0.3">
      <c r="A1151" s="14">
        <v>43939.708333333336</v>
      </c>
      <c r="B1151" s="13" t="s">
        <v>22</v>
      </c>
      <c r="C1151" s="114">
        <v>19</v>
      </c>
      <c r="D1151" s="13" t="s">
        <v>56</v>
      </c>
      <c r="E1151" s="114">
        <v>3811569725</v>
      </c>
      <c r="F1151" s="114">
        <v>133623567</v>
      </c>
      <c r="G1151" s="114">
        <v>526</v>
      </c>
      <c r="H1151" s="114">
        <v>42</v>
      </c>
      <c r="I1151" s="114">
        <v>568</v>
      </c>
      <c r="J1151" s="114">
        <v>1603</v>
      </c>
      <c r="K1151" s="114">
        <v>2171</v>
      </c>
      <c r="L1151" s="114">
        <v>32</v>
      </c>
      <c r="M1151" s="114">
        <v>47</v>
      </c>
      <c r="N1151" s="114">
        <v>305</v>
      </c>
      <c r="O1151" s="114">
        <v>196</v>
      </c>
      <c r="P1151" s="114">
        <v>2672</v>
      </c>
      <c r="Q1151" s="114">
        <v>47715</v>
      </c>
      <c r="R1151" s="13" t="s">
        <v>25</v>
      </c>
      <c r="S1151" s="13" t="s">
        <v>25</v>
      </c>
      <c r="T1151" s="13" t="s">
        <v>25</v>
      </c>
    </row>
    <row r="1152" spans="1:20" x14ac:dyDescent="0.3">
      <c r="A1152" s="14">
        <v>43939.708333333336</v>
      </c>
      <c r="B1152" s="13" t="s">
        <v>22</v>
      </c>
      <c r="C1152" s="114">
        <v>9</v>
      </c>
      <c r="D1152" s="13" t="s">
        <v>57</v>
      </c>
      <c r="E1152" s="114">
        <v>4376923077</v>
      </c>
      <c r="F1152" s="114">
        <v>1125588885</v>
      </c>
      <c r="G1152" s="114">
        <v>883</v>
      </c>
      <c r="H1152" s="114">
        <v>198</v>
      </c>
      <c r="I1152" s="114">
        <v>1081</v>
      </c>
      <c r="J1152" s="114">
        <v>5389</v>
      </c>
      <c r="K1152" s="114">
        <v>6470</v>
      </c>
      <c r="L1152" s="114">
        <v>-113</v>
      </c>
      <c r="M1152" s="114">
        <v>127</v>
      </c>
      <c r="N1152" s="114">
        <v>1149</v>
      </c>
      <c r="O1152" s="114">
        <v>618</v>
      </c>
      <c r="P1152" s="114">
        <v>8237</v>
      </c>
      <c r="Q1152" s="114">
        <v>99903</v>
      </c>
      <c r="R1152" s="13" t="s">
        <v>25</v>
      </c>
      <c r="S1152" s="13" t="s">
        <v>25</v>
      </c>
      <c r="T1152" s="13" t="s">
        <v>25</v>
      </c>
    </row>
    <row r="1153" spans="1:20" x14ac:dyDescent="0.3">
      <c r="A1153" s="14">
        <v>43939.708333333336</v>
      </c>
      <c r="B1153" s="13" t="s">
        <v>22</v>
      </c>
      <c r="C1153" s="114">
        <v>4</v>
      </c>
      <c r="D1153" s="13" t="s">
        <v>58</v>
      </c>
      <c r="E1153" s="114">
        <v>4606893511</v>
      </c>
      <c r="F1153" s="114">
        <v>1112123097</v>
      </c>
      <c r="G1153" s="114">
        <v>276</v>
      </c>
      <c r="H1153" s="114">
        <v>42</v>
      </c>
      <c r="I1153" s="114">
        <v>318</v>
      </c>
      <c r="J1153" s="114">
        <v>1667</v>
      </c>
      <c r="K1153" s="114">
        <v>1985</v>
      </c>
      <c r="L1153" s="114">
        <v>-5</v>
      </c>
      <c r="M1153" s="114">
        <v>55</v>
      </c>
      <c r="N1153" s="114">
        <v>1098</v>
      </c>
      <c r="O1153" s="114">
        <v>348</v>
      </c>
      <c r="P1153" s="114">
        <v>3431</v>
      </c>
      <c r="Q1153" s="114">
        <v>23147</v>
      </c>
      <c r="R1153" s="13" t="s">
        <v>25</v>
      </c>
      <c r="S1153" s="13" t="s">
        <v>25</v>
      </c>
      <c r="T1153" s="13" t="s">
        <v>25</v>
      </c>
    </row>
    <row r="1154" spans="1:20" x14ac:dyDescent="0.3">
      <c r="A1154" s="14">
        <v>43939.708333333336</v>
      </c>
      <c r="B1154" s="13" t="s">
        <v>22</v>
      </c>
      <c r="C1154" s="114">
        <v>10</v>
      </c>
      <c r="D1154" s="13" t="s">
        <v>59</v>
      </c>
      <c r="E1154" s="114">
        <v>4310675841</v>
      </c>
      <c r="F1154" s="114">
        <v>1238824698</v>
      </c>
      <c r="G1154" s="114">
        <v>109</v>
      </c>
      <c r="H1154" s="114">
        <v>32</v>
      </c>
      <c r="I1154" s="114">
        <v>141</v>
      </c>
      <c r="J1154" s="114">
        <v>290</v>
      </c>
      <c r="K1154" s="114">
        <v>431</v>
      </c>
      <c r="L1154" s="114">
        <v>-63</v>
      </c>
      <c r="M1154" s="114">
        <v>7</v>
      </c>
      <c r="N1154" s="114">
        <v>856</v>
      </c>
      <c r="O1154" s="114">
        <v>57</v>
      </c>
      <c r="P1154" s="114">
        <v>1344</v>
      </c>
      <c r="Q1154" s="114">
        <v>24106</v>
      </c>
      <c r="R1154" s="13" t="s">
        <v>25</v>
      </c>
      <c r="S1154" s="13" t="s">
        <v>25</v>
      </c>
      <c r="T1154" s="13" t="s">
        <v>25</v>
      </c>
    </row>
    <row r="1155" spans="1:20" x14ac:dyDescent="0.3">
      <c r="A1155" s="14">
        <v>43939.708333333336</v>
      </c>
      <c r="B1155" s="13" t="s">
        <v>22</v>
      </c>
      <c r="C1155" s="114">
        <v>2</v>
      </c>
      <c r="D1155" s="13" t="s">
        <v>60</v>
      </c>
      <c r="E1155" s="114">
        <v>4573750286</v>
      </c>
      <c r="F1155" s="114">
        <v>7320149366</v>
      </c>
      <c r="G1155" s="114">
        <v>107</v>
      </c>
      <c r="H1155" s="114">
        <v>10</v>
      </c>
      <c r="I1155" s="114">
        <v>117</v>
      </c>
      <c r="J1155" s="114">
        <v>432</v>
      </c>
      <c r="K1155" s="114">
        <v>549</v>
      </c>
      <c r="L1155" s="114">
        <v>58</v>
      </c>
      <c r="M1155" s="114">
        <v>80</v>
      </c>
      <c r="N1155" s="114">
        <v>400</v>
      </c>
      <c r="O1155" s="114">
        <v>124</v>
      </c>
      <c r="P1155" s="114">
        <v>1073</v>
      </c>
      <c r="Q1155" s="114">
        <v>4521</v>
      </c>
      <c r="R1155" s="13" t="s">
        <v>25</v>
      </c>
      <c r="S1155" s="13" t="s">
        <v>25</v>
      </c>
      <c r="T1155" s="13" t="s">
        <v>25</v>
      </c>
    </row>
    <row r="1156" spans="1:20" x14ac:dyDescent="0.3">
      <c r="A1156" s="14">
        <v>43939.708333333336</v>
      </c>
      <c r="B1156" s="13" t="s">
        <v>22</v>
      </c>
      <c r="C1156" s="114">
        <v>5</v>
      </c>
      <c r="D1156" s="13" t="s">
        <v>61</v>
      </c>
      <c r="E1156" s="114">
        <v>4543490485</v>
      </c>
      <c r="F1156" s="114">
        <v>1233845213</v>
      </c>
      <c r="G1156" s="114">
        <v>1287</v>
      </c>
      <c r="H1156" s="114">
        <v>190</v>
      </c>
      <c r="I1156" s="114">
        <v>1477</v>
      </c>
      <c r="J1156" s="114">
        <v>8967</v>
      </c>
      <c r="K1156" s="114">
        <v>10444</v>
      </c>
      <c r="L1156" s="114">
        <v>-174</v>
      </c>
      <c r="M1156" s="114">
        <v>318</v>
      </c>
      <c r="N1156" s="114">
        <v>4189</v>
      </c>
      <c r="O1156" s="114">
        <v>1059</v>
      </c>
      <c r="P1156" s="114">
        <v>15692</v>
      </c>
      <c r="Q1156" s="114">
        <v>247329</v>
      </c>
      <c r="R1156" s="13" t="s">
        <v>25</v>
      </c>
      <c r="S1156" s="13" t="s">
        <v>25</v>
      </c>
      <c r="T1156" s="13" t="s">
        <v>25</v>
      </c>
    </row>
    <row r="1157" spans="1:20" x14ac:dyDescent="0.3">
      <c r="A1157" s="14">
        <v>43940.708333333336</v>
      </c>
      <c r="B1157" s="13" t="s">
        <v>22</v>
      </c>
      <c r="C1157" s="114">
        <v>13</v>
      </c>
      <c r="D1157" s="13" t="s">
        <v>42</v>
      </c>
      <c r="E1157" s="114">
        <v>4235122196</v>
      </c>
      <c r="F1157" s="114">
        <v>1339843823</v>
      </c>
      <c r="G1157" s="114">
        <v>317</v>
      </c>
      <c r="H1157" s="114">
        <v>40</v>
      </c>
      <c r="I1157" s="114">
        <v>357</v>
      </c>
      <c r="J1157" s="114">
        <v>1630</v>
      </c>
      <c r="K1157" s="114">
        <v>1987</v>
      </c>
      <c r="L1157" s="114">
        <v>16</v>
      </c>
      <c r="M1157" s="114">
        <v>34</v>
      </c>
      <c r="N1157" s="114">
        <v>276</v>
      </c>
      <c r="O1157" s="114">
        <v>258</v>
      </c>
      <c r="P1157" s="114">
        <v>2521</v>
      </c>
      <c r="Q1157" s="114">
        <v>27791</v>
      </c>
      <c r="R1157" s="13" t="s">
        <v>201</v>
      </c>
      <c r="S1157" s="13" t="s">
        <v>25</v>
      </c>
      <c r="T1157" s="13" t="s">
        <v>25</v>
      </c>
    </row>
    <row r="1158" spans="1:20" x14ac:dyDescent="0.3">
      <c r="A1158" s="14">
        <v>43940.708333333336</v>
      </c>
      <c r="B1158" s="13" t="s">
        <v>22</v>
      </c>
      <c r="C1158" s="114">
        <v>17</v>
      </c>
      <c r="D1158" s="13" t="s">
        <v>43</v>
      </c>
      <c r="E1158" s="114">
        <v>4063947052</v>
      </c>
      <c r="F1158" s="114">
        <v>1580514834</v>
      </c>
      <c r="G1158" s="114">
        <v>59</v>
      </c>
      <c r="H1158" s="114">
        <v>8</v>
      </c>
      <c r="I1158" s="114">
        <v>67</v>
      </c>
      <c r="J1158" s="114">
        <v>180</v>
      </c>
      <c r="K1158" s="114">
        <v>247</v>
      </c>
      <c r="L1158" s="114">
        <v>-15</v>
      </c>
      <c r="M1158" s="114">
        <v>3</v>
      </c>
      <c r="N1158" s="114">
        <v>71</v>
      </c>
      <c r="O1158" s="114">
        <v>24</v>
      </c>
      <c r="P1158" s="114">
        <v>342</v>
      </c>
      <c r="Q1158" s="114">
        <v>6528</v>
      </c>
      <c r="R1158" s="13" t="s">
        <v>202</v>
      </c>
      <c r="S1158" s="13" t="s">
        <v>25</v>
      </c>
      <c r="T1158" s="13" t="s">
        <v>25</v>
      </c>
    </row>
    <row r="1159" spans="1:20" x14ac:dyDescent="0.3">
      <c r="A1159" s="14">
        <v>43940.708333333336</v>
      </c>
      <c r="B1159" s="13" t="s">
        <v>22</v>
      </c>
      <c r="C1159" s="114">
        <v>4</v>
      </c>
      <c r="D1159" s="13" t="s">
        <v>44</v>
      </c>
      <c r="E1159" s="114">
        <v>4649933453</v>
      </c>
      <c r="F1159" s="114">
        <v>1135662422</v>
      </c>
      <c r="G1159" s="114">
        <v>162</v>
      </c>
      <c r="H1159" s="114">
        <v>23</v>
      </c>
      <c r="I1159" s="114">
        <v>185</v>
      </c>
      <c r="J1159" s="114">
        <v>1381</v>
      </c>
      <c r="K1159" s="114">
        <v>1566</v>
      </c>
      <c r="L1159" s="114">
        <v>10</v>
      </c>
      <c r="M1159" s="114">
        <v>55</v>
      </c>
      <c r="N1159" s="114">
        <v>569</v>
      </c>
      <c r="O1159" s="114">
        <v>245</v>
      </c>
      <c r="P1159" s="114">
        <v>2380</v>
      </c>
      <c r="Q1159" s="114">
        <v>30361</v>
      </c>
      <c r="R1159" s="13" t="s">
        <v>203</v>
      </c>
      <c r="S1159" s="13" t="s">
        <v>25</v>
      </c>
      <c r="T1159" s="13" t="s">
        <v>25</v>
      </c>
    </row>
    <row r="1160" spans="1:20" x14ac:dyDescent="0.3">
      <c r="A1160" s="14">
        <v>43940.708333333336</v>
      </c>
      <c r="B1160" s="13" t="s">
        <v>22</v>
      </c>
      <c r="C1160" s="114">
        <v>18</v>
      </c>
      <c r="D1160" s="13" t="s">
        <v>45</v>
      </c>
      <c r="E1160" s="114">
        <v>3890597598</v>
      </c>
      <c r="F1160" s="114">
        <v>1659440194</v>
      </c>
      <c r="G1160" s="114">
        <v>142</v>
      </c>
      <c r="H1160" s="114">
        <v>6</v>
      </c>
      <c r="I1160" s="114">
        <v>148</v>
      </c>
      <c r="J1160" s="114">
        <v>696</v>
      </c>
      <c r="K1160" s="114">
        <v>844</v>
      </c>
      <c r="L1160" s="114">
        <v>12</v>
      </c>
      <c r="M1160" s="114">
        <v>24</v>
      </c>
      <c r="N1160" s="114">
        <v>116</v>
      </c>
      <c r="O1160" s="114">
        <v>75</v>
      </c>
      <c r="P1160" s="114">
        <v>1035</v>
      </c>
      <c r="Q1160" s="114">
        <v>23760</v>
      </c>
      <c r="R1160" s="13" t="s">
        <v>204</v>
      </c>
      <c r="S1160" s="13" t="s">
        <v>25</v>
      </c>
      <c r="T1160" s="13" t="s">
        <v>25</v>
      </c>
    </row>
    <row r="1161" spans="1:20" x14ac:dyDescent="0.3">
      <c r="A1161" s="14">
        <v>43940.708333333336</v>
      </c>
      <c r="B1161" s="13" t="s">
        <v>22</v>
      </c>
      <c r="C1161" s="114">
        <v>15</v>
      </c>
      <c r="D1161" s="13" t="s">
        <v>46</v>
      </c>
      <c r="E1161" s="114">
        <v>4083956555</v>
      </c>
      <c r="F1161" s="114">
        <v>1425084984</v>
      </c>
      <c r="G1161" s="114">
        <v>590</v>
      </c>
      <c r="H1161" s="114">
        <v>61</v>
      </c>
      <c r="I1161" s="114">
        <v>651</v>
      </c>
      <c r="J1161" s="114">
        <v>2371</v>
      </c>
      <c r="K1161" s="114">
        <v>3022</v>
      </c>
      <c r="L1161" s="114">
        <v>-23</v>
      </c>
      <c r="M1161" s="114">
        <v>41</v>
      </c>
      <c r="N1161" s="114">
        <v>703</v>
      </c>
      <c r="O1161" s="114">
        <v>304</v>
      </c>
      <c r="P1161" s="114">
        <v>4029</v>
      </c>
      <c r="Q1161" s="114">
        <v>48187</v>
      </c>
      <c r="R1161" s="13" t="s">
        <v>205</v>
      </c>
      <c r="S1161" s="13" t="s">
        <v>25</v>
      </c>
      <c r="T1161" s="13" t="s">
        <v>25</v>
      </c>
    </row>
    <row r="1162" spans="1:20" x14ac:dyDescent="0.3">
      <c r="A1162" s="14">
        <v>43940.708333333336</v>
      </c>
      <c r="B1162" s="13" t="s">
        <v>22</v>
      </c>
      <c r="C1162" s="114">
        <v>8</v>
      </c>
      <c r="D1162" s="13" t="s">
        <v>96</v>
      </c>
      <c r="E1162" s="114">
        <v>4449436681</v>
      </c>
      <c r="F1162" s="114">
        <v>113417208</v>
      </c>
      <c r="G1162" s="114">
        <v>3166</v>
      </c>
      <c r="H1162" s="114">
        <v>289</v>
      </c>
      <c r="I1162" s="114">
        <v>3455</v>
      </c>
      <c r="J1162" s="114">
        <v>10097</v>
      </c>
      <c r="K1162" s="114">
        <v>13552</v>
      </c>
      <c r="L1162" s="114">
        <v>-32</v>
      </c>
      <c r="M1162" s="114">
        <v>376</v>
      </c>
      <c r="N1162" s="114">
        <v>5985</v>
      </c>
      <c r="O1162" s="114">
        <v>3023</v>
      </c>
      <c r="P1162" s="114">
        <v>22560</v>
      </c>
      <c r="Q1162" s="114">
        <v>124916</v>
      </c>
      <c r="R1162" s="13" t="s">
        <v>206</v>
      </c>
      <c r="S1162" s="13" t="s">
        <v>25</v>
      </c>
      <c r="T1162" s="13" t="s">
        <v>25</v>
      </c>
    </row>
    <row r="1163" spans="1:20" x14ac:dyDescent="0.3">
      <c r="A1163" s="14">
        <v>43940.708333333336</v>
      </c>
      <c r="B1163" s="13" t="s">
        <v>22</v>
      </c>
      <c r="C1163" s="114">
        <v>6</v>
      </c>
      <c r="D1163" s="13" t="s">
        <v>47</v>
      </c>
      <c r="E1163" s="114">
        <v>456494354</v>
      </c>
      <c r="F1163" s="114">
        <v>1376813649</v>
      </c>
      <c r="G1163" s="114">
        <v>140</v>
      </c>
      <c r="H1163" s="114">
        <v>25</v>
      </c>
      <c r="I1163" s="114">
        <v>165</v>
      </c>
      <c r="J1163" s="114">
        <v>1172</v>
      </c>
      <c r="K1163" s="114">
        <v>1337</v>
      </c>
      <c r="L1163" s="114">
        <v>-66</v>
      </c>
      <c r="M1163" s="114">
        <v>14</v>
      </c>
      <c r="N1163" s="114">
        <v>1183</v>
      </c>
      <c r="O1163" s="114">
        <v>225</v>
      </c>
      <c r="P1163" s="114">
        <v>2745</v>
      </c>
      <c r="Q1163" s="114">
        <v>44622</v>
      </c>
      <c r="R1163" s="13" t="s">
        <v>207</v>
      </c>
      <c r="S1163" s="13" t="s">
        <v>25</v>
      </c>
      <c r="T1163" s="13" t="s">
        <v>25</v>
      </c>
    </row>
    <row r="1164" spans="1:20" x14ac:dyDescent="0.3">
      <c r="A1164" s="14">
        <v>43940.708333333336</v>
      </c>
      <c r="B1164" s="13" t="s">
        <v>22</v>
      </c>
      <c r="C1164" s="114">
        <v>12</v>
      </c>
      <c r="D1164" s="13" t="s">
        <v>48</v>
      </c>
      <c r="E1164" s="114">
        <v>4189277044</v>
      </c>
      <c r="F1164" s="114">
        <v>1248366722</v>
      </c>
      <c r="G1164" s="114">
        <v>1370</v>
      </c>
      <c r="H1164" s="114">
        <v>185</v>
      </c>
      <c r="I1164" s="114">
        <v>1555</v>
      </c>
      <c r="J1164" s="114">
        <v>2766</v>
      </c>
      <c r="K1164" s="114">
        <v>4321</v>
      </c>
      <c r="L1164" s="114">
        <v>39</v>
      </c>
      <c r="M1164" s="114">
        <v>87</v>
      </c>
      <c r="N1164" s="114">
        <v>1093</v>
      </c>
      <c r="O1164" s="114">
        <v>341</v>
      </c>
      <c r="P1164" s="114">
        <v>5755</v>
      </c>
      <c r="Q1164" s="114">
        <v>91807</v>
      </c>
      <c r="R1164" s="13" t="s">
        <v>208</v>
      </c>
      <c r="S1164" s="13" t="s">
        <v>25</v>
      </c>
      <c r="T1164" s="13" t="s">
        <v>25</v>
      </c>
    </row>
    <row r="1165" spans="1:20" x14ac:dyDescent="0.3">
      <c r="A1165" s="14">
        <v>43940.708333333336</v>
      </c>
      <c r="B1165" s="13" t="s">
        <v>22</v>
      </c>
      <c r="C1165" s="114">
        <v>7</v>
      </c>
      <c r="D1165" s="13" t="s">
        <v>49</v>
      </c>
      <c r="E1165" s="114">
        <v>4441149315</v>
      </c>
      <c r="F1165" s="114">
        <v>89326992</v>
      </c>
      <c r="G1165" s="114">
        <v>885</v>
      </c>
      <c r="H1165" s="114">
        <v>101</v>
      </c>
      <c r="I1165" s="114">
        <v>986</v>
      </c>
      <c r="J1165" s="114">
        <v>2504</v>
      </c>
      <c r="K1165" s="114">
        <v>3490</v>
      </c>
      <c r="L1165" s="114">
        <v>78</v>
      </c>
      <c r="M1165" s="114">
        <v>227</v>
      </c>
      <c r="N1165" s="114">
        <v>2110</v>
      </c>
      <c r="O1165" s="114">
        <v>928</v>
      </c>
      <c r="P1165" s="114">
        <v>6528</v>
      </c>
      <c r="Q1165" s="114">
        <v>31551</v>
      </c>
      <c r="R1165" s="13" t="s">
        <v>209</v>
      </c>
      <c r="S1165" s="13" t="s">
        <v>25</v>
      </c>
      <c r="T1165" s="13" t="s">
        <v>25</v>
      </c>
    </row>
    <row r="1166" spans="1:20" x14ac:dyDescent="0.3">
      <c r="A1166" s="14">
        <v>43940.708333333336</v>
      </c>
      <c r="B1166" s="13" t="s">
        <v>22</v>
      </c>
      <c r="C1166" s="114">
        <v>3</v>
      </c>
      <c r="D1166" s="13" t="s">
        <v>50</v>
      </c>
      <c r="E1166" s="114">
        <v>4546679409</v>
      </c>
      <c r="F1166" s="114">
        <v>9190347404</v>
      </c>
      <c r="G1166" s="114">
        <v>10342</v>
      </c>
      <c r="H1166" s="114">
        <v>922</v>
      </c>
      <c r="I1166" s="114">
        <v>11264</v>
      </c>
      <c r="J1166" s="114">
        <v>23233</v>
      </c>
      <c r="K1166" s="114">
        <v>34497</v>
      </c>
      <c r="L1166" s="114">
        <v>302</v>
      </c>
      <c r="M1166" s="114">
        <v>855</v>
      </c>
      <c r="N1166" s="114">
        <v>19526</v>
      </c>
      <c r="O1166" s="114">
        <v>12213</v>
      </c>
      <c r="P1166" s="114">
        <v>66236</v>
      </c>
      <c r="Q1166" s="114">
        <v>264155</v>
      </c>
      <c r="R1166" s="13" t="s">
        <v>210</v>
      </c>
      <c r="S1166" s="13" t="s">
        <v>25</v>
      </c>
      <c r="T1166" s="13" t="s">
        <v>25</v>
      </c>
    </row>
    <row r="1167" spans="1:20" x14ac:dyDescent="0.3">
      <c r="A1167" s="14">
        <v>43940.708333333336</v>
      </c>
      <c r="B1167" s="13" t="s">
        <v>22</v>
      </c>
      <c r="C1167" s="114">
        <v>11</v>
      </c>
      <c r="D1167" s="13" t="s">
        <v>51</v>
      </c>
      <c r="E1167" s="114">
        <v>4361675973</v>
      </c>
      <c r="F1167" s="114">
        <v>135188753</v>
      </c>
      <c r="G1167" s="114">
        <v>799</v>
      </c>
      <c r="H1167" s="114">
        <v>86</v>
      </c>
      <c r="I1167" s="114">
        <v>885</v>
      </c>
      <c r="J1167" s="114">
        <v>2297</v>
      </c>
      <c r="K1167" s="114">
        <v>3182</v>
      </c>
      <c r="L1167" s="114">
        <v>10</v>
      </c>
      <c r="M1167" s="114">
        <v>48</v>
      </c>
      <c r="N1167" s="114">
        <v>1780</v>
      </c>
      <c r="O1167" s="114">
        <v>807</v>
      </c>
      <c r="P1167" s="114">
        <v>5769</v>
      </c>
      <c r="Q1167" s="114">
        <v>41474</v>
      </c>
      <c r="R1167" s="13" t="s">
        <v>211</v>
      </c>
      <c r="S1167" s="13" t="s">
        <v>25</v>
      </c>
      <c r="T1167" s="13" t="s">
        <v>25</v>
      </c>
    </row>
    <row r="1168" spans="1:20" x14ac:dyDescent="0.3">
      <c r="A1168" s="14">
        <v>43940.708333333336</v>
      </c>
      <c r="B1168" s="13" t="s">
        <v>22</v>
      </c>
      <c r="C1168" s="114">
        <v>14</v>
      </c>
      <c r="D1168" s="13" t="s">
        <v>52</v>
      </c>
      <c r="E1168" s="114">
        <v>4155774754</v>
      </c>
      <c r="F1168" s="114">
        <v>1465916051</v>
      </c>
      <c r="G1168" s="114">
        <v>27</v>
      </c>
      <c r="H1168" s="114">
        <v>4</v>
      </c>
      <c r="I1168" s="114">
        <v>31</v>
      </c>
      <c r="J1168" s="114">
        <v>184</v>
      </c>
      <c r="K1168" s="114">
        <v>215</v>
      </c>
      <c r="L1168" s="114">
        <v>6</v>
      </c>
      <c r="M1168" s="114">
        <v>10</v>
      </c>
      <c r="N1168" s="114">
        <v>47</v>
      </c>
      <c r="O1168" s="114">
        <v>17</v>
      </c>
      <c r="P1168" s="114">
        <v>279</v>
      </c>
      <c r="Q1168" s="114">
        <v>3584</v>
      </c>
      <c r="R1168" s="13" t="s">
        <v>212</v>
      </c>
      <c r="S1168" s="13" t="s">
        <v>25</v>
      </c>
      <c r="T1168" s="13" t="s">
        <v>25</v>
      </c>
    </row>
    <row r="1169" spans="1:20" x14ac:dyDescent="0.3">
      <c r="A1169" s="14">
        <v>43940.708333333336</v>
      </c>
      <c r="B1169" s="13" t="s">
        <v>22</v>
      </c>
      <c r="C1169" s="114">
        <v>1</v>
      </c>
      <c r="D1169" s="13" t="s">
        <v>53</v>
      </c>
      <c r="E1169" s="114">
        <v>450732745</v>
      </c>
      <c r="F1169" s="114">
        <v>7680687483</v>
      </c>
      <c r="G1169" s="114">
        <v>3201</v>
      </c>
      <c r="H1169" s="114">
        <v>305</v>
      </c>
      <c r="I1169" s="114">
        <v>3506</v>
      </c>
      <c r="J1169" s="114">
        <v>10964</v>
      </c>
      <c r="K1169" s="114">
        <v>14470</v>
      </c>
      <c r="L1169" s="114">
        <v>247</v>
      </c>
      <c r="M1169" s="114">
        <v>593</v>
      </c>
      <c r="N1169" s="114">
        <v>4256</v>
      </c>
      <c r="O1169" s="114">
        <v>2331</v>
      </c>
      <c r="P1169" s="114">
        <v>21057</v>
      </c>
      <c r="Q1169" s="114">
        <v>96569</v>
      </c>
      <c r="R1169" s="13" t="s">
        <v>213</v>
      </c>
      <c r="S1169" s="13" t="s">
        <v>25</v>
      </c>
      <c r="T1169" s="13" t="s">
        <v>25</v>
      </c>
    </row>
    <row r="1170" spans="1:20" x14ac:dyDescent="0.3">
      <c r="A1170" s="14">
        <v>43940.708333333336</v>
      </c>
      <c r="B1170" s="13" t="s">
        <v>22</v>
      </c>
      <c r="C1170" s="114">
        <v>16</v>
      </c>
      <c r="D1170" s="13" t="s">
        <v>54</v>
      </c>
      <c r="E1170" s="114">
        <v>4112559576</v>
      </c>
      <c r="F1170" s="114">
        <v>1686736689</v>
      </c>
      <c r="G1170" s="114">
        <v>590</v>
      </c>
      <c r="H1170" s="114">
        <v>60</v>
      </c>
      <c r="I1170" s="114">
        <v>650</v>
      </c>
      <c r="J1170" s="114">
        <v>2136</v>
      </c>
      <c r="K1170" s="114">
        <v>2786</v>
      </c>
      <c r="L1170" s="114">
        <v>92</v>
      </c>
      <c r="M1170" s="114">
        <v>120</v>
      </c>
      <c r="N1170" s="114">
        <v>427</v>
      </c>
      <c r="O1170" s="114">
        <v>316</v>
      </c>
      <c r="P1170" s="114">
        <v>3529</v>
      </c>
      <c r="Q1170" s="114">
        <v>42598</v>
      </c>
      <c r="R1170" s="13" t="s">
        <v>214</v>
      </c>
      <c r="S1170" s="13" t="s">
        <v>25</v>
      </c>
      <c r="T1170" s="13" t="s">
        <v>25</v>
      </c>
    </row>
    <row r="1171" spans="1:20" x14ac:dyDescent="0.3">
      <c r="A1171" s="14">
        <v>43940.708333333336</v>
      </c>
      <c r="B1171" s="13" t="s">
        <v>22</v>
      </c>
      <c r="C1171" s="114">
        <v>20</v>
      </c>
      <c r="D1171" s="13" t="s">
        <v>55</v>
      </c>
      <c r="E1171" s="114">
        <v>3921531192</v>
      </c>
      <c r="F1171" s="114">
        <v>9110616306</v>
      </c>
      <c r="G1171" s="114">
        <v>117</v>
      </c>
      <c r="H1171" s="114">
        <v>22</v>
      </c>
      <c r="I1171" s="114">
        <v>139</v>
      </c>
      <c r="J1171" s="114">
        <v>725</v>
      </c>
      <c r="K1171" s="114">
        <v>864</v>
      </c>
      <c r="L1171" s="114">
        <v>-17</v>
      </c>
      <c r="M1171" s="114">
        <v>17</v>
      </c>
      <c r="N1171" s="114">
        <v>265</v>
      </c>
      <c r="O1171" s="114">
        <v>86</v>
      </c>
      <c r="P1171" s="114">
        <v>1215</v>
      </c>
      <c r="Q1171" s="114">
        <v>14859</v>
      </c>
      <c r="R1171" s="13" t="s">
        <v>215</v>
      </c>
      <c r="S1171" s="13" t="s">
        <v>25</v>
      </c>
      <c r="T1171" s="13" t="s">
        <v>25</v>
      </c>
    </row>
    <row r="1172" spans="1:20" x14ac:dyDescent="0.3">
      <c r="A1172" s="14">
        <v>43940.708333333336</v>
      </c>
      <c r="B1172" s="13" t="s">
        <v>22</v>
      </c>
      <c r="C1172" s="114">
        <v>19</v>
      </c>
      <c r="D1172" s="13" t="s">
        <v>56</v>
      </c>
      <c r="E1172" s="114">
        <v>3811569725</v>
      </c>
      <c r="F1172" s="114">
        <v>133623567</v>
      </c>
      <c r="G1172" s="114">
        <v>522</v>
      </c>
      <c r="H1172" s="114">
        <v>41</v>
      </c>
      <c r="I1172" s="114">
        <v>563</v>
      </c>
      <c r="J1172" s="114">
        <v>1639</v>
      </c>
      <c r="K1172" s="114">
        <v>2202</v>
      </c>
      <c r="L1172" s="114">
        <v>31</v>
      </c>
      <c r="M1172" s="114">
        <v>45</v>
      </c>
      <c r="N1172" s="114">
        <v>315</v>
      </c>
      <c r="O1172" s="114">
        <v>200</v>
      </c>
      <c r="P1172" s="114">
        <v>2717</v>
      </c>
      <c r="Q1172" s="114">
        <v>49772</v>
      </c>
      <c r="R1172" s="13" t="s">
        <v>216</v>
      </c>
      <c r="S1172" s="13" t="s">
        <v>25</v>
      </c>
      <c r="T1172" s="13" t="s">
        <v>25</v>
      </c>
    </row>
    <row r="1173" spans="1:20" x14ac:dyDescent="0.3">
      <c r="A1173" s="14">
        <v>43940.708333333336</v>
      </c>
      <c r="B1173" s="13" t="s">
        <v>22</v>
      </c>
      <c r="C1173" s="114">
        <v>9</v>
      </c>
      <c r="D1173" s="13" t="s">
        <v>57</v>
      </c>
      <c r="E1173" s="114">
        <v>4376923077</v>
      </c>
      <c r="F1173" s="114">
        <v>1125588885</v>
      </c>
      <c r="G1173" s="114">
        <v>852</v>
      </c>
      <c r="H1173" s="114">
        <v>192</v>
      </c>
      <c r="I1173" s="114">
        <v>1044</v>
      </c>
      <c r="J1173" s="114">
        <v>5452</v>
      </c>
      <c r="K1173" s="114">
        <v>6496</v>
      </c>
      <c r="L1173" s="114">
        <v>26</v>
      </c>
      <c r="M1173" s="114">
        <v>135</v>
      </c>
      <c r="N1173" s="114">
        <v>1239</v>
      </c>
      <c r="O1173" s="114">
        <v>637</v>
      </c>
      <c r="P1173" s="114">
        <v>8372</v>
      </c>
      <c r="Q1173" s="114">
        <v>103975</v>
      </c>
      <c r="R1173" s="13" t="s">
        <v>217</v>
      </c>
      <c r="S1173" s="13" t="s">
        <v>25</v>
      </c>
      <c r="T1173" s="13" t="s">
        <v>25</v>
      </c>
    </row>
    <row r="1174" spans="1:20" x14ac:dyDescent="0.3">
      <c r="A1174" s="14">
        <v>43940.708333333336</v>
      </c>
      <c r="B1174" s="13" t="s">
        <v>22</v>
      </c>
      <c r="C1174" s="114">
        <v>4</v>
      </c>
      <c r="D1174" s="13" t="s">
        <v>58</v>
      </c>
      <c r="E1174" s="114">
        <v>4606893511</v>
      </c>
      <c r="F1174" s="114">
        <v>1112123097</v>
      </c>
      <c r="G1174" s="114">
        <v>278</v>
      </c>
      <c r="H1174" s="114">
        <v>41</v>
      </c>
      <c r="I1174" s="114">
        <v>319</v>
      </c>
      <c r="J1174" s="114">
        <v>1652</v>
      </c>
      <c r="K1174" s="114">
        <v>1971</v>
      </c>
      <c r="L1174" s="114">
        <v>-14</v>
      </c>
      <c r="M1174" s="114">
        <v>101</v>
      </c>
      <c r="N1174" s="114">
        <v>1201</v>
      </c>
      <c r="O1174" s="114">
        <v>360</v>
      </c>
      <c r="P1174" s="114">
        <v>3532</v>
      </c>
      <c r="Q1174" s="114">
        <v>24388</v>
      </c>
      <c r="R1174" s="13" t="s">
        <v>218</v>
      </c>
      <c r="S1174" s="13" t="s">
        <v>25</v>
      </c>
      <c r="T1174" s="13" t="s">
        <v>25</v>
      </c>
    </row>
    <row r="1175" spans="1:20" x14ac:dyDescent="0.3">
      <c r="A1175" s="14">
        <v>43940.708333333336</v>
      </c>
      <c r="B1175" s="13" t="s">
        <v>22</v>
      </c>
      <c r="C1175" s="114">
        <v>10</v>
      </c>
      <c r="D1175" s="13" t="s">
        <v>59</v>
      </c>
      <c r="E1175" s="114">
        <v>4310675841</v>
      </c>
      <c r="F1175" s="114">
        <v>1238824698</v>
      </c>
      <c r="G1175" s="114">
        <v>108</v>
      </c>
      <c r="H1175" s="114">
        <v>30</v>
      </c>
      <c r="I1175" s="114">
        <v>138</v>
      </c>
      <c r="J1175" s="114">
        <v>298</v>
      </c>
      <c r="K1175" s="114">
        <v>436</v>
      </c>
      <c r="L1175" s="114">
        <v>5</v>
      </c>
      <c r="M1175" s="114">
        <v>4</v>
      </c>
      <c r="N1175" s="114">
        <v>854</v>
      </c>
      <c r="O1175" s="114">
        <v>58</v>
      </c>
      <c r="P1175" s="114">
        <v>1348</v>
      </c>
      <c r="Q1175" s="114">
        <v>25170</v>
      </c>
      <c r="R1175" s="13" t="s">
        <v>219</v>
      </c>
      <c r="S1175" s="13" t="s">
        <v>25</v>
      </c>
      <c r="T1175" s="13" t="s">
        <v>25</v>
      </c>
    </row>
    <row r="1176" spans="1:20" x14ac:dyDescent="0.3">
      <c r="A1176" s="14">
        <v>43940.708333333336</v>
      </c>
      <c r="B1176" s="13" t="s">
        <v>22</v>
      </c>
      <c r="C1176" s="114">
        <v>2</v>
      </c>
      <c r="D1176" s="13" t="s">
        <v>60</v>
      </c>
      <c r="E1176" s="114">
        <v>4573750286</v>
      </c>
      <c r="F1176" s="114">
        <v>7320149366</v>
      </c>
      <c r="G1176" s="114">
        <v>102</v>
      </c>
      <c r="H1176" s="114">
        <v>10</v>
      </c>
      <c r="I1176" s="114">
        <v>112</v>
      </c>
      <c r="J1176" s="114">
        <v>450</v>
      </c>
      <c r="K1176" s="114">
        <v>562</v>
      </c>
      <c r="L1176" s="114">
        <v>13</v>
      </c>
      <c r="M1176" s="114">
        <v>15</v>
      </c>
      <c r="N1176" s="114">
        <v>401</v>
      </c>
      <c r="O1176" s="114">
        <v>125</v>
      </c>
      <c r="P1176" s="114">
        <v>1088</v>
      </c>
      <c r="Q1176" s="114">
        <v>4677</v>
      </c>
      <c r="R1176" s="13" t="s">
        <v>220</v>
      </c>
      <c r="S1176" s="13" t="s">
        <v>25</v>
      </c>
      <c r="T1176" s="13" t="s">
        <v>25</v>
      </c>
    </row>
    <row r="1177" spans="1:20" x14ac:dyDescent="0.3">
      <c r="A1177" s="14">
        <v>43940.708333333336</v>
      </c>
      <c r="B1177" s="13" t="s">
        <v>22</v>
      </c>
      <c r="C1177" s="114">
        <v>5</v>
      </c>
      <c r="D1177" s="13" t="s">
        <v>61</v>
      </c>
      <c r="E1177" s="114">
        <v>4543490485</v>
      </c>
      <c r="F1177" s="114">
        <v>1233845213</v>
      </c>
      <c r="G1177" s="114">
        <v>1264</v>
      </c>
      <c r="H1177" s="114">
        <v>184</v>
      </c>
      <c r="I1177" s="114">
        <v>1448</v>
      </c>
      <c r="J1177" s="114">
        <v>8762</v>
      </c>
      <c r="K1177" s="114">
        <v>10210</v>
      </c>
      <c r="L1177" s="114">
        <v>-234</v>
      </c>
      <c r="M1177" s="114">
        <v>243</v>
      </c>
      <c r="N1177" s="114">
        <v>4638</v>
      </c>
      <c r="O1177" s="114">
        <v>1087</v>
      </c>
      <c r="P1177" s="114">
        <v>15935</v>
      </c>
      <c r="Q1177" s="114">
        <v>255797</v>
      </c>
      <c r="R1177" s="13" t="s">
        <v>221</v>
      </c>
      <c r="S1177" s="13" t="s">
        <v>25</v>
      </c>
      <c r="T1177" s="13" t="s">
        <v>25</v>
      </c>
    </row>
    <row r="1178" spans="1:20" x14ac:dyDescent="0.3">
      <c r="A1178" s="14">
        <v>43941.708333333336</v>
      </c>
      <c r="B1178" s="13" t="s">
        <v>22</v>
      </c>
      <c r="C1178" s="114">
        <v>13</v>
      </c>
      <c r="D1178" s="13" t="s">
        <v>42</v>
      </c>
      <c r="E1178" s="114">
        <v>4235122196</v>
      </c>
      <c r="F1178" s="114">
        <v>1339843823</v>
      </c>
      <c r="G1178" s="114">
        <v>320</v>
      </c>
      <c r="H1178" s="114">
        <v>38</v>
      </c>
      <c r="I1178" s="114">
        <v>358</v>
      </c>
      <c r="J1178" s="114">
        <v>1704</v>
      </c>
      <c r="K1178" s="114">
        <v>2062</v>
      </c>
      <c r="L1178" s="114">
        <v>75</v>
      </c>
      <c r="M1178" s="114">
        <v>91</v>
      </c>
      <c r="N1178" s="114">
        <v>287</v>
      </c>
      <c r="O1178" s="114">
        <v>263</v>
      </c>
      <c r="P1178" s="114">
        <v>2612</v>
      </c>
      <c r="Q1178" s="114">
        <v>27942</v>
      </c>
      <c r="R1178" s="13" t="s">
        <v>222</v>
      </c>
      <c r="S1178" s="13" t="s">
        <v>25</v>
      </c>
      <c r="T1178" s="13" t="s">
        <v>25</v>
      </c>
    </row>
    <row r="1179" spans="1:20" x14ac:dyDescent="0.3">
      <c r="A1179" s="14">
        <v>43941.708333333336</v>
      </c>
      <c r="B1179" s="13" t="s">
        <v>22</v>
      </c>
      <c r="C1179" s="114">
        <v>17</v>
      </c>
      <c r="D1179" s="13" t="s">
        <v>43</v>
      </c>
      <c r="E1179" s="114">
        <v>4063947052</v>
      </c>
      <c r="F1179" s="114">
        <v>1580514834</v>
      </c>
      <c r="G1179" s="114">
        <v>59</v>
      </c>
      <c r="H1179" s="114">
        <v>7</v>
      </c>
      <c r="I1179" s="114">
        <v>66</v>
      </c>
      <c r="J1179" s="114">
        <v>176</v>
      </c>
      <c r="K1179" s="114">
        <v>242</v>
      </c>
      <c r="L1179" s="114">
        <v>-5</v>
      </c>
      <c r="M1179" s="114">
        <v>0</v>
      </c>
      <c r="N1179" s="114">
        <v>76</v>
      </c>
      <c r="O1179" s="114">
        <v>24</v>
      </c>
      <c r="P1179" s="114">
        <v>342</v>
      </c>
      <c r="Q1179" s="114">
        <v>6868</v>
      </c>
      <c r="R1179" s="13" t="s">
        <v>223</v>
      </c>
      <c r="S1179" s="13" t="s">
        <v>25</v>
      </c>
      <c r="T1179" s="13" t="s">
        <v>25</v>
      </c>
    </row>
    <row r="1180" spans="1:20" x14ac:dyDescent="0.3">
      <c r="A1180" s="14">
        <v>43941.708333333336</v>
      </c>
      <c r="B1180" s="13" t="s">
        <v>22</v>
      </c>
      <c r="C1180" s="114">
        <v>4</v>
      </c>
      <c r="D1180" s="13" t="s">
        <v>44</v>
      </c>
      <c r="E1180" s="114">
        <v>4649933453</v>
      </c>
      <c r="F1180" s="114">
        <v>1135662422</v>
      </c>
      <c r="G1180" s="114">
        <v>160</v>
      </c>
      <c r="H1180" s="114">
        <v>19</v>
      </c>
      <c r="I1180" s="114">
        <v>179</v>
      </c>
      <c r="J1180" s="114">
        <v>1361</v>
      </c>
      <c r="K1180" s="114">
        <v>1540</v>
      </c>
      <c r="L1180" s="114">
        <v>-26</v>
      </c>
      <c r="M1180" s="114">
        <v>14</v>
      </c>
      <c r="N1180" s="114">
        <v>605</v>
      </c>
      <c r="O1180" s="114">
        <v>249</v>
      </c>
      <c r="P1180" s="114">
        <v>2394</v>
      </c>
      <c r="Q1180" s="114">
        <v>31381</v>
      </c>
      <c r="R1180" s="13" t="s">
        <v>224</v>
      </c>
      <c r="S1180" s="13" t="s">
        <v>25</v>
      </c>
      <c r="T1180" s="13" t="s">
        <v>25</v>
      </c>
    </row>
    <row r="1181" spans="1:20" x14ac:dyDescent="0.3">
      <c r="A1181" s="14">
        <v>43941.708333333336</v>
      </c>
      <c r="B1181" s="13" t="s">
        <v>22</v>
      </c>
      <c r="C1181" s="114">
        <v>18</v>
      </c>
      <c r="D1181" s="13" t="s">
        <v>45</v>
      </c>
      <c r="E1181" s="114">
        <v>3890597598</v>
      </c>
      <c r="F1181" s="114">
        <v>1659440194</v>
      </c>
      <c r="G1181" s="114">
        <v>140</v>
      </c>
      <c r="H1181" s="114">
        <v>7</v>
      </c>
      <c r="I1181" s="114">
        <v>147</v>
      </c>
      <c r="J1181" s="114">
        <v>681</v>
      </c>
      <c r="K1181" s="114">
        <v>828</v>
      </c>
      <c r="L1181" s="114">
        <v>-16</v>
      </c>
      <c r="M1181" s="114">
        <v>3</v>
      </c>
      <c r="N1181" s="114">
        <v>135</v>
      </c>
      <c r="O1181" s="114">
        <v>75</v>
      </c>
      <c r="P1181" s="114">
        <v>1038</v>
      </c>
      <c r="Q1181" s="114">
        <v>24373</v>
      </c>
      <c r="R1181" s="13" t="s">
        <v>225</v>
      </c>
      <c r="S1181" s="13" t="s">
        <v>25</v>
      </c>
      <c r="T1181" s="13" t="s">
        <v>25</v>
      </c>
    </row>
    <row r="1182" spans="1:20" x14ac:dyDescent="0.3">
      <c r="A1182" s="14">
        <v>43941.708333333336</v>
      </c>
      <c r="B1182" s="13" t="s">
        <v>22</v>
      </c>
      <c r="C1182" s="114">
        <v>15</v>
      </c>
      <c r="D1182" s="13" t="s">
        <v>46</v>
      </c>
      <c r="E1182" s="114">
        <v>4083956555</v>
      </c>
      <c r="F1182" s="114">
        <v>1425084984</v>
      </c>
      <c r="G1182" s="114">
        <v>586</v>
      </c>
      <c r="H1182" s="114">
        <v>61</v>
      </c>
      <c r="I1182" s="114">
        <v>647</v>
      </c>
      <c r="J1182" s="114">
        <v>2372</v>
      </c>
      <c r="K1182" s="114">
        <v>3019</v>
      </c>
      <c r="L1182" s="114">
        <v>-3</v>
      </c>
      <c r="M1182" s="114">
        <v>45</v>
      </c>
      <c r="N1182" s="114">
        <v>746</v>
      </c>
      <c r="O1182" s="114">
        <v>309</v>
      </c>
      <c r="P1182" s="114">
        <v>4074</v>
      </c>
      <c r="Q1182" s="114">
        <v>51090</v>
      </c>
      <c r="R1182" s="13" t="s">
        <v>226</v>
      </c>
      <c r="S1182" s="13" t="s">
        <v>25</v>
      </c>
      <c r="T1182" s="13" t="s">
        <v>25</v>
      </c>
    </row>
    <row r="1183" spans="1:20" x14ac:dyDescent="0.3">
      <c r="A1183" s="14">
        <v>43941.708333333336</v>
      </c>
      <c r="B1183" s="13" t="s">
        <v>22</v>
      </c>
      <c r="C1183" s="114">
        <v>8</v>
      </c>
      <c r="D1183" s="13" t="s">
        <v>96</v>
      </c>
      <c r="E1183" s="114">
        <v>4449436681</v>
      </c>
      <c r="F1183" s="114">
        <v>113417208</v>
      </c>
      <c r="G1183" s="114">
        <v>3144</v>
      </c>
      <c r="H1183" s="114">
        <v>283</v>
      </c>
      <c r="I1183" s="114">
        <v>3427</v>
      </c>
      <c r="J1183" s="114">
        <v>10095</v>
      </c>
      <c r="K1183" s="114">
        <v>13522</v>
      </c>
      <c r="L1183" s="114">
        <v>-30</v>
      </c>
      <c r="M1183" s="114">
        <v>307</v>
      </c>
      <c r="N1183" s="114">
        <v>6266</v>
      </c>
      <c r="O1183" s="114">
        <v>3079</v>
      </c>
      <c r="P1183" s="114">
        <v>22867</v>
      </c>
      <c r="Q1183" s="114">
        <v>129530</v>
      </c>
      <c r="R1183" s="13" t="s">
        <v>227</v>
      </c>
      <c r="S1183" s="13" t="s">
        <v>25</v>
      </c>
      <c r="T1183" s="13" t="s">
        <v>25</v>
      </c>
    </row>
    <row r="1184" spans="1:20" x14ac:dyDescent="0.3">
      <c r="A1184" s="14">
        <v>43941.708333333336</v>
      </c>
      <c r="B1184" s="13" t="s">
        <v>22</v>
      </c>
      <c r="C1184" s="114">
        <v>6</v>
      </c>
      <c r="D1184" s="13" t="s">
        <v>47</v>
      </c>
      <c r="E1184" s="114">
        <v>456494354</v>
      </c>
      <c r="F1184" s="114">
        <v>1376813649</v>
      </c>
      <c r="G1184" s="114">
        <v>140</v>
      </c>
      <c r="H1184" s="114">
        <v>22</v>
      </c>
      <c r="I1184" s="114">
        <v>162</v>
      </c>
      <c r="J1184" s="114">
        <v>1028</v>
      </c>
      <c r="K1184" s="114">
        <v>1190</v>
      </c>
      <c r="L1184" s="114">
        <v>-147</v>
      </c>
      <c r="M1184" s="114">
        <v>30</v>
      </c>
      <c r="N1184" s="114">
        <v>1346</v>
      </c>
      <c r="O1184" s="114">
        <v>239</v>
      </c>
      <c r="P1184" s="114">
        <v>2775</v>
      </c>
      <c r="Q1184" s="114">
        <v>45161</v>
      </c>
      <c r="R1184" s="13" t="s">
        <v>228</v>
      </c>
      <c r="S1184" s="13" t="s">
        <v>25</v>
      </c>
      <c r="T1184" s="13" t="s">
        <v>25</v>
      </c>
    </row>
    <row r="1185" spans="1:20" x14ac:dyDescent="0.3">
      <c r="A1185" s="14">
        <v>43941.708333333336</v>
      </c>
      <c r="B1185" s="13" t="s">
        <v>22</v>
      </c>
      <c r="C1185" s="114">
        <v>12</v>
      </c>
      <c r="D1185" s="13" t="s">
        <v>48</v>
      </c>
      <c r="E1185" s="114">
        <v>4189277044</v>
      </c>
      <c r="F1185" s="114">
        <v>1248366722</v>
      </c>
      <c r="G1185" s="114">
        <v>1388</v>
      </c>
      <c r="H1185" s="114">
        <v>185</v>
      </c>
      <c r="I1185" s="114">
        <v>1573</v>
      </c>
      <c r="J1185" s="114">
        <v>2792</v>
      </c>
      <c r="K1185" s="114">
        <v>4365</v>
      </c>
      <c r="L1185" s="114">
        <v>44</v>
      </c>
      <c r="M1185" s="114">
        <v>60</v>
      </c>
      <c r="N1185" s="114">
        <v>1101</v>
      </c>
      <c r="O1185" s="114">
        <v>349</v>
      </c>
      <c r="P1185" s="114">
        <v>5815</v>
      </c>
      <c r="Q1185" s="114">
        <v>97823</v>
      </c>
      <c r="R1185" s="13" t="s">
        <v>229</v>
      </c>
      <c r="S1185" s="13" t="s">
        <v>25</v>
      </c>
      <c r="T1185" s="13" t="s">
        <v>25</v>
      </c>
    </row>
    <row r="1186" spans="1:20" x14ac:dyDescent="0.3">
      <c r="A1186" s="14">
        <v>43941.708333333336</v>
      </c>
      <c r="B1186" s="13" t="s">
        <v>22</v>
      </c>
      <c r="C1186" s="114">
        <v>7</v>
      </c>
      <c r="D1186" s="13" t="s">
        <v>49</v>
      </c>
      <c r="E1186" s="114">
        <v>4441149315</v>
      </c>
      <c r="F1186" s="114">
        <v>89326992</v>
      </c>
      <c r="G1186" s="114">
        <v>878</v>
      </c>
      <c r="H1186" s="114">
        <v>102</v>
      </c>
      <c r="I1186" s="114">
        <v>980</v>
      </c>
      <c r="J1186" s="114">
        <v>2516</v>
      </c>
      <c r="K1186" s="114">
        <v>3496</v>
      </c>
      <c r="L1186" s="114">
        <v>6</v>
      </c>
      <c r="M1186" s="114">
        <v>141</v>
      </c>
      <c r="N1186" s="114">
        <v>2216</v>
      </c>
      <c r="O1186" s="114">
        <v>957</v>
      </c>
      <c r="P1186" s="114">
        <v>6669</v>
      </c>
      <c r="Q1186" s="114">
        <v>33007</v>
      </c>
      <c r="R1186" s="13" t="s">
        <v>230</v>
      </c>
      <c r="S1186" s="13" t="s">
        <v>25</v>
      </c>
      <c r="T1186" s="13" t="s">
        <v>25</v>
      </c>
    </row>
    <row r="1187" spans="1:20" x14ac:dyDescent="0.3">
      <c r="A1187" s="14">
        <v>43941.708333333336</v>
      </c>
      <c r="B1187" s="13" t="s">
        <v>22</v>
      </c>
      <c r="C1187" s="114">
        <v>3</v>
      </c>
      <c r="D1187" s="13" t="s">
        <v>50</v>
      </c>
      <c r="E1187" s="114">
        <v>4546679409</v>
      </c>
      <c r="F1187" s="114">
        <v>9190347404</v>
      </c>
      <c r="G1187" s="114">
        <v>10138</v>
      </c>
      <c r="H1187" s="114">
        <v>901</v>
      </c>
      <c r="I1187" s="114">
        <v>11039</v>
      </c>
      <c r="J1187" s="114">
        <v>23548</v>
      </c>
      <c r="K1187" s="114">
        <v>34587</v>
      </c>
      <c r="L1187" s="114">
        <v>90</v>
      </c>
      <c r="M1187" s="114">
        <v>735</v>
      </c>
      <c r="N1187" s="114">
        <v>20008</v>
      </c>
      <c r="O1187" s="114">
        <v>12376</v>
      </c>
      <c r="P1187" s="114">
        <v>66971</v>
      </c>
      <c r="Q1187" s="114">
        <v>270486</v>
      </c>
      <c r="R1187" s="13" t="s">
        <v>231</v>
      </c>
      <c r="S1187" s="13" t="s">
        <v>232</v>
      </c>
      <c r="T1187" s="13" t="s">
        <v>233</v>
      </c>
    </row>
    <row r="1188" spans="1:20" x14ac:dyDescent="0.3">
      <c r="A1188" s="14">
        <v>43941.708333333336</v>
      </c>
      <c r="B1188" s="13" t="s">
        <v>22</v>
      </c>
      <c r="C1188" s="114">
        <v>11</v>
      </c>
      <c r="D1188" s="13" t="s">
        <v>51</v>
      </c>
      <c r="E1188" s="114">
        <v>4361675973</v>
      </c>
      <c r="F1188" s="114">
        <v>135188753</v>
      </c>
      <c r="G1188" s="114">
        <v>792</v>
      </c>
      <c r="H1188" s="114">
        <v>80</v>
      </c>
      <c r="I1188" s="114">
        <v>872</v>
      </c>
      <c r="J1188" s="114">
        <v>2340</v>
      </c>
      <c r="K1188" s="114">
        <v>3212</v>
      </c>
      <c r="L1188" s="114">
        <v>30</v>
      </c>
      <c r="M1188" s="114">
        <v>57</v>
      </c>
      <c r="N1188" s="114">
        <v>1792</v>
      </c>
      <c r="O1188" s="114">
        <v>822</v>
      </c>
      <c r="P1188" s="114">
        <v>5826</v>
      </c>
      <c r="Q1188" s="114">
        <v>42782</v>
      </c>
      <c r="R1188" s="13" t="s">
        <v>234</v>
      </c>
      <c r="S1188" s="13" t="s">
        <v>25</v>
      </c>
      <c r="T1188" s="13" t="s">
        <v>25</v>
      </c>
    </row>
    <row r="1189" spans="1:20" x14ac:dyDescent="0.3">
      <c r="A1189" s="14">
        <v>43941.708333333336</v>
      </c>
      <c r="B1189" s="13" t="s">
        <v>22</v>
      </c>
      <c r="C1189" s="114">
        <v>14</v>
      </c>
      <c r="D1189" s="13" t="s">
        <v>52</v>
      </c>
      <c r="E1189" s="114">
        <v>4155774754</v>
      </c>
      <c r="F1189" s="114">
        <v>1465916051</v>
      </c>
      <c r="G1189" s="114">
        <v>27</v>
      </c>
      <c r="H1189" s="114">
        <v>2</v>
      </c>
      <c r="I1189" s="114">
        <v>29</v>
      </c>
      <c r="J1189" s="114">
        <v>184</v>
      </c>
      <c r="K1189" s="114">
        <v>213</v>
      </c>
      <c r="L1189" s="114">
        <v>-2</v>
      </c>
      <c r="M1189" s="114">
        <v>2</v>
      </c>
      <c r="N1189" s="114">
        <v>50</v>
      </c>
      <c r="O1189" s="114">
        <v>18</v>
      </c>
      <c r="P1189" s="114">
        <v>281</v>
      </c>
      <c r="Q1189" s="114">
        <v>3783</v>
      </c>
      <c r="R1189" s="13" t="s">
        <v>235</v>
      </c>
      <c r="S1189" s="13" t="s">
        <v>25</v>
      </c>
      <c r="T1189" s="13" t="s">
        <v>25</v>
      </c>
    </row>
    <row r="1190" spans="1:20" x14ac:dyDescent="0.3">
      <c r="A1190" s="14">
        <v>43941.708333333336</v>
      </c>
      <c r="B1190" s="13" t="s">
        <v>22</v>
      </c>
      <c r="C1190" s="114">
        <v>1</v>
      </c>
      <c r="D1190" s="13" t="s">
        <v>53</v>
      </c>
      <c r="E1190" s="114">
        <v>450732745</v>
      </c>
      <c r="F1190" s="114">
        <v>7680687483</v>
      </c>
      <c r="G1190" s="114">
        <v>3299</v>
      </c>
      <c r="H1190" s="114">
        <v>301</v>
      </c>
      <c r="I1190" s="114">
        <v>3600</v>
      </c>
      <c r="J1190" s="114">
        <v>10957</v>
      </c>
      <c r="K1190" s="114">
        <v>14557</v>
      </c>
      <c r="L1190" s="114">
        <v>87</v>
      </c>
      <c r="M1190" s="114">
        <v>292</v>
      </c>
      <c r="N1190" s="114">
        <v>4383</v>
      </c>
      <c r="O1190" s="114">
        <v>2409</v>
      </c>
      <c r="P1190" s="114">
        <v>21349</v>
      </c>
      <c r="Q1190" s="114">
        <v>99669</v>
      </c>
      <c r="R1190" s="13" t="s">
        <v>236</v>
      </c>
      <c r="S1190" s="13" t="s">
        <v>25</v>
      </c>
      <c r="T1190" s="13" t="s">
        <v>25</v>
      </c>
    </row>
    <row r="1191" spans="1:20" x14ac:dyDescent="0.3">
      <c r="A1191" s="14">
        <v>43941.708333333336</v>
      </c>
      <c r="B1191" s="13" t="s">
        <v>22</v>
      </c>
      <c r="C1191" s="114">
        <v>16</v>
      </c>
      <c r="D1191" s="13" t="s">
        <v>54</v>
      </c>
      <c r="E1191" s="114">
        <v>4112559576</v>
      </c>
      <c r="F1191" s="114">
        <v>1686736689</v>
      </c>
      <c r="G1191" s="114">
        <v>584</v>
      </c>
      <c r="H1191" s="114">
        <v>66</v>
      </c>
      <c r="I1191" s="114">
        <v>650</v>
      </c>
      <c r="J1191" s="114">
        <v>2160</v>
      </c>
      <c r="K1191" s="114">
        <v>2810</v>
      </c>
      <c r="L1191" s="114">
        <v>24</v>
      </c>
      <c r="M1191" s="114">
        <v>38</v>
      </c>
      <c r="N1191" s="114">
        <v>431</v>
      </c>
      <c r="O1191" s="114">
        <v>326</v>
      </c>
      <c r="P1191" s="114">
        <v>3567</v>
      </c>
      <c r="Q1191" s="114">
        <v>44189</v>
      </c>
      <c r="R1191" s="13" t="s">
        <v>237</v>
      </c>
      <c r="S1191" s="13" t="s">
        <v>25</v>
      </c>
      <c r="T1191" s="13" t="s">
        <v>25</v>
      </c>
    </row>
    <row r="1192" spans="1:20" x14ac:dyDescent="0.3">
      <c r="A1192" s="14">
        <v>43941.708333333336</v>
      </c>
      <c r="B1192" s="13" t="s">
        <v>22</v>
      </c>
      <c r="C1192" s="114">
        <v>20</v>
      </c>
      <c r="D1192" s="13" t="s">
        <v>55</v>
      </c>
      <c r="E1192" s="114">
        <v>3921531192</v>
      </c>
      <c r="F1192" s="114">
        <v>9110616306</v>
      </c>
      <c r="G1192" s="114">
        <v>115</v>
      </c>
      <c r="H1192" s="114">
        <v>21</v>
      </c>
      <c r="I1192" s="114">
        <v>136</v>
      </c>
      <c r="J1192" s="114">
        <v>718</v>
      </c>
      <c r="K1192" s="114">
        <v>854</v>
      </c>
      <c r="L1192" s="114">
        <v>-10</v>
      </c>
      <c r="M1192" s="114">
        <v>13</v>
      </c>
      <c r="N1192" s="114">
        <v>288</v>
      </c>
      <c r="O1192" s="114">
        <v>86</v>
      </c>
      <c r="P1192" s="114">
        <v>1228</v>
      </c>
      <c r="Q1192" s="114">
        <v>15328</v>
      </c>
      <c r="R1192" s="13" t="s">
        <v>238</v>
      </c>
      <c r="S1192" s="13" t="s">
        <v>25</v>
      </c>
      <c r="T1192" s="13" t="s">
        <v>25</v>
      </c>
    </row>
    <row r="1193" spans="1:20" x14ac:dyDescent="0.3">
      <c r="A1193" s="14">
        <v>43941.708333333336</v>
      </c>
      <c r="B1193" s="13" t="s">
        <v>22</v>
      </c>
      <c r="C1193" s="114">
        <v>19</v>
      </c>
      <c r="D1193" s="13" t="s">
        <v>56</v>
      </c>
      <c r="E1193" s="114">
        <v>3811569725</v>
      </c>
      <c r="F1193" s="114">
        <v>133623567</v>
      </c>
      <c r="G1193" s="114">
        <v>526</v>
      </c>
      <c r="H1193" s="114">
        <v>39</v>
      </c>
      <c r="I1193" s="114">
        <v>565</v>
      </c>
      <c r="J1193" s="114">
        <v>1645</v>
      </c>
      <c r="K1193" s="114">
        <v>2210</v>
      </c>
      <c r="L1193" s="114">
        <v>8</v>
      </c>
      <c r="M1193" s="114">
        <v>42</v>
      </c>
      <c r="N1193" s="114">
        <v>346</v>
      </c>
      <c r="O1193" s="114">
        <v>203</v>
      </c>
      <c r="P1193" s="114">
        <v>2759</v>
      </c>
      <c r="Q1193" s="114">
        <v>51373</v>
      </c>
      <c r="R1193" s="13" t="s">
        <v>239</v>
      </c>
      <c r="S1193" s="13" t="s">
        <v>25</v>
      </c>
      <c r="T1193" s="13" t="s">
        <v>25</v>
      </c>
    </row>
    <row r="1194" spans="1:20" x14ac:dyDescent="0.3">
      <c r="A1194" s="14">
        <v>43941.708333333336</v>
      </c>
      <c r="B1194" s="13" t="s">
        <v>22</v>
      </c>
      <c r="C1194" s="114">
        <v>9</v>
      </c>
      <c r="D1194" s="13" t="s">
        <v>57</v>
      </c>
      <c r="E1194" s="114">
        <v>4376923077</v>
      </c>
      <c r="F1194" s="114">
        <v>1125588885</v>
      </c>
      <c r="G1194" s="114">
        <v>850</v>
      </c>
      <c r="H1194" s="114">
        <v>182</v>
      </c>
      <c r="I1194" s="114">
        <v>1032</v>
      </c>
      <c r="J1194" s="114">
        <v>5536</v>
      </c>
      <c r="K1194" s="114">
        <v>6568</v>
      </c>
      <c r="L1194" s="114">
        <v>72</v>
      </c>
      <c r="M1194" s="114">
        <v>135</v>
      </c>
      <c r="N1194" s="114">
        <v>1272</v>
      </c>
      <c r="O1194" s="114">
        <v>667</v>
      </c>
      <c r="P1194" s="114">
        <v>8507</v>
      </c>
      <c r="Q1194" s="114">
        <v>105857</v>
      </c>
      <c r="R1194" s="13" t="s">
        <v>240</v>
      </c>
      <c r="S1194" s="13" t="s">
        <v>25</v>
      </c>
      <c r="T1194" s="13" t="s">
        <v>25</v>
      </c>
    </row>
    <row r="1195" spans="1:20" x14ac:dyDescent="0.3">
      <c r="A1195" s="14">
        <v>43941.708333333336</v>
      </c>
      <c r="B1195" s="13" t="s">
        <v>22</v>
      </c>
      <c r="C1195" s="114">
        <v>4</v>
      </c>
      <c r="D1195" s="13" t="s">
        <v>58</v>
      </c>
      <c r="E1195" s="114">
        <v>4606893511</v>
      </c>
      <c r="F1195" s="114">
        <v>1112123097</v>
      </c>
      <c r="G1195" s="114">
        <v>272</v>
      </c>
      <c r="H1195" s="114">
        <v>40</v>
      </c>
      <c r="I1195" s="114">
        <v>312</v>
      </c>
      <c r="J1195" s="114">
        <v>1617</v>
      </c>
      <c r="K1195" s="114">
        <v>1929</v>
      </c>
      <c r="L1195" s="114">
        <v>-42</v>
      </c>
      <c r="M1195" s="114">
        <v>58</v>
      </c>
      <c r="N1195" s="114">
        <v>1295</v>
      </c>
      <c r="O1195" s="114">
        <v>366</v>
      </c>
      <c r="P1195" s="114">
        <v>3590</v>
      </c>
      <c r="Q1195" s="114">
        <v>26211</v>
      </c>
      <c r="R1195" s="13" t="s">
        <v>241</v>
      </c>
      <c r="S1195" s="13" t="s">
        <v>25</v>
      </c>
      <c r="T1195" s="13" t="s">
        <v>25</v>
      </c>
    </row>
    <row r="1196" spans="1:20" x14ac:dyDescent="0.3">
      <c r="A1196" s="14">
        <v>43941.708333333336</v>
      </c>
      <c r="B1196" s="13" t="s">
        <v>22</v>
      </c>
      <c r="C1196" s="114">
        <v>10</v>
      </c>
      <c r="D1196" s="13" t="s">
        <v>59</v>
      </c>
      <c r="E1196" s="114">
        <v>4310675841</v>
      </c>
      <c r="F1196" s="114">
        <v>1238824698</v>
      </c>
      <c r="G1196" s="114">
        <v>113</v>
      </c>
      <c r="H1196" s="114">
        <v>29</v>
      </c>
      <c r="I1196" s="114">
        <v>142</v>
      </c>
      <c r="J1196" s="114">
        <v>282</v>
      </c>
      <c r="K1196" s="114">
        <v>424</v>
      </c>
      <c r="L1196" s="114">
        <v>-12</v>
      </c>
      <c r="M1196" s="114">
        <v>1</v>
      </c>
      <c r="N1196" s="114">
        <v>867</v>
      </c>
      <c r="O1196" s="114">
        <v>58</v>
      </c>
      <c r="P1196" s="114">
        <v>1349</v>
      </c>
      <c r="Q1196" s="114">
        <v>25562</v>
      </c>
      <c r="R1196" s="13" t="s">
        <v>242</v>
      </c>
      <c r="S1196" s="13" t="s">
        <v>25</v>
      </c>
      <c r="T1196" s="13" t="s">
        <v>25</v>
      </c>
    </row>
    <row r="1197" spans="1:20" x14ac:dyDescent="0.3">
      <c r="A1197" s="14">
        <v>43941.708333333336</v>
      </c>
      <c r="B1197" s="13" t="s">
        <v>22</v>
      </c>
      <c r="C1197" s="114">
        <v>2</v>
      </c>
      <c r="D1197" s="13" t="s">
        <v>60</v>
      </c>
      <c r="E1197" s="114">
        <v>4573750286</v>
      </c>
      <c r="F1197" s="114">
        <v>7320149366</v>
      </c>
      <c r="G1197" s="114">
        <v>102</v>
      </c>
      <c r="H1197" s="114">
        <v>8</v>
      </c>
      <c r="I1197" s="114">
        <v>110</v>
      </c>
      <c r="J1197" s="114">
        <v>438</v>
      </c>
      <c r="K1197" s="114">
        <v>548</v>
      </c>
      <c r="L1197" s="114">
        <v>-14</v>
      </c>
      <c r="M1197" s="114">
        <v>0</v>
      </c>
      <c r="N1197" s="114">
        <v>413</v>
      </c>
      <c r="O1197" s="114">
        <v>127</v>
      </c>
      <c r="P1197" s="114">
        <v>1088</v>
      </c>
      <c r="Q1197" s="114">
        <v>4799</v>
      </c>
      <c r="R1197" s="13" t="s">
        <v>243</v>
      </c>
      <c r="S1197" s="13" t="s">
        <v>25</v>
      </c>
      <c r="T1197" s="13" t="s">
        <v>25</v>
      </c>
    </row>
    <row r="1198" spans="1:20" x14ac:dyDescent="0.3">
      <c r="A1198" s="14">
        <v>43941.708333333336</v>
      </c>
      <c r="B1198" s="13" t="s">
        <v>22</v>
      </c>
      <c r="C1198" s="114">
        <v>5</v>
      </c>
      <c r="D1198" s="13" t="s">
        <v>61</v>
      </c>
      <c r="E1198" s="114">
        <v>4543490485</v>
      </c>
      <c r="F1198" s="114">
        <v>1233845213</v>
      </c>
      <c r="G1198" s="114">
        <v>1273</v>
      </c>
      <c r="H1198" s="114">
        <v>180</v>
      </c>
      <c r="I1198" s="114">
        <v>1453</v>
      </c>
      <c r="J1198" s="114">
        <v>8608</v>
      </c>
      <c r="K1198" s="114">
        <v>10061</v>
      </c>
      <c r="L1198" s="114">
        <v>-149</v>
      </c>
      <c r="M1198" s="114">
        <v>192</v>
      </c>
      <c r="N1198" s="114">
        <v>4954</v>
      </c>
      <c r="O1198" s="114">
        <v>1112</v>
      </c>
      <c r="P1198" s="114">
        <v>16127</v>
      </c>
      <c r="Q1198" s="114">
        <v>260810</v>
      </c>
      <c r="R1198" s="13" t="s">
        <v>244</v>
      </c>
      <c r="S1198" s="13" t="s">
        <v>25</v>
      </c>
      <c r="T1198" s="13" t="s">
        <v>25</v>
      </c>
    </row>
    <row r="1199" spans="1:20" x14ac:dyDescent="0.3">
      <c r="A1199" s="14">
        <v>43942.708333333336</v>
      </c>
      <c r="B1199" s="13" t="s">
        <v>22</v>
      </c>
      <c r="C1199" s="114">
        <v>13</v>
      </c>
      <c r="D1199" s="13" t="s">
        <v>42</v>
      </c>
      <c r="E1199" s="114">
        <v>4235122196</v>
      </c>
      <c r="F1199" s="114">
        <v>1339843823</v>
      </c>
      <c r="G1199" s="114">
        <v>318</v>
      </c>
      <c r="H1199" s="114">
        <v>35</v>
      </c>
      <c r="I1199" s="114">
        <v>353</v>
      </c>
      <c r="J1199" s="114">
        <v>1714</v>
      </c>
      <c r="K1199" s="114">
        <v>2067</v>
      </c>
      <c r="L1199" s="114">
        <v>5</v>
      </c>
      <c r="M1199" s="114">
        <v>55</v>
      </c>
      <c r="N1199" s="114">
        <v>329</v>
      </c>
      <c r="O1199" s="114">
        <v>271</v>
      </c>
      <c r="P1199" s="114">
        <v>2667</v>
      </c>
      <c r="Q1199" s="114">
        <v>29906</v>
      </c>
      <c r="R1199" s="13" t="s">
        <v>245</v>
      </c>
      <c r="S1199" s="13" t="s">
        <v>25</v>
      </c>
      <c r="T1199" s="13" t="s">
        <v>25</v>
      </c>
    </row>
    <row r="1200" spans="1:20" x14ac:dyDescent="0.3">
      <c r="A1200" s="14">
        <v>43942.708333333336</v>
      </c>
      <c r="B1200" s="13" t="s">
        <v>22</v>
      </c>
      <c r="C1200" s="114">
        <v>17</v>
      </c>
      <c r="D1200" s="13" t="s">
        <v>43</v>
      </c>
      <c r="E1200" s="114">
        <v>4063947052</v>
      </c>
      <c r="F1200" s="114">
        <v>1580514834</v>
      </c>
      <c r="G1200" s="114">
        <v>64</v>
      </c>
      <c r="H1200" s="114">
        <v>7</v>
      </c>
      <c r="I1200" s="114">
        <v>71</v>
      </c>
      <c r="J1200" s="114">
        <v>174</v>
      </c>
      <c r="K1200" s="114">
        <v>245</v>
      </c>
      <c r="L1200" s="114">
        <v>3</v>
      </c>
      <c r="M1200" s="114">
        <v>8</v>
      </c>
      <c r="N1200" s="114">
        <v>81</v>
      </c>
      <c r="O1200" s="114">
        <v>24</v>
      </c>
      <c r="P1200" s="114">
        <v>350</v>
      </c>
      <c r="Q1200" s="114">
        <v>7470</v>
      </c>
      <c r="R1200" s="13" t="s">
        <v>246</v>
      </c>
      <c r="S1200" s="13" t="s">
        <v>25</v>
      </c>
      <c r="T1200" s="13" t="s">
        <v>25</v>
      </c>
    </row>
    <row r="1201" spans="1:20" x14ac:dyDescent="0.3">
      <c r="A1201" s="14">
        <v>43942.708333333336</v>
      </c>
      <c r="B1201" s="13" t="s">
        <v>22</v>
      </c>
      <c r="C1201" s="114">
        <v>4</v>
      </c>
      <c r="D1201" s="13" t="s">
        <v>44</v>
      </c>
      <c r="E1201" s="114">
        <v>4649933453</v>
      </c>
      <c r="F1201" s="114">
        <v>1135662422</v>
      </c>
      <c r="G1201" s="114">
        <v>159</v>
      </c>
      <c r="H1201" s="114">
        <v>20</v>
      </c>
      <c r="I1201" s="114">
        <v>179</v>
      </c>
      <c r="J1201" s="114">
        <v>1357</v>
      </c>
      <c r="K1201" s="114">
        <v>1536</v>
      </c>
      <c r="L1201" s="114">
        <v>-4</v>
      </c>
      <c r="M1201" s="114">
        <v>16</v>
      </c>
      <c r="N1201" s="114">
        <v>623</v>
      </c>
      <c r="O1201" s="114">
        <v>251</v>
      </c>
      <c r="P1201" s="114">
        <v>2410</v>
      </c>
      <c r="Q1201" s="114">
        <v>31987</v>
      </c>
      <c r="R1201" s="13" t="s">
        <v>247</v>
      </c>
      <c r="S1201" s="13" t="s">
        <v>25</v>
      </c>
      <c r="T1201" s="13" t="s">
        <v>25</v>
      </c>
    </row>
    <row r="1202" spans="1:20" x14ac:dyDescent="0.3">
      <c r="A1202" s="14">
        <v>43942.708333333336</v>
      </c>
      <c r="B1202" s="13" t="s">
        <v>22</v>
      </c>
      <c r="C1202" s="114">
        <v>18</v>
      </c>
      <c r="D1202" s="13" t="s">
        <v>45</v>
      </c>
      <c r="E1202" s="114">
        <v>3890597598</v>
      </c>
      <c r="F1202" s="114">
        <v>1659440194</v>
      </c>
      <c r="G1202" s="114">
        <v>133</v>
      </c>
      <c r="H1202" s="114">
        <v>7</v>
      </c>
      <c r="I1202" s="114">
        <v>140</v>
      </c>
      <c r="J1202" s="114">
        <v>679</v>
      </c>
      <c r="K1202" s="114">
        <v>819</v>
      </c>
      <c r="L1202" s="114">
        <v>-9</v>
      </c>
      <c r="M1202" s="114">
        <v>9</v>
      </c>
      <c r="N1202" s="114">
        <v>152</v>
      </c>
      <c r="O1202" s="114">
        <v>76</v>
      </c>
      <c r="P1202" s="114">
        <v>1047</v>
      </c>
      <c r="Q1202" s="114">
        <v>25440</v>
      </c>
      <c r="R1202" s="13" t="s">
        <v>248</v>
      </c>
      <c r="S1202" s="13" t="s">
        <v>25</v>
      </c>
      <c r="T1202" s="13" t="s">
        <v>25</v>
      </c>
    </row>
    <row r="1203" spans="1:20" x14ac:dyDescent="0.3">
      <c r="A1203" s="14">
        <v>43942.708333333336</v>
      </c>
      <c r="B1203" s="13" t="s">
        <v>22</v>
      </c>
      <c r="C1203" s="114">
        <v>15</v>
      </c>
      <c r="D1203" s="13" t="s">
        <v>46</v>
      </c>
      <c r="E1203" s="114">
        <v>4083956555</v>
      </c>
      <c r="F1203" s="114">
        <v>1425084984</v>
      </c>
      <c r="G1203" s="114">
        <v>532</v>
      </c>
      <c r="H1203" s="114">
        <v>58</v>
      </c>
      <c r="I1203" s="114">
        <v>590</v>
      </c>
      <c r="J1203" s="114">
        <v>2356</v>
      </c>
      <c r="K1203" s="114">
        <v>2946</v>
      </c>
      <c r="L1203" s="114">
        <v>-73</v>
      </c>
      <c r="M1203" s="114">
        <v>61</v>
      </c>
      <c r="N1203" s="114">
        <v>872</v>
      </c>
      <c r="O1203" s="114">
        <v>317</v>
      </c>
      <c r="P1203" s="114">
        <v>4135</v>
      </c>
      <c r="Q1203" s="114">
        <v>53548</v>
      </c>
      <c r="R1203" s="13" t="s">
        <v>249</v>
      </c>
      <c r="S1203" s="13" t="s">
        <v>25</v>
      </c>
      <c r="T1203" s="13" t="s">
        <v>25</v>
      </c>
    </row>
    <row r="1204" spans="1:20" x14ac:dyDescent="0.3">
      <c r="A1204" s="14">
        <v>43942.708333333336</v>
      </c>
      <c r="B1204" s="13" t="s">
        <v>22</v>
      </c>
      <c r="C1204" s="114">
        <v>8</v>
      </c>
      <c r="D1204" s="13" t="s">
        <v>96</v>
      </c>
      <c r="E1204" s="114">
        <v>4449436681</v>
      </c>
      <c r="F1204" s="114">
        <v>113417208</v>
      </c>
      <c r="G1204" s="114">
        <v>3045</v>
      </c>
      <c r="H1204" s="114">
        <v>282</v>
      </c>
      <c r="I1204" s="114">
        <v>3327</v>
      </c>
      <c r="J1204" s="114">
        <v>9917</v>
      </c>
      <c r="K1204" s="114">
        <v>13244</v>
      </c>
      <c r="L1204" s="114">
        <v>-278</v>
      </c>
      <c r="M1204" s="114">
        <v>225</v>
      </c>
      <c r="N1204" s="114">
        <v>6701</v>
      </c>
      <c r="O1204" s="114">
        <v>3147</v>
      </c>
      <c r="P1204" s="114">
        <v>23092</v>
      </c>
      <c r="Q1204" s="114">
        <v>134878</v>
      </c>
      <c r="R1204" s="13" t="s">
        <v>250</v>
      </c>
      <c r="S1204" s="13" t="s">
        <v>25</v>
      </c>
      <c r="T1204" s="13" t="s">
        <v>25</v>
      </c>
    </row>
    <row r="1205" spans="1:20" x14ac:dyDescent="0.3">
      <c r="A1205" s="14">
        <v>43942.708333333336</v>
      </c>
      <c r="B1205" s="13" t="s">
        <v>22</v>
      </c>
      <c r="C1205" s="114">
        <v>6</v>
      </c>
      <c r="D1205" s="13" t="s">
        <v>47</v>
      </c>
      <c r="E1205" s="114">
        <v>456494354</v>
      </c>
      <c r="F1205" s="114">
        <v>1376813649</v>
      </c>
      <c r="G1205" s="114">
        <v>139</v>
      </c>
      <c r="H1205" s="114">
        <v>21</v>
      </c>
      <c r="I1205" s="114">
        <v>160</v>
      </c>
      <c r="J1205" s="114">
        <v>1162</v>
      </c>
      <c r="K1205" s="114">
        <v>1322</v>
      </c>
      <c r="L1205" s="114">
        <v>132</v>
      </c>
      <c r="M1205" s="114">
        <v>17</v>
      </c>
      <c r="N1205" s="114">
        <v>1229</v>
      </c>
      <c r="O1205" s="114">
        <v>241</v>
      </c>
      <c r="P1205" s="114">
        <v>2792</v>
      </c>
      <c r="Q1205" s="114">
        <v>48500</v>
      </c>
      <c r="R1205" s="13" t="s">
        <v>251</v>
      </c>
      <c r="S1205" s="13" t="s">
        <v>25</v>
      </c>
      <c r="T1205" s="13" t="s">
        <v>25</v>
      </c>
    </row>
    <row r="1206" spans="1:20" x14ac:dyDescent="0.3">
      <c r="A1206" s="14">
        <v>43942.708333333336</v>
      </c>
      <c r="B1206" s="13" t="s">
        <v>22</v>
      </c>
      <c r="C1206" s="114">
        <v>12</v>
      </c>
      <c r="D1206" s="13" t="s">
        <v>48</v>
      </c>
      <c r="E1206" s="114">
        <v>4189277044</v>
      </c>
      <c r="F1206" s="114">
        <v>1248366722</v>
      </c>
      <c r="G1206" s="114">
        <v>1380</v>
      </c>
      <c r="H1206" s="114">
        <v>184</v>
      </c>
      <c r="I1206" s="114">
        <v>1564</v>
      </c>
      <c r="J1206" s="114">
        <v>2838</v>
      </c>
      <c r="K1206" s="114">
        <v>4402</v>
      </c>
      <c r="L1206" s="114">
        <v>37</v>
      </c>
      <c r="M1206" s="114">
        <v>80</v>
      </c>
      <c r="N1206" s="114">
        <v>1130</v>
      </c>
      <c r="O1206" s="114">
        <v>363</v>
      </c>
      <c r="P1206" s="114">
        <v>5895</v>
      </c>
      <c r="Q1206" s="114">
        <v>100031</v>
      </c>
      <c r="R1206" s="13" t="s">
        <v>252</v>
      </c>
      <c r="S1206" s="13" t="s">
        <v>25</v>
      </c>
      <c r="T1206" s="13" t="s">
        <v>25</v>
      </c>
    </row>
    <row r="1207" spans="1:20" x14ac:dyDescent="0.3">
      <c r="A1207" s="14">
        <v>43942.708333333336</v>
      </c>
      <c r="B1207" s="13" t="s">
        <v>22</v>
      </c>
      <c r="C1207" s="114">
        <v>7</v>
      </c>
      <c r="D1207" s="13" t="s">
        <v>49</v>
      </c>
      <c r="E1207" s="114">
        <v>4441149315</v>
      </c>
      <c r="F1207" s="114">
        <v>89326992</v>
      </c>
      <c r="G1207" s="114">
        <v>914</v>
      </c>
      <c r="H1207" s="114">
        <v>94</v>
      </c>
      <c r="I1207" s="114">
        <v>1008</v>
      </c>
      <c r="J1207" s="114">
        <v>2455</v>
      </c>
      <c r="K1207" s="114">
        <v>3463</v>
      </c>
      <c r="L1207" s="114">
        <v>-33</v>
      </c>
      <c r="M1207" s="114">
        <v>95</v>
      </c>
      <c r="N1207" s="114">
        <v>2311</v>
      </c>
      <c r="O1207" s="114">
        <v>990</v>
      </c>
      <c r="P1207" s="114">
        <v>6764</v>
      </c>
      <c r="Q1207" s="114">
        <v>34186</v>
      </c>
      <c r="R1207" s="13" t="s">
        <v>253</v>
      </c>
      <c r="S1207" s="13" t="s">
        <v>25</v>
      </c>
      <c r="T1207" s="13" t="s">
        <v>25</v>
      </c>
    </row>
    <row r="1208" spans="1:20" x14ac:dyDescent="0.3">
      <c r="A1208" s="14">
        <v>43942.708333333336</v>
      </c>
      <c r="B1208" s="13" t="s">
        <v>22</v>
      </c>
      <c r="C1208" s="114">
        <v>3</v>
      </c>
      <c r="D1208" s="13" t="s">
        <v>50</v>
      </c>
      <c r="E1208" s="114">
        <v>4546679409</v>
      </c>
      <c r="F1208" s="114">
        <v>9190347404</v>
      </c>
      <c r="G1208" s="114">
        <v>9805</v>
      </c>
      <c r="H1208" s="114">
        <v>851</v>
      </c>
      <c r="I1208" s="114">
        <v>10656</v>
      </c>
      <c r="J1208" s="114">
        <v>23322</v>
      </c>
      <c r="K1208" s="114">
        <v>33978</v>
      </c>
      <c r="L1208" s="114">
        <v>-609</v>
      </c>
      <c r="M1208" s="114">
        <v>960</v>
      </c>
      <c r="N1208" s="114">
        <v>21374</v>
      </c>
      <c r="O1208" s="114">
        <v>12579</v>
      </c>
      <c r="P1208" s="114">
        <v>67931</v>
      </c>
      <c r="Q1208" s="114">
        <v>277197</v>
      </c>
      <c r="R1208" s="13" t="s">
        <v>231</v>
      </c>
      <c r="S1208" s="13" t="s">
        <v>254</v>
      </c>
      <c r="T1208" s="13" t="s">
        <v>255</v>
      </c>
    </row>
    <row r="1209" spans="1:20" x14ac:dyDescent="0.3">
      <c r="A1209" s="14">
        <v>43942.708333333336</v>
      </c>
      <c r="B1209" s="13" t="s">
        <v>22</v>
      </c>
      <c r="C1209" s="114">
        <v>11</v>
      </c>
      <c r="D1209" s="13" t="s">
        <v>51</v>
      </c>
      <c r="E1209" s="114">
        <v>4361675973</v>
      </c>
      <c r="F1209" s="114">
        <v>135188753</v>
      </c>
      <c r="G1209" s="114">
        <v>784</v>
      </c>
      <c r="H1209" s="114">
        <v>78</v>
      </c>
      <c r="I1209" s="114">
        <v>862</v>
      </c>
      <c r="J1209" s="114">
        <v>2356</v>
      </c>
      <c r="K1209" s="114">
        <v>3218</v>
      </c>
      <c r="L1209" s="114">
        <v>6</v>
      </c>
      <c r="M1209" s="114">
        <v>51</v>
      </c>
      <c r="N1209" s="114">
        <v>1825</v>
      </c>
      <c r="O1209" s="114">
        <v>834</v>
      </c>
      <c r="P1209" s="114">
        <v>5877</v>
      </c>
      <c r="Q1209" s="114">
        <v>44332</v>
      </c>
      <c r="R1209" s="13" t="s">
        <v>256</v>
      </c>
      <c r="S1209" s="13" t="s">
        <v>25</v>
      </c>
      <c r="T1209" s="13" t="s">
        <v>25</v>
      </c>
    </row>
    <row r="1210" spans="1:20" x14ac:dyDescent="0.3">
      <c r="A1210" s="14">
        <v>43942.708333333336</v>
      </c>
      <c r="B1210" s="13" t="s">
        <v>22</v>
      </c>
      <c r="C1210" s="114">
        <v>14</v>
      </c>
      <c r="D1210" s="13" t="s">
        <v>52</v>
      </c>
      <c r="E1210" s="114">
        <v>4155774754</v>
      </c>
      <c r="F1210" s="114">
        <v>1465916051</v>
      </c>
      <c r="G1210" s="114">
        <v>27</v>
      </c>
      <c r="H1210" s="114">
        <v>2</v>
      </c>
      <c r="I1210" s="114">
        <v>29</v>
      </c>
      <c r="J1210" s="114">
        <v>184</v>
      </c>
      <c r="K1210" s="114">
        <v>213</v>
      </c>
      <c r="L1210" s="114">
        <v>0</v>
      </c>
      <c r="M1210" s="114">
        <v>1</v>
      </c>
      <c r="N1210" s="114">
        <v>51</v>
      </c>
      <c r="O1210" s="114">
        <v>18</v>
      </c>
      <c r="P1210" s="114">
        <v>282</v>
      </c>
      <c r="Q1210" s="114">
        <v>4124</v>
      </c>
      <c r="R1210" s="13" t="s">
        <v>257</v>
      </c>
      <c r="S1210" s="13" t="s">
        <v>25</v>
      </c>
      <c r="T1210" s="13" t="s">
        <v>25</v>
      </c>
    </row>
    <row r="1211" spans="1:20" x14ac:dyDescent="0.3">
      <c r="A1211" s="14">
        <v>43942.708333333336</v>
      </c>
      <c r="B1211" s="13" t="s">
        <v>22</v>
      </c>
      <c r="C1211" s="114">
        <v>1</v>
      </c>
      <c r="D1211" s="13" t="s">
        <v>53</v>
      </c>
      <c r="E1211" s="114">
        <v>450732745</v>
      </c>
      <c r="F1211" s="114">
        <v>7680687483</v>
      </c>
      <c r="G1211" s="114">
        <v>3116</v>
      </c>
      <c r="H1211" s="114">
        <v>293</v>
      </c>
      <c r="I1211" s="114">
        <v>3409</v>
      </c>
      <c r="J1211" s="114">
        <v>11402</v>
      </c>
      <c r="K1211" s="114">
        <v>14811</v>
      </c>
      <c r="L1211" s="114">
        <v>254</v>
      </c>
      <c r="M1211" s="114">
        <v>606</v>
      </c>
      <c r="N1211" s="114">
        <v>4659</v>
      </c>
      <c r="O1211" s="114">
        <v>2485</v>
      </c>
      <c r="P1211" s="114">
        <v>21955</v>
      </c>
      <c r="Q1211" s="114">
        <v>105434</v>
      </c>
      <c r="R1211" s="13" t="s">
        <v>258</v>
      </c>
      <c r="S1211" s="13" t="s">
        <v>25</v>
      </c>
      <c r="T1211" s="13" t="s">
        <v>25</v>
      </c>
    </row>
    <row r="1212" spans="1:20" x14ac:dyDescent="0.3">
      <c r="A1212" s="14">
        <v>43942.708333333336</v>
      </c>
      <c r="B1212" s="13" t="s">
        <v>22</v>
      </c>
      <c r="C1212" s="114">
        <v>16</v>
      </c>
      <c r="D1212" s="13" t="s">
        <v>54</v>
      </c>
      <c r="E1212" s="114">
        <v>4112559576</v>
      </c>
      <c r="F1212" s="114">
        <v>1686736689</v>
      </c>
      <c r="G1212" s="114">
        <v>569</v>
      </c>
      <c r="H1212" s="114">
        <v>65</v>
      </c>
      <c r="I1212" s="114">
        <v>634</v>
      </c>
      <c r="J1212" s="114">
        <v>2178</v>
      </c>
      <c r="K1212" s="114">
        <v>2812</v>
      </c>
      <c r="L1212" s="114">
        <v>2</v>
      </c>
      <c r="M1212" s="114">
        <v>55</v>
      </c>
      <c r="N1212" s="114">
        <v>459</v>
      </c>
      <c r="O1212" s="114">
        <v>351</v>
      </c>
      <c r="P1212" s="114">
        <v>3622</v>
      </c>
      <c r="Q1212" s="114">
        <v>45984</v>
      </c>
      <c r="R1212" s="13" t="s">
        <v>259</v>
      </c>
      <c r="S1212" s="13" t="s">
        <v>25</v>
      </c>
      <c r="T1212" s="13" t="s">
        <v>25</v>
      </c>
    </row>
    <row r="1213" spans="1:20" x14ac:dyDescent="0.3">
      <c r="A1213" s="14">
        <v>43942.708333333336</v>
      </c>
      <c r="B1213" s="13" t="s">
        <v>22</v>
      </c>
      <c r="C1213" s="114">
        <v>20</v>
      </c>
      <c r="D1213" s="13" t="s">
        <v>55</v>
      </c>
      <c r="E1213" s="114">
        <v>3921531192</v>
      </c>
      <c r="F1213" s="114">
        <v>9110616306</v>
      </c>
      <c r="G1213" s="114">
        <v>112</v>
      </c>
      <c r="H1213" s="114">
        <v>21</v>
      </c>
      <c r="I1213" s="114">
        <v>133</v>
      </c>
      <c r="J1213" s="114">
        <v>704</v>
      </c>
      <c r="K1213" s="114">
        <v>837</v>
      </c>
      <c r="L1213" s="114">
        <v>-17</v>
      </c>
      <c r="M1213" s="114">
        <v>8</v>
      </c>
      <c r="N1213" s="114">
        <v>306</v>
      </c>
      <c r="O1213" s="114">
        <v>93</v>
      </c>
      <c r="P1213" s="114">
        <v>1236</v>
      </c>
      <c r="Q1213" s="114">
        <v>15886</v>
      </c>
      <c r="R1213" s="13" t="s">
        <v>260</v>
      </c>
      <c r="S1213" s="13" t="s">
        <v>25</v>
      </c>
      <c r="T1213" s="13" t="s">
        <v>25</v>
      </c>
    </row>
    <row r="1214" spans="1:20" x14ac:dyDescent="0.3">
      <c r="A1214" s="14">
        <v>43942.708333333336</v>
      </c>
      <c r="B1214" s="13" t="s">
        <v>22</v>
      </c>
      <c r="C1214" s="114">
        <v>19</v>
      </c>
      <c r="D1214" s="13" t="s">
        <v>56</v>
      </c>
      <c r="E1214" s="114">
        <v>3811569725</v>
      </c>
      <c r="F1214" s="114">
        <v>133623567</v>
      </c>
      <c r="G1214" s="114">
        <v>514</v>
      </c>
      <c r="H1214" s="114">
        <v>37</v>
      </c>
      <c r="I1214" s="114">
        <v>551</v>
      </c>
      <c r="J1214" s="114">
        <v>1708</v>
      </c>
      <c r="K1214" s="114">
        <v>2259</v>
      </c>
      <c r="L1214" s="114">
        <v>49</v>
      </c>
      <c r="M1214" s="114">
        <v>76</v>
      </c>
      <c r="N1214" s="114">
        <v>370</v>
      </c>
      <c r="O1214" s="114">
        <v>206</v>
      </c>
      <c r="P1214" s="114">
        <v>2835</v>
      </c>
      <c r="Q1214" s="114">
        <v>55093</v>
      </c>
      <c r="R1214" s="13" t="s">
        <v>261</v>
      </c>
      <c r="S1214" s="13" t="s">
        <v>25</v>
      </c>
      <c r="T1214" s="13" t="s">
        <v>25</v>
      </c>
    </row>
    <row r="1215" spans="1:20" x14ac:dyDescent="0.3">
      <c r="A1215" s="14">
        <v>43942.708333333336</v>
      </c>
      <c r="B1215" s="13" t="s">
        <v>22</v>
      </c>
      <c r="C1215" s="114">
        <v>9</v>
      </c>
      <c r="D1215" s="13" t="s">
        <v>57</v>
      </c>
      <c r="E1215" s="114">
        <v>4376923077</v>
      </c>
      <c r="F1215" s="114">
        <v>1125588885</v>
      </c>
      <c r="G1215" s="114">
        <v>833</v>
      </c>
      <c r="H1215" s="114">
        <v>171</v>
      </c>
      <c r="I1215" s="114">
        <v>1004</v>
      </c>
      <c r="J1215" s="114">
        <v>5618</v>
      </c>
      <c r="K1215" s="114">
        <v>6622</v>
      </c>
      <c r="L1215" s="114">
        <v>54</v>
      </c>
      <c r="M1215" s="114">
        <v>96</v>
      </c>
      <c r="N1215" s="114">
        <v>1295</v>
      </c>
      <c r="O1215" s="114">
        <v>686</v>
      </c>
      <c r="P1215" s="114">
        <v>8603</v>
      </c>
      <c r="Q1215" s="114">
        <v>109925</v>
      </c>
      <c r="R1215" s="13" t="s">
        <v>262</v>
      </c>
      <c r="S1215" s="13" t="s">
        <v>25</v>
      </c>
      <c r="T1215" s="13" t="s">
        <v>25</v>
      </c>
    </row>
    <row r="1216" spans="1:20" x14ac:dyDescent="0.3">
      <c r="A1216" s="14">
        <v>43942.708333333336</v>
      </c>
      <c r="B1216" s="13" t="s">
        <v>22</v>
      </c>
      <c r="C1216" s="114">
        <v>4</v>
      </c>
      <c r="D1216" s="13" t="s">
        <v>58</v>
      </c>
      <c r="E1216" s="114">
        <v>4606893511</v>
      </c>
      <c r="F1216" s="114">
        <v>1112123097</v>
      </c>
      <c r="G1216" s="114">
        <v>254</v>
      </c>
      <c r="H1216" s="114">
        <v>38</v>
      </c>
      <c r="I1216" s="114">
        <v>292</v>
      </c>
      <c r="J1216" s="114">
        <v>1617</v>
      </c>
      <c r="K1216" s="114">
        <v>1909</v>
      </c>
      <c r="L1216" s="114">
        <v>-20</v>
      </c>
      <c r="M1216" s="114">
        <v>24</v>
      </c>
      <c r="N1216" s="114">
        <v>1329</v>
      </c>
      <c r="O1216" s="114">
        <v>376</v>
      </c>
      <c r="P1216" s="114">
        <v>3614</v>
      </c>
      <c r="Q1216" s="114">
        <v>26610</v>
      </c>
      <c r="R1216" s="13" t="s">
        <v>263</v>
      </c>
      <c r="S1216" s="13" t="s">
        <v>25</v>
      </c>
      <c r="T1216" s="13" t="s">
        <v>25</v>
      </c>
    </row>
    <row r="1217" spans="1:20" x14ac:dyDescent="0.3">
      <c r="A1217" s="14">
        <v>43942.708333333336</v>
      </c>
      <c r="B1217" s="13" t="s">
        <v>22</v>
      </c>
      <c r="C1217" s="114">
        <v>10</v>
      </c>
      <c r="D1217" s="13" t="s">
        <v>59</v>
      </c>
      <c r="E1217" s="114">
        <v>4310675841</v>
      </c>
      <c r="F1217" s="114">
        <v>1238824698</v>
      </c>
      <c r="G1217" s="114">
        <v>107</v>
      </c>
      <c r="H1217" s="114">
        <v>22</v>
      </c>
      <c r="I1217" s="114">
        <v>129</v>
      </c>
      <c r="J1217" s="114">
        <v>278</v>
      </c>
      <c r="K1217" s="114">
        <v>407</v>
      </c>
      <c r="L1217" s="114">
        <v>-17</v>
      </c>
      <c r="M1217" s="114">
        <v>4</v>
      </c>
      <c r="N1217" s="114">
        <v>886</v>
      </c>
      <c r="O1217" s="114">
        <v>60</v>
      </c>
      <c r="P1217" s="114">
        <v>1353</v>
      </c>
      <c r="Q1217" s="114">
        <v>26639</v>
      </c>
      <c r="R1217" s="13" t="s">
        <v>264</v>
      </c>
      <c r="S1217" s="13" t="s">
        <v>25</v>
      </c>
      <c r="T1217" s="13" t="s">
        <v>25</v>
      </c>
    </row>
    <row r="1218" spans="1:20" x14ac:dyDescent="0.3">
      <c r="A1218" s="14">
        <v>43942.708333333336</v>
      </c>
      <c r="B1218" s="13" t="s">
        <v>22</v>
      </c>
      <c r="C1218" s="114">
        <v>2</v>
      </c>
      <c r="D1218" s="13" t="s">
        <v>60</v>
      </c>
      <c r="E1218" s="114">
        <v>4573750286</v>
      </c>
      <c r="F1218" s="114">
        <v>7320149366</v>
      </c>
      <c r="G1218" s="114">
        <v>99</v>
      </c>
      <c r="H1218" s="114">
        <v>8</v>
      </c>
      <c r="I1218" s="114">
        <v>107</v>
      </c>
      <c r="J1218" s="114">
        <v>415</v>
      </c>
      <c r="K1218" s="114">
        <v>522</v>
      </c>
      <c r="L1218" s="114">
        <v>-26</v>
      </c>
      <c r="M1218" s="114">
        <v>5</v>
      </c>
      <c r="N1218" s="114">
        <v>445</v>
      </c>
      <c r="O1218" s="114">
        <v>126</v>
      </c>
      <c r="P1218" s="114">
        <v>1093</v>
      </c>
      <c r="Q1218" s="114">
        <v>4911</v>
      </c>
      <c r="R1218" s="13" t="s">
        <v>265</v>
      </c>
      <c r="S1218" s="13" t="s">
        <v>25</v>
      </c>
      <c r="T1218" s="13" t="s">
        <v>25</v>
      </c>
    </row>
    <row r="1219" spans="1:20" x14ac:dyDescent="0.3">
      <c r="A1219" s="14">
        <v>43942.708333333336</v>
      </c>
      <c r="B1219" s="13" t="s">
        <v>22</v>
      </c>
      <c r="C1219" s="115">
        <v>5</v>
      </c>
      <c r="D1219" s="13" t="s">
        <v>61</v>
      </c>
      <c r="E1219" s="115">
        <v>4543490485</v>
      </c>
      <c r="F1219" s="115">
        <v>1233845213</v>
      </c>
      <c r="G1219" s="115">
        <v>1230</v>
      </c>
      <c r="H1219" s="115">
        <v>177</v>
      </c>
      <c r="I1219" s="115">
        <v>1407</v>
      </c>
      <c r="J1219" s="115">
        <v>8670</v>
      </c>
      <c r="K1219" s="115">
        <v>10077</v>
      </c>
      <c r="L1219" s="115">
        <v>16</v>
      </c>
      <c r="M1219" s="115">
        <v>277</v>
      </c>
      <c r="N1219" s="115">
        <v>5173</v>
      </c>
      <c r="O1219" s="115">
        <v>1154</v>
      </c>
      <c r="P1219" s="115">
        <v>16404</v>
      </c>
      <c r="Q1219" s="115">
        <v>268069</v>
      </c>
      <c r="R1219" s="13" t="s">
        <v>266</v>
      </c>
      <c r="S1219" s="13" t="s">
        <v>25</v>
      </c>
      <c r="T1219" s="13" t="s">
        <v>25</v>
      </c>
    </row>
    <row r="1220" spans="1:20" x14ac:dyDescent="0.3">
      <c r="A1220" s="14">
        <v>43943.708333333336</v>
      </c>
      <c r="B1220" s="13" t="s">
        <v>22</v>
      </c>
      <c r="C1220" s="115">
        <v>13</v>
      </c>
      <c r="D1220" s="13" t="s">
        <v>42</v>
      </c>
      <c r="E1220" s="115">
        <v>4235122196</v>
      </c>
      <c r="F1220" s="115">
        <v>1339843823</v>
      </c>
      <c r="G1220" s="115">
        <v>309</v>
      </c>
      <c r="H1220" s="115">
        <v>35</v>
      </c>
      <c r="I1220" s="115">
        <v>344</v>
      </c>
      <c r="J1220" s="115">
        <v>1764</v>
      </c>
      <c r="K1220" s="115">
        <v>2108</v>
      </c>
      <c r="L1220" s="115">
        <v>41</v>
      </c>
      <c r="M1220" s="115">
        <v>66</v>
      </c>
      <c r="N1220" s="115">
        <v>349</v>
      </c>
      <c r="O1220" s="115">
        <v>276</v>
      </c>
      <c r="P1220" s="115">
        <v>2733</v>
      </c>
      <c r="Q1220" s="115">
        <v>30348</v>
      </c>
      <c r="R1220" s="13" t="s">
        <v>270</v>
      </c>
      <c r="S1220" s="13" t="s">
        <v>25</v>
      </c>
      <c r="T1220" s="13" t="s">
        <v>25</v>
      </c>
    </row>
    <row r="1221" spans="1:20" x14ac:dyDescent="0.3">
      <c r="A1221" s="14">
        <v>43943.708333333336</v>
      </c>
      <c r="B1221" s="13" t="s">
        <v>22</v>
      </c>
      <c r="C1221" s="115">
        <v>17</v>
      </c>
      <c r="D1221" s="13" t="s">
        <v>43</v>
      </c>
      <c r="E1221" s="115">
        <v>4063947052</v>
      </c>
      <c r="F1221" s="115">
        <v>1580514834</v>
      </c>
      <c r="G1221" s="115">
        <v>65</v>
      </c>
      <c r="H1221" s="115">
        <v>7</v>
      </c>
      <c r="I1221" s="115">
        <v>72</v>
      </c>
      <c r="J1221" s="115">
        <v>160</v>
      </c>
      <c r="K1221" s="115">
        <v>232</v>
      </c>
      <c r="L1221" s="115">
        <v>-13</v>
      </c>
      <c r="M1221" s="115">
        <v>4</v>
      </c>
      <c r="N1221" s="115">
        <v>98</v>
      </c>
      <c r="O1221" s="115">
        <v>24</v>
      </c>
      <c r="P1221" s="115">
        <v>354</v>
      </c>
      <c r="Q1221" s="115">
        <v>8040</v>
      </c>
      <c r="R1221" s="13" t="s">
        <v>271</v>
      </c>
      <c r="S1221" s="13" t="s">
        <v>25</v>
      </c>
      <c r="T1221" s="13" t="s">
        <v>25</v>
      </c>
    </row>
    <row r="1222" spans="1:20" x14ac:dyDescent="0.3">
      <c r="A1222" s="14">
        <v>43943.708333333336</v>
      </c>
      <c r="B1222" s="13" t="s">
        <v>22</v>
      </c>
      <c r="C1222" s="115">
        <v>4</v>
      </c>
      <c r="D1222" s="13" t="s">
        <v>44</v>
      </c>
      <c r="E1222" s="115">
        <v>4649933453</v>
      </c>
      <c r="F1222" s="115">
        <v>1135662422</v>
      </c>
      <c r="G1222" s="115">
        <v>157</v>
      </c>
      <c r="H1222" s="115">
        <v>19</v>
      </c>
      <c r="I1222" s="115">
        <v>176</v>
      </c>
      <c r="J1222" s="115">
        <v>1336</v>
      </c>
      <c r="K1222" s="115">
        <v>1512</v>
      </c>
      <c r="L1222" s="115">
        <v>-24</v>
      </c>
      <c r="M1222" s="115">
        <v>6</v>
      </c>
      <c r="N1222" s="115">
        <v>648</v>
      </c>
      <c r="O1222" s="115">
        <v>256</v>
      </c>
      <c r="P1222" s="115">
        <v>2416</v>
      </c>
      <c r="Q1222" s="115">
        <v>32722</v>
      </c>
      <c r="R1222" s="13" t="s">
        <v>272</v>
      </c>
      <c r="S1222" s="13" t="s">
        <v>25</v>
      </c>
      <c r="T1222" s="13" t="s">
        <v>25</v>
      </c>
    </row>
    <row r="1223" spans="1:20" x14ac:dyDescent="0.3">
      <c r="A1223" s="14">
        <v>43943.708333333336</v>
      </c>
      <c r="B1223" s="13" t="s">
        <v>22</v>
      </c>
      <c r="C1223" s="115">
        <v>18</v>
      </c>
      <c r="D1223" s="13" t="s">
        <v>45</v>
      </c>
      <c r="E1223" s="115">
        <v>3890597598</v>
      </c>
      <c r="F1223" s="115">
        <v>1659440194</v>
      </c>
      <c r="G1223" s="115">
        <v>128</v>
      </c>
      <c r="H1223" s="115">
        <v>7</v>
      </c>
      <c r="I1223" s="115">
        <v>135</v>
      </c>
      <c r="J1223" s="115">
        <v>686</v>
      </c>
      <c r="K1223" s="115">
        <v>821</v>
      </c>
      <c r="L1223" s="115">
        <v>2</v>
      </c>
      <c r="M1223" s="115">
        <v>13</v>
      </c>
      <c r="N1223" s="115">
        <v>163</v>
      </c>
      <c r="O1223" s="115">
        <v>76</v>
      </c>
      <c r="P1223" s="115">
        <v>1060</v>
      </c>
      <c r="Q1223" s="115">
        <v>26560</v>
      </c>
      <c r="R1223" s="13" t="s">
        <v>273</v>
      </c>
      <c r="S1223" s="13" t="s">
        <v>25</v>
      </c>
      <c r="T1223" s="13" t="s">
        <v>25</v>
      </c>
    </row>
    <row r="1224" spans="1:20" x14ac:dyDescent="0.3">
      <c r="A1224" s="14">
        <v>43943.708333333336</v>
      </c>
      <c r="B1224" s="13" t="s">
        <v>22</v>
      </c>
      <c r="C1224" s="115">
        <v>15</v>
      </c>
      <c r="D1224" s="13" t="s">
        <v>46</v>
      </c>
      <c r="E1224" s="115">
        <v>4083956555</v>
      </c>
      <c r="F1224" s="115">
        <v>1425084984</v>
      </c>
      <c r="G1224" s="115">
        <v>523</v>
      </c>
      <c r="H1224" s="115">
        <v>53</v>
      </c>
      <c r="I1224" s="115">
        <v>576</v>
      </c>
      <c r="J1224" s="115">
        <v>2422</v>
      </c>
      <c r="K1224" s="115">
        <v>2998</v>
      </c>
      <c r="L1224" s="115">
        <v>52</v>
      </c>
      <c r="M1224" s="115">
        <v>50</v>
      </c>
      <c r="N1224" s="115">
        <v>860</v>
      </c>
      <c r="O1224" s="115">
        <v>327</v>
      </c>
      <c r="P1224" s="115">
        <v>4185</v>
      </c>
      <c r="Q1224" s="115">
        <v>55701</v>
      </c>
      <c r="R1224" s="13" t="s">
        <v>274</v>
      </c>
      <c r="S1224" s="13" t="s">
        <v>25</v>
      </c>
      <c r="T1224" s="13" t="s">
        <v>25</v>
      </c>
    </row>
    <row r="1225" spans="1:20" x14ac:dyDescent="0.3">
      <c r="A1225" s="14">
        <v>43943.708333333336</v>
      </c>
      <c r="B1225" s="13" t="s">
        <v>22</v>
      </c>
      <c r="C1225" s="115">
        <v>8</v>
      </c>
      <c r="D1225" s="13" t="s">
        <v>96</v>
      </c>
      <c r="E1225" s="115">
        <v>4449436681</v>
      </c>
      <c r="F1225" s="115">
        <v>113417208</v>
      </c>
      <c r="G1225" s="115">
        <v>2964</v>
      </c>
      <c r="H1225" s="115">
        <v>282</v>
      </c>
      <c r="I1225" s="115">
        <v>3246</v>
      </c>
      <c r="J1225" s="115">
        <v>9838</v>
      </c>
      <c r="K1225" s="115">
        <v>13084</v>
      </c>
      <c r="L1225" s="115">
        <v>-160</v>
      </c>
      <c r="M1225" s="115">
        <v>342</v>
      </c>
      <c r="N1225" s="115">
        <v>7146</v>
      </c>
      <c r="O1225" s="115">
        <v>3204</v>
      </c>
      <c r="P1225" s="115">
        <v>23434</v>
      </c>
      <c r="Q1225" s="115">
        <v>140874</v>
      </c>
      <c r="R1225" s="13" t="s">
        <v>275</v>
      </c>
      <c r="S1225" s="13" t="s">
        <v>25</v>
      </c>
      <c r="T1225" s="13" t="s">
        <v>25</v>
      </c>
    </row>
    <row r="1226" spans="1:20" x14ac:dyDescent="0.3">
      <c r="A1226" s="14">
        <v>43943.708333333336</v>
      </c>
      <c r="B1226" s="13" t="s">
        <v>22</v>
      </c>
      <c r="C1226" s="115">
        <v>6</v>
      </c>
      <c r="D1226" s="13" t="s">
        <v>47</v>
      </c>
      <c r="E1226" s="115">
        <v>456494354</v>
      </c>
      <c r="F1226" s="115">
        <v>1376813649</v>
      </c>
      <c r="G1226" s="115">
        <v>134</v>
      </c>
      <c r="H1226" s="115">
        <v>20</v>
      </c>
      <c r="I1226" s="115">
        <v>154</v>
      </c>
      <c r="J1226" s="115">
        <v>1154</v>
      </c>
      <c r="K1226" s="115">
        <v>1308</v>
      </c>
      <c r="L1226" s="115">
        <v>-14</v>
      </c>
      <c r="M1226" s="115">
        <v>25</v>
      </c>
      <c r="N1226" s="115">
        <v>1263</v>
      </c>
      <c r="O1226" s="115">
        <v>246</v>
      </c>
      <c r="P1226" s="115">
        <v>2817</v>
      </c>
      <c r="Q1226" s="115">
        <v>50869</v>
      </c>
      <c r="R1226" s="13" t="s">
        <v>276</v>
      </c>
      <c r="S1226" s="13" t="s">
        <v>25</v>
      </c>
      <c r="T1226" s="13" t="s">
        <v>25</v>
      </c>
    </row>
    <row r="1227" spans="1:20" x14ac:dyDescent="0.3">
      <c r="A1227" s="14">
        <v>43943.708333333336</v>
      </c>
      <c r="B1227" s="13" t="s">
        <v>22</v>
      </c>
      <c r="C1227" s="115">
        <v>12</v>
      </c>
      <c r="D1227" s="13" t="s">
        <v>48</v>
      </c>
      <c r="E1227" s="115">
        <v>4189277044</v>
      </c>
      <c r="F1227" s="115">
        <v>1248366722</v>
      </c>
      <c r="G1227" s="115">
        <v>1384</v>
      </c>
      <c r="H1227" s="115">
        <v>187</v>
      </c>
      <c r="I1227" s="115">
        <v>1571</v>
      </c>
      <c r="J1227" s="115">
        <v>2892</v>
      </c>
      <c r="K1227" s="115">
        <v>4463</v>
      </c>
      <c r="L1227" s="115">
        <v>61</v>
      </c>
      <c r="M1227" s="115">
        <v>80</v>
      </c>
      <c r="N1227" s="115">
        <v>1142</v>
      </c>
      <c r="O1227" s="115">
        <v>370</v>
      </c>
      <c r="P1227" s="115">
        <v>5975</v>
      </c>
      <c r="Q1227" s="115">
        <v>104062</v>
      </c>
      <c r="R1227" s="13" t="s">
        <v>277</v>
      </c>
      <c r="S1227" s="13" t="s">
        <v>25</v>
      </c>
      <c r="T1227" s="13" t="s">
        <v>25</v>
      </c>
    </row>
    <row r="1228" spans="1:20" x14ac:dyDescent="0.3">
      <c r="A1228" s="14">
        <v>43943.708333333336</v>
      </c>
      <c r="B1228" s="13" t="s">
        <v>22</v>
      </c>
      <c r="C1228" s="115">
        <v>7</v>
      </c>
      <c r="D1228" s="13" t="s">
        <v>49</v>
      </c>
      <c r="E1228" s="115">
        <v>4441149315</v>
      </c>
      <c r="F1228" s="115">
        <v>89326992</v>
      </c>
      <c r="G1228" s="115">
        <v>860</v>
      </c>
      <c r="H1228" s="115">
        <v>92</v>
      </c>
      <c r="I1228" s="115">
        <v>952</v>
      </c>
      <c r="J1228" s="115">
        <v>2524</v>
      </c>
      <c r="K1228" s="115">
        <v>3476</v>
      </c>
      <c r="L1228" s="115">
        <v>13</v>
      </c>
      <c r="M1228" s="115">
        <v>154</v>
      </c>
      <c r="N1228" s="115">
        <v>2420</v>
      </c>
      <c r="O1228" s="115">
        <v>1022</v>
      </c>
      <c r="P1228" s="115">
        <v>6918</v>
      </c>
      <c r="Q1228" s="115">
        <v>35990</v>
      </c>
      <c r="R1228" s="13" t="s">
        <v>278</v>
      </c>
      <c r="S1228" s="13" t="s">
        <v>25</v>
      </c>
      <c r="T1228" s="13" t="s">
        <v>25</v>
      </c>
    </row>
    <row r="1229" spans="1:20" x14ac:dyDescent="0.3">
      <c r="A1229" s="14">
        <v>43943.708333333336</v>
      </c>
      <c r="B1229" s="13" t="s">
        <v>22</v>
      </c>
      <c r="C1229" s="115">
        <v>3</v>
      </c>
      <c r="D1229" s="13" t="s">
        <v>50</v>
      </c>
      <c r="E1229" s="115">
        <v>4546679409</v>
      </c>
      <c r="F1229" s="115">
        <v>9190347404</v>
      </c>
      <c r="G1229" s="115">
        <v>9692</v>
      </c>
      <c r="H1229" s="115">
        <v>817</v>
      </c>
      <c r="I1229" s="115">
        <v>10509</v>
      </c>
      <c r="J1229" s="115">
        <v>23733</v>
      </c>
      <c r="K1229" s="115">
        <v>34242</v>
      </c>
      <c r="L1229" s="115">
        <v>264</v>
      </c>
      <c r="M1229" s="115">
        <v>1161</v>
      </c>
      <c r="N1229" s="115">
        <v>22110</v>
      </c>
      <c r="O1229" s="115">
        <v>12740</v>
      </c>
      <c r="P1229" s="115">
        <v>69092</v>
      </c>
      <c r="Q1229" s="115">
        <v>290699</v>
      </c>
      <c r="R1229" s="13" t="s">
        <v>279</v>
      </c>
      <c r="S1229" s="13" t="s">
        <v>25</v>
      </c>
      <c r="T1229" s="13" t="s">
        <v>25</v>
      </c>
    </row>
    <row r="1230" spans="1:20" x14ac:dyDescent="0.3">
      <c r="A1230" s="14">
        <v>43943.708333333336</v>
      </c>
      <c r="B1230" s="13" t="s">
        <v>22</v>
      </c>
      <c r="C1230" s="115">
        <v>11</v>
      </c>
      <c r="D1230" s="13" t="s">
        <v>51</v>
      </c>
      <c r="E1230" s="115">
        <v>4361675973</v>
      </c>
      <c r="F1230" s="115">
        <v>135188753</v>
      </c>
      <c r="G1230" s="115">
        <v>735</v>
      </c>
      <c r="H1230" s="115">
        <v>76</v>
      </c>
      <c r="I1230" s="115">
        <v>811</v>
      </c>
      <c r="J1230" s="115">
        <v>2419</v>
      </c>
      <c r="K1230" s="115">
        <v>3230</v>
      </c>
      <c r="L1230" s="115">
        <v>12</v>
      </c>
      <c r="M1230" s="115">
        <v>47</v>
      </c>
      <c r="N1230" s="115">
        <v>1849</v>
      </c>
      <c r="O1230" s="115">
        <v>845</v>
      </c>
      <c r="P1230" s="115">
        <v>5924</v>
      </c>
      <c r="Q1230" s="115">
        <v>46492</v>
      </c>
      <c r="R1230" s="13" t="s">
        <v>280</v>
      </c>
      <c r="S1230" s="13" t="s">
        <v>25</v>
      </c>
      <c r="T1230" s="13" t="s">
        <v>25</v>
      </c>
    </row>
    <row r="1231" spans="1:20" x14ac:dyDescent="0.3">
      <c r="A1231" s="14">
        <v>43943.708333333336</v>
      </c>
      <c r="B1231" s="13" t="s">
        <v>22</v>
      </c>
      <c r="C1231" s="115">
        <v>14</v>
      </c>
      <c r="D1231" s="13" t="s">
        <v>52</v>
      </c>
      <c r="E1231" s="115">
        <v>4155774754</v>
      </c>
      <c r="F1231" s="115">
        <v>1465916051</v>
      </c>
      <c r="G1231" s="115">
        <v>21</v>
      </c>
      <c r="H1231" s="115">
        <v>2</v>
      </c>
      <c r="I1231" s="115">
        <v>23</v>
      </c>
      <c r="J1231" s="115">
        <v>182</v>
      </c>
      <c r="K1231" s="115">
        <v>205</v>
      </c>
      <c r="L1231" s="115">
        <v>-8</v>
      </c>
      <c r="M1231" s="115">
        <v>2</v>
      </c>
      <c r="N1231" s="115">
        <v>60</v>
      </c>
      <c r="O1231" s="115">
        <v>19</v>
      </c>
      <c r="P1231" s="115">
        <v>284</v>
      </c>
      <c r="Q1231" s="115">
        <v>4425</v>
      </c>
      <c r="R1231" s="13" t="s">
        <v>281</v>
      </c>
      <c r="S1231" s="13" t="s">
        <v>25</v>
      </c>
      <c r="T1231" s="13" t="s">
        <v>25</v>
      </c>
    </row>
    <row r="1232" spans="1:20" x14ac:dyDescent="0.3">
      <c r="A1232" s="14">
        <v>43943.708333333336</v>
      </c>
      <c r="B1232" s="13" t="s">
        <v>22</v>
      </c>
      <c r="C1232" s="115">
        <v>1</v>
      </c>
      <c r="D1232" s="13" t="s">
        <v>53</v>
      </c>
      <c r="E1232" s="115">
        <v>450732745</v>
      </c>
      <c r="F1232" s="115">
        <v>7680687483</v>
      </c>
      <c r="G1232" s="115">
        <v>3213</v>
      </c>
      <c r="H1232" s="115">
        <v>273</v>
      </c>
      <c r="I1232" s="115">
        <v>3486</v>
      </c>
      <c r="J1232" s="115">
        <v>11636</v>
      </c>
      <c r="K1232" s="115">
        <v>15122</v>
      </c>
      <c r="L1232" s="115">
        <v>311</v>
      </c>
      <c r="M1232" s="115">
        <v>784</v>
      </c>
      <c r="N1232" s="115">
        <v>5058</v>
      </c>
      <c r="O1232" s="115">
        <v>2559</v>
      </c>
      <c r="P1232" s="115">
        <v>22739</v>
      </c>
      <c r="Q1232" s="115">
        <v>111513</v>
      </c>
      <c r="R1232" s="13" t="s">
        <v>282</v>
      </c>
      <c r="S1232" s="13" t="s">
        <v>25</v>
      </c>
      <c r="T1232" s="13" t="s">
        <v>25</v>
      </c>
    </row>
    <row r="1233" spans="1:20" x14ac:dyDescent="0.3">
      <c r="A1233" s="14">
        <v>43943.708333333336</v>
      </c>
      <c r="B1233" s="13" t="s">
        <v>22</v>
      </c>
      <c r="C1233" s="115">
        <v>16</v>
      </c>
      <c r="D1233" s="13" t="s">
        <v>54</v>
      </c>
      <c r="E1233" s="115">
        <v>4112559576</v>
      </c>
      <c r="F1233" s="115">
        <v>1686736689</v>
      </c>
      <c r="G1233" s="115">
        <v>564</v>
      </c>
      <c r="H1233" s="115">
        <v>60</v>
      </c>
      <c r="I1233" s="115">
        <v>624</v>
      </c>
      <c r="J1233" s="115">
        <v>2250</v>
      </c>
      <c r="K1233" s="115">
        <v>2874</v>
      </c>
      <c r="L1233" s="115">
        <v>62</v>
      </c>
      <c r="M1233" s="115">
        <v>108</v>
      </c>
      <c r="N1233" s="115">
        <v>494</v>
      </c>
      <c r="O1233" s="115">
        <v>362</v>
      </c>
      <c r="P1233" s="115">
        <v>3730</v>
      </c>
      <c r="Q1233" s="115">
        <v>48342</v>
      </c>
      <c r="R1233" s="13" t="s">
        <v>283</v>
      </c>
      <c r="S1233" s="13" t="s">
        <v>25</v>
      </c>
      <c r="T1233" s="13" t="s">
        <v>25</v>
      </c>
    </row>
    <row r="1234" spans="1:20" x14ac:dyDescent="0.3">
      <c r="A1234" s="14">
        <v>43943.708333333336</v>
      </c>
      <c r="B1234" s="13" t="s">
        <v>22</v>
      </c>
      <c r="C1234" s="115">
        <v>20</v>
      </c>
      <c r="D1234" s="13" t="s">
        <v>55</v>
      </c>
      <c r="E1234" s="115">
        <v>3921531192</v>
      </c>
      <c r="F1234" s="115">
        <v>9110616306</v>
      </c>
      <c r="G1234" s="115">
        <v>97</v>
      </c>
      <c r="H1234" s="115">
        <v>20</v>
      </c>
      <c r="I1234" s="115">
        <v>117</v>
      </c>
      <c r="J1234" s="115">
        <v>716</v>
      </c>
      <c r="K1234" s="115">
        <v>833</v>
      </c>
      <c r="L1234" s="115">
        <v>-4</v>
      </c>
      <c r="M1234" s="115">
        <v>11</v>
      </c>
      <c r="N1234" s="115">
        <v>318</v>
      </c>
      <c r="O1234" s="115">
        <v>96</v>
      </c>
      <c r="P1234" s="115">
        <v>1247</v>
      </c>
      <c r="Q1234" s="115">
        <v>16886</v>
      </c>
      <c r="R1234" s="13" t="s">
        <v>284</v>
      </c>
      <c r="S1234" s="13" t="s">
        <v>25</v>
      </c>
      <c r="T1234" s="13" t="s">
        <v>25</v>
      </c>
    </row>
    <row r="1235" spans="1:20" x14ac:dyDescent="0.3">
      <c r="A1235" s="14">
        <v>43943.708333333336</v>
      </c>
      <c r="B1235" s="13" t="s">
        <v>22</v>
      </c>
      <c r="C1235" s="115">
        <v>19</v>
      </c>
      <c r="D1235" s="13" t="s">
        <v>56</v>
      </c>
      <c r="E1235" s="115">
        <v>3811569725</v>
      </c>
      <c r="F1235" s="115">
        <v>133623567</v>
      </c>
      <c r="G1235" s="115">
        <v>500</v>
      </c>
      <c r="H1235" s="115">
        <v>35</v>
      </c>
      <c r="I1235" s="115">
        <v>535</v>
      </c>
      <c r="J1235" s="115">
        <v>1752</v>
      </c>
      <c r="K1235" s="115">
        <v>2287</v>
      </c>
      <c r="L1235" s="115">
        <v>28</v>
      </c>
      <c r="M1235" s="115">
        <v>48</v>
      </c>
      <c r="N1235" s="115">
        <v>388</v>
      </c>
      <c r="O1235" s="115">
        <v>208</v>
      </c>
      <c r="P1235" s="115">
        <v>2883</v>
      </c>
      <c r="Q1235" s="115">
        <v>58732</v>
      </c>
      <c r="R1235" s="13" t="s">
        <v>285</v>
      </c>
      <c r="S1235" s="13" t="s">
        <v>25</v>
      </c>
      <c r="T1235" s="13" t="s">
        <v>25</v>
      </c>
    </row>
    <row r="1236" spans="1:20" x14ac:dyDescent="0.3">
      <c r="A1236" s="14">
        <v>43943.708333333336</v>
      </c>
      <c r="B1236" s="13" t="s">
        <v>22</v>
      </c>
      <c r="C1236" s="115">
        <v>9</v>
      </c>
      <c r="D1236" s="13" t="s">
        <v>57</v>
      </c>
      <c r="E1236" s="115">
        <v>4376923077</v>
      </c>
      <c r="F1236" s="115">
        <v>1125588885</v>
      </c>
      <c r="G1236" s="115">
        <v>820</v>
      </c>
      <c r="H1236" s="115">
        <v>174</v>
      </c>
      <c r="I1236" s="115">
        <v>994</v>
      </c>
      <c r="J1236" s="115">
        <v>5173</v>
      </c>
      <c r="K1236" s="115">
        <v>6167</v>
      </c>
      <c r="L1236" s="115">
        <v>-455</v>
      </c>
      <c r="M1236" s="115">
        <v>97</v>
      </c>
      <c r="N1236" s="115">
        <v>1828</v>
      </c>
      <c r="O1236" s="115">
        <v>705</v>
      </c>
      <c r="P1236" s="115">
        <v>8700</v>
      </c>
      <c r="Q1236" s="115">
        <v>114100</v>
      </c>
      <c r="R1236" s="13" t="s">
        <v>286</v>
      </c>
      <c r="S1236" s="13" t="s">
        <v>25</v>
      </c>
      <c r="T1236" s="13" t="s">
        <v>25</v>
      </c>
    </row>
    <row r="1237" spans="1:20" x14ac:dyDescent="0.3">
      <c r="A1237" s="14">
        <v>43943.708333333336</v>
      </c>
      <c r="B1237" s="13" t="s">
        <v>22</v>
      </c>
      <c r="C1237" s="115">
        <v>4</v>
      </c>
      <c r="D1237" s="13" t="s">
        <v>58</v>
      </c>
      <c r="E1237" s="115">
        <v>4606893511</v>
      </c>
      <c r="F1237" s="115">
        <v>1112123097</v>
      </c>
      <c r="G1237" s="115">
        <v>245</v>
      </c>
      <c r="H1237" s="115">
        <v>34</v>
      </c>
      <c r="I1237" s="115">
        <v>279</v>
      </c>
      <c r="J1237" s="115">
        <v>1595</v>
      </c>
      <c r="K1237" s="115">
        <v>1874</v>
      </c>
      <c r="L1237" s="115">
        <v>-35</v>
      </c>
      <c r="M1237" s="115">
        <v>32</v>
      </c>
      <c r="N1237" s="115">
        <v>1391</v>
      </c>
      <c r="O1237" s="115">
        <v>381</v>
      </c>
      <c r="P1237" s="115">
        <v>3646</v>
      </c>
      <c r="Q1237" s="115">
        <v>26674</v>
      </c>
      <c r="R1237" s="13" t="s">
        <v>287</v>
      </c>
      <c r="S1237" s="13" t="s">
        <v>25</v>
      </c>
      <c r="T1237" s="13" t="s">
        <v>25</v>
      </c>
    </row>
    <row r="1238" spans="1:20" x14ac:dyDescent="0.3">
      <c r="A1238" s="14">
        <v>43943.708333333336</v>
      </c>
      <c r="B1238" s="13" t="s">
        <v>22</v>
      </c>
      <c r="C1238" s="115">
        <v>10</v>
      </c>
      <c r="D1238" s="13" t="s">
        <v>59</v>
      </c>
      <c r="E1238" s="115">
        <v>4310675841</v>
      </c>
      <c r="F1238" s="115">
        <v>1238824698</v>
      </c>
      <c r="G1238" s="115">
        <v>97</v>
      </c>
      <c r="H1238" s="115">
        <v>20</v>
      </c>
      <c r="I1238" s="115">
        <v>117</v>
      </c>
      <c r="J1238" s="115">
        <v>254</v>
      </c>
      <c r="K1238" s="115">
        <v>371</v>
      </c>
      <c r="L1238" s="115">
        <v>-36</v>
      </c>
      <c r="M1238" s="115">
        <v>4</v>
      </c>
      <c r="N1238" s="115">
        <v>925</v>
      </c>
      <c r="O1238" s="115">
        <v>61</v>
      </c>
      <c r="P1238" s="115">
        <v>1357</v>
      </c>
      <c r="Q1238" s="115">
        <v>27655</v>
      </c>
      <c r="R1238" s="13" t="s">
        <v>288</v>
      </c>
      <c r="S1238" s="13" t="s">
        <v>25</v>
      </c>
      <c r="T1238" s="13" t="s">
        <v>25</v>
      </c>
    </row>
    <row r="1239" spans="1:20" x14ac:dyDescent="0.3">
      <c r="A1239" s="14">
        <v>43943.708333333336</v>
      </c>
      <c r="B1239" s="13" t="s">
        <v>22</v>
      </c>
      <c r="C1239" s="115">
        <v>2</v>
      </c>
      <c r="D1239" s="13" t="s">
        <v>60</v>
      </c>
      <c r="E1239" s="115">
        <v>4573750286</v>
      </c>
      <c r="F1239" s="115">
        <v>7320149366</v>
      </c>
      <c r="G1239" s="115">
        <v>92</v>
      </c>
      <c r="H1239" s="115">
        <v>8</v>
      </c>
      <c r="I1239" s="115">
        <v>100</v>
      </c>
      <c r="J1239" s="115">
        <v>401</v>
      </c>
      <c r="K1239" s="115">
        <v>501</v>
      </c>
      <c r="L1239" s="115">
        <v>-21</v>
      </c>
      <c r="M1239" s="115">
        <v>2</v>
      </c>
      <c r="N1239" s="115">
        <v>467</v>
      </c>
      <c r="O1239" s="115">
        <v>127</v>
      </c>
      <c r="P1239" s="115">
        <v>1095</v>
      </c>
      <c r="Q1239" s="115">
        <v>5024</v>
      </c>
      <c r="R1239" s="13" t="s">
        <v>289</v>
      </c>
      <c r="S1239" s="13" t="s">
        <v>25</v>
      </c>
      <c r="T1239" s="13" t="s">
        <v>25</v>
      </c>
    </row>
    <row r="1240" spans="1:20" x14ac:dyDescent="0.3">
      <c r="A1240" s="14">
        <v>43943.708333333336</v>
      </c>
      <c r="B1240" s="13" t="s">
        <v>22</v>
      </c>
      <c r="C1240" s="115">
        <v>5</v>
      </c>
      <c r="D1240" s="13" t="s">
        <v>61</v>
      </c>
      <c r="E1240" s="115">
        <v>4543490485</v>
      </c>
      <c r="F1240" s="115">
        <v>1233845213</v>
      </c>
      <c r="G1240" s="115">
        <v>1205</v>
      </c>
      <c r="H1240" s="115">
        <v>163</v>
      </c>
      <c r="I1240" s="115">
        <v>1368</v>
      </c>
      <c r="J1240" s="115">
        <v>8623</v>
      </c>
      <c r="K1240" s="115">
        <v>9991</v>
      </c>
      <c r="L1240" s="115">
        <v>-86</v>
      </c>
      <c r="M1240" s="115">
        <v>334</v>
      </c>
      <c r="N1240" s="115">
        <v>5566</v>
      </c>
      <c r="O1240" s="115">
        <v>1181</v>
      </c>
      <c r="P1240" s="115">
        <v>16738</v>
      </c>
      <c r="Q1240" s="115">
        <v>277543</v>
      </c>
      <c r="R1240" s="13" t="s">
        <v>290</v>
      </c>
      <c r="S1240" s="13" t="s">
        <v>25</v>
      </c>
      <c r="T1240" s="13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3BE1-A73A-4B3E-A39D-9FF5F0128F57}">
  <dimension ref="B1:NJ141"/>
  <sheetViews>
    <sheetView tabSelected="1" zoomScale="55" zoomScaleNormal="55" workbookViewId="0">
      <selection activeCell="AB45" sqref="AB45"/>
    </sheetView>
  </sheetViews>
  <sheetFormatPr defaultRowHeight="14.4" x14ac:dyDescent="0.3"/>
  <cols>
    <col min="1" max="1" width="2.77734375" style="2" customWidth="1"/>
    <col min="2" max="2" width="15.109375" style="2" bestFit="1" customWidth="1"/>
    <col min="3" max="3" width="14" style="2" bestFit="1" customWidth="1"/>
    <col min="4" max="4" width="27.33203125" style="2" bestFit="1" customWidth="1"/>
    <col min="5" max="5" width="15.5546875" style="2" bestFit="1" customWidth="1"/>
    <col min="6" max="6" width="14.44140625" style="2" bestFit="1" customWidth="1"/>
    <col min="7" max="7" width="16.21875" style="2" bestFit="1" customWidth="1"/>
    <col min="8" max="8" width="9.33203125" style="2" customWidth="1"/>
    <col min="9" max="9" width="16.21875" style="2" bestFit="1" customWidth="1"/>
    <col min="10" max="10" width="16.44140625" style="2" bestFit="1" customWidth="1"/>
    <col min="11" max="11" width="10.33203125" style="2" customWidth="1"/>
    <col min="12" max="12" width="11.5546875" style="2" customWidth="1"/>
    <col min="13" max="13" width="15.5546875" style="2" bestFit="1" customWidth="1"/>
    <col min="14" max="14" width="21.33203125" style="2" bestFit="1" customWidth="1"/>
    <col min="15" max="15" width="15.5546875" style="2" bestFit="1" customWidth="1"/>
    <col min="16" max="16" width="12.21875" style="2" customWidth="1"/>
    <col min="17" max="17" width="12.109375" style="2" customWidth="1"/>
    <col min="18" max="19" width="10" style="2" customWidth="1"/>
    <col min="20" max="20" width="13.6640625" style="2" customWidth="1"/>
    <col min="21" max="21" width="22" style="2" customWidth="1"/>
    <col min="22" max="22" width="13.77734375" style="2" customWidth="1"/>
    <col min="23" max="23" width="13.6640625" style="2" customWidth="1"/>
    <col min="24" max="24" width="1.77734375" style="2" customWidth="1"/>
    <col min="25" max="25" width="24.33203125" style="2" bestFit="1" customWidth="1"/>
    <col min="26" max="26" width="23.33203125" style="2" bestFit="1" customWidth="1"/>
    <col min="27" max="35" width="12.44140625" style="2" customWidth="1"/>
    <col min="36" max="37" width="3.5546875" style="2" customWidth="1"/>
    <col min="38" max="38" width="3.77734375" style="2" customWidth="1"/>
    <col min="39" max="39" width="4.33203125" style="2" customWidth="1"/>
    <col min="40" max="40" width="12.44140625" style="2" customWidth="1"/>
    <col min="41" max="45" width="4.5546875" style="2" bestFit="1" customWidth="1"/>
    <col min="46" max="46" width="17.109375" style="2" customWidth="1"/>
    <col min="47" max="48" width="4.5546875" style="2" bestFit="1" customWidth="1"/>
    <col min="49" max="49" width="17.109375" style="82" customWidth="1"/>
    <col min="50" max="50" width="4.5546875" style="82" bestFit="1" customWidth="1"/>
    <col min="51" max="51" width="4.5546875" style="2" bestFit="1" customWidth="1"/>
    <col min="52" max="52" width="17.109375" style="82" customWidth="1"/>
    <col min="53" max="53" width="4.5546875" style="82" bestFit="1" customWidth="1"/>
    <col min="54" max="56" width="4.5546875" style="2" bestFit="1" customWidth="1"/>
    <col min="57" max="57" width="2.109375" style="2" customWidth="1"/>
    <col min="58" max="60" width="4.5546875" style="2" hidden="1" customWidth="1"/>
    <col min="61" max="61" width="37.33203125" style="2" customWidth="1"/>
    <col min="62" max="116" width="4.5546875" style="2" bestFit="1" customWidth="1"/>
    <col min="117" max="311" width="6" style="2" bestFit="1" customWidth="1"/>
    <col min="312" max="367" width="7.33203125" style="2" bestFit="1" customWidth="1"/>
    <col min="368" max="372" width="8.77734375" style="2" bestFit="1" customWidth="1"/>
    <col min="373" max="373" width="9.5546875" style="2" bestFit="1" customWidth="1"/>
    <col min="374" max="374" width="23.5546875" style="2" bestFit="1" customWidth="1"/>
    <col min="375" max="16384" width="8.88671875" style="2"/>
  </cols>
  <sheetData>
    <row r="1" spans="2:61" x14ac:dyDescent="0.3">
      <c r="AT1" s="118"/>
      <c r="AU1" s="118"/>
      <c r="AW1" s="127"/>
      <c r="AX1" s="127"/>
      <c r="AZ1" s="130"/>
      <c r="BA1" s="130"/>
    </row>
    <row r="2" spans="2:61" ht="24" thickBot="1" x14ac:dyDescent="0.5">
      <c r="B2" s="121" t="s">
        <v>11</v>
      </c>
      <c r="C2" s="121"/>
      <c r="D2" s="121"/>
      <c r="E2" s="121"/>
      <c r="F2" s="121"/>
      <c r="G2" s="121"/>
      <c r="H2" s="121"/>
      <c r="I2" s="121"/>
      <c r="P2" s="75"/>
      <c r="AA2" s="78"/>
      <c r="AB2" s="122"/>
      <c r="AC2" s="122"/>
      <c r="AD2" s="122"/>
      <c r="AE2" s="122"/>
      <c r="AF2" s="122"/>
      <c r="AT2" s="118"/>
      <c r="AU2" s="118"/>
      <c r="AW2" s="127"/>
      <c r="AX2" s="127"/>
      <c r="AZ2" s="130"/>
      <c r="BA2" s="130"/>
    </row>
    <row r="3" spans="2:61" ht="17.399999999999999" customHeight="1" thickBot="1" x14ac:dyDescent="0.65">
      <c r="B3" s="11"/>
      <c r="H3" s="122"/>
      <c r="I3" s="122"/>
      <c r="M3" s="102"/>
      <c r="N3" s="101"/>
      <c r="P3" s="75"/>
      <c r="U3" s="23"/>
      <c r="Y3" s="23"/>
      <c r="Z3" s="33"/>
      <c r="AA3" s="116" t="s">
        <v>0</v>
      </c>
      <c r="AB3" s="123" t="s">
        <v>116</v>
      </c>
      <c r="AC3" s="123"/>
      <c r="AD3" s="123"/>
      <c r="AE3" s="123"/>
      <c r="AF3" s="123"/>
      <c r="AT3" s="120"/>
      <c r="AU3" s="120"/>
      <c r="AW3" s="128"/>
      <c r="AX3" s="128"/>
      <c r="AZ3" s="131"/>
      <c r="BA3" s="131"/>
    </row>
    <row r="4" spans="2:61" ht="20.399999999999999" thickBot="1" x14ac:dyDescent="0.45">
      <c r="B4" s="124" t="s">
        <v>311</v>
      </c>
      <c r="C4" s="124"/>
      <c r="D4" s="124"/>
      <c r="E4" s="124"/>
      <c r="F4" s="124"/>
      <c r="G4" s="124"/>
      <c r="H4" s="122"/>
      <c r="I4" s="122"/>
      <c r="N4" s="75"/>
      <c r="P4" s="75"/>
      <c r="U4" s="42"/>
      <c r="Y4" s="42"/>
      <c r="Z4" s="92"/>
      <c r="AA4" s="116" t="s">
        <v>308</v>
      </c>
      <c r="AB4" s="123" t="s">
        <v>116</v>
      </c>
      <c r="AC4" s="123"/>
      <c r="AD4" s="123"/>
      <c r="AE4" s="123"/>
      <c r="AF4" s="123"/>
      <c r="AT4" s="118"/>
      <c r="AU4" s="118"/>
      <c r="AW4" s="127"/>
      <c r="AX4" s="127"/>
      <c r="AZ4" s="130"/>
      <c r="BA4" s="130"/>
    </row>
    <row r="5" spans="2:61" ht="18.600000000000001" thickTop="1" thickBot="1" x14ac:dyDescent="0.4">
      <c r="B5" s="125" t="s">
        <v>133</v>
      </c>
      <c r="C5" s="125"/>
      <c r="D5" s="125"/>
      <c r="E5" s="125"/>
      <c r="F5" s="125"/>
      <c r="G5" s="125"/>
      <c r="H5" s="122"/>
      <c r="I5" s="122"/>
      <c r="P5" s="75"/>
      <c r="U5" s="90"/>
      <c r="Y5" s="90"/>
      <c r="Z5" s="91"/>
      <c r="AA5" s="116" t="s">
        <v>309</v>
      </c>
      <c r="AB5" s="126" t="s">
        <v>116</v>
      </c>
      <c r="AC5" s="126"/>
      <c r="AD5" s="126"/>
      <c r="AE5" s="126"/>
      <c r="AF5" s="126"/>
      <c r="AT5" s="118"/>
      <c r="AU5" s="118"/>
      <c r="AW5" s="127"/>
      <c r="AX5" s="127"/>
      <c r="AZ5" s="130"/>
      <c r="BA5" s="130"/>
    </row>
    <row r="6" spans="2:61" ht="19.2" thickTop="1" thickBot="1" x14ac:dyDescent="0.4">
      <c r="B6" s="19"/>
      <c r="C6" s="19"/>
      <c r="D6" s="19"/>
      <c r="E6" s="19"/>
      <c r="F6" s="19"/>
      <c r="G6" s="19"/>
      <c r="H6" s="122"/>
      <c r="I6" s="122"/>
      <c r="AA6" s="16"/>
      <c r="AB6" s="15"/>
      <c r="AC6" s="12"/>
      <c r="AD6" s="12"/>
      <c r="AT6" s="119"/>
      <c r="AU6" s="119"/>
      <c r="AW6" s="129"/>
      <c r="AX6" s="129"/>
      <c r="AZ6" s="132"/>
      <c r="BA6" s="132"/>
      <c r="BI6" s="112"/>
    </row>
    <row r="7" spans="2:61" ht="28.8" x14ac:dyDescent="0.3">
      <c r="B7" s="4" t="s">
        <v>9</v>
      </c>
      <c r="C7" s="4" t="s">
        <v>10</v>
      </c>
      <c r="D7" s="4" t="s">
        <v>85</v>
      </c>
      <c r="E7" s="4" t="s">
        <v>101</v>
      </c>
      <c r="F7" s="8" t="s">
        <v>294</v>
      </c>
      <c r="G7" s="8" t="s">
        <v>102</v>
      </c>
      <c r="H7" s="8" t="s">
        <v>86</v>
      </c>
      <c r="I7" s="8" t="s">
        <v>103</v>
      </c>
      <c r="J7" s="8" t="s">
        <v>7</v>
      </c>
      <c r="K7" s="8" t="s">
        <v>8</v>
      </c>
      <c r="L7" s="4" t="s">
        <v>84</v>
      </c>
      <c r="M7" s="4" t="s">
        <v>104</v>
      </c>
      <c r="N7" s="8" t="s">
        <v>118</v>
      </c>
      <c r="O7" s="8" t="s">
        <v>105</v>
      </c>
      <c r="P7" s="8" t="s">
        <v>79</v>
      </c>
      <c r="Q7" s="8" t="s">
        <v>80</v>
      </c>
      <c r="R7" s="4" t="s">
        <v>119</v>
      </c>
      <c r="S7" s="4" t="s">
        <v>106</v>
      </c>
      <c r="T7" s="8" t="s">
        <v>120</v>
      </c>
      <c r="U7" s="8" t="s">
        <v>107</v>
      </c>
      <c r="V7" s="8" t="s">
        <v>81</v>
      </c>
      <c r="W7" s="8" t="s">
        <v>82</v>
      </c>
      <c r="X7" s="8"/>
      <c r="Y7" s="24" t="s">
        <v>121</v>
      </c>
      <c r="Z7" s="25" t="s">
        <v>117</v>
      </c>
      <c r="AA7" s="3"/>
      <c r="AN7" s="45" t="s">
        <v>100</v>
      </c>
      <c r="AT7" s="93"/>
      <c r="AU7" s="93"/>
      <c r="AW7" s="95"/>
      <c r="AX7" s="95"/>
      <c r="AZ7" s="96"/>
      <c r="BA7" s="96"/>
      <c r="BI7" s="112"/>
    </row>
    <row r="8" spans="2:61" x14ac:dyDescent="0.3">
      <c r="B8" s="18">
        <v>43885</v>
      </c>
      <c r="C8" s="4">
        <v>1</v>
      </c>
      <c r="D8" s="10">
        <f>'dpc-covid19-ita-andamento-naz'!K2</f>
        <v>7</v>
      </c>
      <c r="E8" s="10">
        <f>Tabella8[[#This Row],[Italy cumulative]]*NOT(ISBLANK(Tabella8[[#This Row],[Italy cumulative]]))</f>
        <v>7</v>
      </c>
      <c r="F8" s="10">
        <f>Tabella8[[#This Row],[Lombardy fit]]+Tabella8[[#This Row],[rest of Italy fit]]</f>
        <v>1.0135514969490604E-13</v>
      </c>
      <c r="G8" s="10">
        <f>Tabella8[[#This Row],[Italy sum of regions]]*NOT(ISBLANK(Tabella8[[#This Row],[Italy cumulative]]))</f>
        <v>1.0135514969490604E-13</v>
      </c>
      <c r="H8" s="98">
        <f>Kt*_xlfn.LOGNORM.DIST(Tabella8[[#This Row],[Day]],mu_t,sigma_t,TRUE)</f>
        <v>6.7149122256497869E-21</v>
      </c>
      <c r="I8" s="10">
        <f>Tabella8[[#This Row],[Italy fit]]*NOT(ISBLANK(Tabella8[[#This Row],[Italy cumulative]]))</f>
        <v>6.7149122256497869E-21</v>
      </c>
      <c r="J8" s="10">
        <f>Tabella8[[#This Row],[Italy sum of regions]]+CI</f>
        <v>320.13303431914983</v>
      </c>
      <c r="K8" s="10">
        <f>MAX(Tabella8[[#This Row],[Italy sum of regions]]-CI,0)</f>
        <v>0</v>
      </c>
      <c r="L8" s="79">
        <f t="shared" ref="L8:L39" si="0">GETPIVOTDATA("deceduti",Z55,"data",ROW(Z55))</f>
        <v>6</v>
      </c>
      <c r="M8" s="10">
        <f>Tabella8[[#This Row],[Lombardy]]*NOT(ISBLANK(Tabella8[[#This Row],[Lombardy]]))</f>
        <v>6</v>
      </c>
      <c r="N8" s="99">
        <f>Kr*_xlfn.LOGNORM.DIST(Tabella8[[#This Row],[Day]],mu_r,sigma_r,TRUE)</f>
        <v>7.8580894067903539E-14</v>
      </c>
      <c r="O8" s="10">
        <f>Tabella8[[#This Row],[Lombardy fit]]*NOT(ISBLANK(Tabella8[[#This Row],[Lombardy]]))</f>
        <v>7.8580894067903539E-14</v>
      </c>
      <c r="P8" s="10">
        <f>Tabella8[[#This Row],[Lombardy fit]]+CIr</f>
        <v>219.79710908499445</v>
      </c>
      <c r="Q8" s="10">
        <f>MAX(Tabella8[[#This Row],[Lombardy fit]]-CIr,0)</f>
        <v>0</v>
      </c>
      <c r="R8" s="10">
        <f>Tabella8[[#This Row],[Italy cumulative]]-Tabella8[[#This Row],[Lombardy]]</f>
        <v>1</v>
      </c>
      <c r="S8" s="10">
        <f>Tabella8[[#This Row],[rest of Italy ]]*NOT(ISBLANK(Tabella8[[#This Row],[rest of Italy ]]))</f>
        <v>1</v>
      </c>
      <c r="T8" s="100">
        <f>Ko*_xlfn.LOGNORM.DIST(Tabella8[[#This Row],[Day]],mu_o,sigma_o,TRUE)</f>
        <v>2.2774255627002495E-14</v>
      </c>
      <c r="U8" s="26">
        <f>Tabella8[[#This Row],[rest of Italy fit]]*NOT(ISBLANK(Tabella8[[#This Row],[rest of Italy ]]))</f>
        <v>2.2774255627002495E-14</v>
      </c>
      <c r="V8" s="10">
        <f>Tabella8[[#This Row],[rest of Italy fit]]+CIo</f>
        <v>138.48571377474099</v>
      </c>
      <c r="W8" s="10">
        <f>MAX(Tabella8[[#This Row],[rest of Italy fit]]-CIo,0)</f>
        <v>0</v>
      </c>
      <c r="X8" s="1"/>
      <c r="Y8" s="27"/>
      <c r="Z8" s="28"/>
      <c r="AN8" s="73"/>
      <c r="AT8" s="94"/>
      <c r="AU8" s="94"/>
      <c r="AW8" s="36"/>
      <c r="AX8" s="36"/>
      <c r="AZ8" s="97"/>
      <c r="BA8" s="97"/>
    </row>
    <row r="9" spans="2:61" x14ac:dyDescent="0.3">
      <c r="B9" s="9">
        <v>43886</v>
      </c>
      <c r="C9" s="4">
        <f>C8+1</f>
        <v>2</v>
      </c>
      <c r="D9" s="10">
        <f>'dpc-covid19-ita-andamento-naz'!K3</f>
        <v>10</v>
      </c>
      <c r="E9" s="10">
        <f>Tabella8[[#This Row],[Italy cumulative]]*NOT(ISBLANK(Tabella8[[#This Row],[Italy cumulative]]))</f>
        <v>10</v>
      </c>
      <c r="F9" s="10">
        <f>Tabella8[[#This Row],[Lombardy fit]]+Tabella8[[#This Row],[rest of Italy fit]]</f>
        <v>3.689391675968718E-8</v>
      </c>
      <c r="G9" s="10">
        <f>Tabella8[[#This Row],[Italy sum of regions]]*NOT(ISBLANK(Tabella8[[#This Row],[Italy cumulative]]))</f>
        <v>3.689391675968718E-8</v>
      </c>
      <c r="H9" s="98">
        <f>Kt*_xlfn.LOGNORM.DIST(Tabella8[[#This Row],[Day]],mu_t,sigma_t,TRUE)</f>
        <v>8.5224305877687446E-13</v>
      </c>
      <c r="I9" s="10">
        <f>Tabella8[[#This Row],[Italy fit]]*NOT(ISBLANK(Tabella8[[#This Row],[Italy cumulative]]))</f>
        <v>8.5224305877687446E-13</v>
      </c>
      <c r="J9" s="10">
        <f>Tabella8[[#This Row],[Italy sum of regions]]+CI</f>
        <v>320.13303435604365</v>
      </c>
      <c r="K9" s="10">
        <f>MAX(Tabella8[[#This Row],[Italy sum of regions]]-CI,0)</f>
        <v>0</v>
      </c>
      <c r="L9" s="79">
        <f t="shared" si="0"/>
        <v>9</v>
      </c>
      <c r="M9" s="10">
        <f>Tabella8[[#This Row],[Lombardy]]*NOT(ISBLANK(Tabella8[[#This Row],[Lombardy]]))</f>
        <v>9</v>
      </c>
      <c r="N9" s="99">
        <f>Kr*_xlfn.LOGNORM.DIST(Tabella8[[#This Row],[Day]],mu_r,sigma_r,TRUE)</f>
        <v>2.9701756303691575E-8</v>
      </c>
      <c r="O9" s="10">
        <f>Tabella8[[#This Row],[Lombardy fit]]*NOT(ISBLANK(Tabella8[[#This Row],[Lombardy]]))</f>
        <v>2.9701756303691575E-8</v>
      </c>
      <c r="P9" s="10">
        <f>Tabella8[[#This Row],[Lombardy fit]]+CIr</f>
        <v>219.79710911469613</v>
      </c>
      <c r="Q9" s="10">
        <f>MAX(Tabella8[[#This Row],[Lombardy fit]]-CIr,0)</f>
        <v>0</v>
      </c>
      <c r="R9" s="10">
        <f>Tabella8[[#This Row],[Italy cumulative]]-Tabella8[[#This Row],[Lombardy]]</f>
        <v>1</v>
      </c>
      <c r="S9" s="10">
        <f>Tabella8[[#This Row],[rest of Italy ]]*NOT(ISBLANK(Tabella8[[#This Row],[rest of Italy ]]))</f>
        <v>1</v>
      </c>
      <c r="T9" s="100">
        <f>Ko*_xlfn.LOGNORM.DIST(Tabella8[[#This Row],[Day]],mu_o,sigma_o,TRUE)</f>
        <v>7.1921604559956059E-9</v>
      </c>
      <c r="U9" s="26">
        <f>Tabella8[[#This Row],[rest of Italy fit]]*NOT(ISBLANK(Tabella8[[#This Row],[rest of Italy ]]))</f>
        <v>7.1921604559956059E-9</v>
      </c>
      <c r="V9" s="10">
        <f>Tabella8[[#This Row],[rest of Italy fit]]+CIo</f>
        <v>138.48571378193313</v>
      </c>
      <c r="W9" s="10">
        <f>MAX(Tabella8[[#This Row],[rest of Italy fit]]-CIo,0)</f>
        <v>0</v>
      </c>
      <c r="X9" s="1"/>
      <c r="Y9" s="27"/>
      <c r="Z9" s="28"/>
      <c r="AN9" s="58"/>
      <c r="AT9" s="94"/>
      <c r="AU9" s="94"/>
      <c r="AW9" s="36"/>
      <c r="AX9" s="36"/>
      <c r="AZ9" s="97"/>
      <c r="BA9" s="97"/>
    </row>
    <row r="10" spans="2:61" x14ac:dyDescent="0.3">
      <c r="B10" s="9">
        <v>43887</v>
      </c>
      <c r="C10" s="4">
        <f t="shared" ref="C10:C73" si="1">C9+1</f>
        <v>3</v>
      </c>
      <c r="D10" s="10">
        <f>'dpc-covid19-ita-andamento-naz'!K4</f>
        <v>12</v>
      </c>
      <c r="E10" s="10">
        <f>Tabella8[[#This Row],[Italy cumulative]]*NOT(ISBLANK(Tabella8[[#This Row],[Italy cumulative]]))</f>
        <v>12</v>
      </c>
      <c r="F10" s="10">
        <f>Tabella8[[#This Row],[Lombardy fit]]+Tabella8[[#This Row],[rest of Italy fit]]</f>
        <v>2.0071207786278826E-5</v>
      </c>
      <c r="G10" s="10">
        <f>Tabella8[[#This Row],[Italy sum of regions]]*NOT(ISBLANK(Tabella8[[#This Row],[Italy cumulative]]))</f>
        <v>2.0071207786278826E-5</v>
      </c>
      <c r="H10" s="98">
        <f>Kt*_xlfn.LOGNORM.DIST(Tabella8[[#This Row],[Day]],mu_t,sigma_t,TRUE)</f>
        <v>7.8596021605024495E-9</v>
      </c>
      <c r="I10" s="10">
        <f>Tabella8[[#This Row],[Italy fit]]*NOT(ISBLANK(Tabella8[[#This Row],[Italy cumulative]]))</f>
        <v>7.8596021605024495E-9</v>
      </c>
      <c r="J10" s="10">
        <f>Tabella8[[#This Row],[Italy sum of regions]]+CI</f>
        <v>320.13305439035753</v>
      </c>
      <c r="K10" s="10">
        <f>MAX(Tabella8[[#This Row],[Italy sum of regions]]-CI,0)</f>
        <v>0</v>
      </c>
      <c r="L10" s="79">
        <f t="shared" si="0"/>
        <v>9</v>
      </c>
      <c r="M10" s="10">
        <f>Tabella8[[#This Row],[Lombardy]]*NOT(ISBLANK(Tabella8[[#This Row],[Lombardy]]))</f>
        <v>9</v>
      </c>
      <c r="N10" s="99">
        <f>Kr*_xlfn.LOGNORM.DIST(Tabella8[[#This Row],[Day]],mu_r,sigma_r,TRUE)</f>
        <v>1.6217695201610483E-5</v>
      </c>
      <c r="O10" s="10">
        <f>Tabella8[[#This Row],[Lombardy fit]]*NOT(ISBLANK(Tabella8[[#This Row],[Lombardy]]))</f>
        <v>1.6217695201610483E-5</v>
      </c>
      <c r="P10" s="10">
        <f>Tabella8[[#This Row],[Lombardy fit]]+CIr</f>
        <v>219.79712530268955</v>
      </c>
      <c r="Q10" s="10">
        <f>MAX(Tabella8[[#This Row],[Lombardy fit]]-CIr,0)</f>
        <v>0</v>
      </c>
      <c r="R10" s="10">
        <f>Tabella8[[#This Row],[Italy cumulative]]-Tabella8[[#This Row],[Lombardy]]</f>
        <v>3</v>
      </c>
      <c r="S10" s="10">
        <f>Tabella8[[#This Row],[rest of Italy ]]*NOT(ISBLANK(Tabella8[[#This Row],[rest of Italy ]]))</f>
        <v>3</v>
      </c>
      <c r="T10" s="100">
        <f>Ko*_xlfn.LOGNORM.DIST(Tabella8[[#This Row],[Day]],mu_o,sigma_o,TRUE)</f>
        <v>3.8535125846683424E-6</v>
      </c>
      <c r="U10" s="26">
        <f>Tabella8[[#This Row],[rest of Italy fit]]*NOT(ISBLANK(Tabella8[[#This Row],[rest of Italy ]]))</f>
        <v>3.8535125846683424E-6</v>
      </c>
      <c r="V10" s="10">
        <f>Tabella8[[#This Row],[rest of Italy fit]]+CIo</f>
        <v>138.48571762825355</v>
      </c>
      <c r="W10" s="10">
        <f>MAX(Tabella8[[#This Row],[rest of Italy fit]]-CIo,0)</f>
        <v>0</v>
      </c>
      <c r="X10" s="1"/>
      <c r="Y10" s="27"/>
      <c r="Z10" s="28"/>
      <c r="AN10" s="58"/>
      <c r="AT10" s="94"/>
      <c r="AU10" s="94"/>
      <c r="AW10" s="36"/>
      <c r="AX10" s="36"/>
      <c r="AZ10" s="97"/>
      <c r="BA10" s="97"/>
    </row>
    <row r="11" spans="2:61" x14ac:dyDescent="0.3">
      <c r="B11" s="9">
        <v>43888</v>
      </c>
      <c r="C11" s="4">
        <f t="shared" si="1"/>
        <v>4</v>
      </c>
      <c r="D11" s="10">
        <f>'dpc-covid19-ita-andamento-naz'!K5</f>
        <v>17</v>
      </c>
      <c r="E11" s="10">
        <f>Tabella8[[#This Row],[Italy cumulative]]*NOT(ISBLANK(Tabella8[[#This Row],[Italy cumulative]]))</f>
        <v>17</v>
      </c>
      <c r="F11" s="10">
        <f>Tabella8[[#This Row],[Lombardy fit]]+Tabella8[[#This Row],[rest of Italy fit]]</f>
        <v>1.0302261088555205E-3</v>
      </c>
      <c r="G11" s="10">
        <f>Tabella8[[#This Row],[Italy sum of regions]]*NOT(ISBLANK(Tabella8[[#This Row],[Italy cumulative]]))</f>
        <v>1.0302261088555205E-3</v>
      </c>
      <c r="H11" s="98">
        <f>Kt*_xlfn.LOGNORM.DIST(Tabella8[[#This Row],[Day]],mu_t,sigma_t,TRUE)</f>
        <v>2.3063039333087973E-6</v>
      </c>
      <c r="I11" s="10">
        <f>Tabella8[[#This Row],[Italy fit]]*NOT(ISBLANK(Tabella8[[#This Row],[Italy cumulative]]))</f>
        <v>2.3063039333087973E-6</v>
      </c>
      <c r="J11" s="10">
        <f>Tabella8[[#This Row],[Italy sum of regions]]+CI</f>
        <v>320.13406454525858</v>
      </c>
      <c r="K11" s="10">
        <f>MAX(Tabella8[[#This Row],[Italy sum of regions]]-CI,0)</f>
        <v>0</v>
      </c>
      <c r="L11" s="79">
        <f t="shared" si="0"/>
        <v>14</v>
      </c>
      <c r="M11" s="10">
        <f>Tabella8[[#This Row],[Lombardy]]*NOT(ISBLANK(Tabella8[[#This Row],[Lombardy]]))</f>
        <v>14</v>
      </c>
      <c r="N11" s="99">
        <f>Kr*_xlfn.LOGNORM.DIST(Tabella8[[#This Row],[Day]],mu_r,sigma_r,TRUE)</f>
        <v>8.2847043199092414E-4</v>
      </c>
      <c r="O11" s="10">
        <f>Tabella8[[#This Row],[Lombardy fit]]*NOT(ISBLANK(Tabella8[[#This Row],[Lombardy]]))</f>
        <v>8.2847043199092414E-4</v>
      </c>
      <c r="P11" s="10">
        <f>Tabella8[[#This Row],[Lombardy fit]]+CIr</f>
        <v>219.79793755542636</v>
      </c>
      <c r="Q11" s="10">
        <f>MAX(Tabella8[[#This Row],[Lombardy fit]]-CIr,0)</f>
        <v>0</v>
      </c>
      <c r="R11" s="10">
        <f>Tabella8[[#This Row],[Italy cumulative]]-Tabella8[[#This Row],[Lombardy]]</f>
        <v>3</v>
      </c>
      <c r="S11" s="10">
        <f>Tabella8[[#This Row],[rest of Italy ]]*NOT(ISBLANK(Tabella8[[#This Row],[rest of Italy ]]))</f>
        <v>3</v>
      </c>
      <c r="T11" s="100">
        <f>Ko*_xlfn.LOGNORM.DIST(Tabella8[[#This Row],[Day]],mu_o,sigma_o,TRUE)</f>
        <v>2.017556768645964E-4</v>
      </c>
      <c r="U11" s="26">
        <f>Tabella8[[#This Row],[rest of Italy fit]]*NOT(ISBLANK(Tabella8[[#This Row],[rest of Italy ]]))</f>
        <v>2.017556768645964E-4</v>
      </c>
      <c r="V11" s="10">
        <f>Tabella8[[#This Row],[rest of Italy fit]]+CIo</f>
        <v>138.48591553041783</v>
      </c>
      <c r="W11" s="10">
        <f>MAX(Tabella8[[#This Row],[rest of Italy fit]]-CIo,0)</f>
        <v>0</v>
      </c>
      <c r="X11" s="1"/>
      <c r="Y11" s="29" t="s">
        <v>1</v>
      </c>
      <c r="Z11" s="30">
        <f>AVERAGE(Tabella8[Italy cumulative])</f>
        <v>9259.3559322033907</v>
      </c>
      <c r="AN11" s="58"/>
      <c r="AT11" s="94"/>
      <c r="AU11" s="94"/>
      <c r="AW11" s="36"/>
      <c r="AX11" s="36"/>
      <c r="AZ11" s="97"/>
      <c r="BA11" s="97"/>
    </row>
    <row r="12" spans="2:61" x14ac:dyDescent="0.3">
      <c r="B12" s="9">
        <v>43889</v>
      </c>
      <c r="C12" s="4">
        <f t="shared" si="1"/>
        <v>5</v>
      </c>
      <c r="D12" s="10">
        <f>'dpc-covid19-ita-andamento-naz'!K6</f>
        <v>21</v>
      </c>
      <c r="E12" s="10">
        <f>Tabella8[[#This Row],[Italy cumulative]]*NOT(ISBLANK(Tabella8[[#This Row],[Italy cumulative]]))</f>
        <v>21</v>
      </c>
      <c r="F12" s="10">
        <f>Tabella8[[#This Row],[Lombardy fit]]+Tabella8[[#This Row],[rest of Italy fit]]</f>
        <v>1.6166148346495931E-2</v>
      </c>
      <c r="G12" s="10">
        <f>Tabella8[[#This Row],[Italy sum of regions]]*NOT(ISBLANK(Tabella8[[#This Row],[Italy cumulative]]))</f>
        <v>1.6166148346495931E-2</v>
      </c>
      <c r="H12" s="98">
        <f>Kt*_xlfn.LOGNORM.DIST(Tabella8[[#This Row],[Day]],mu_t,sigma_t,TRUE)</f>
        <v>1.2027748832253984E-4</v>
      </c>
      <c r="I12" s="10">
        <f>Tabella8[[#This Row],[Italy fit]]*NOT(ISBLANK(Tabella8[[#This Row],[Italy cumulative]]))</f>
        <v>1.2027748832253984E-4</v>
      </c>
      <c r="J12" s="10">
        <f>Tabella8[[#This Row],[Italy sum of regions]]+CI</f>
        <v>320.1492004674962</v>
      </c>
      <c r="K12" s="10">
        <f>MAX(Tabella8[[#This Row],[Italy sum of regions]]-CI,0)</f>
        <v>0</v>
      </c>
      <c r="L12" s="79">
        <f t="shared" si="0"/>
        <v>17</v>
      </c>
      <c r="M12" s="10">
        <f>Tabella8[[#This Row],[Lombardy]]*NOT(ISBLANK(Tabella8[[#This Row],[Lombardy]]))</f>
        <v>17</v>
      </c>
      <c r="N12" s="99">
        <f>Kr*_xlfn.LOGNORM.DIST(Tabella8[[#This Row],[Day]],mu_r,sigma_r,TRUE)</f>
        <v>1.2895991913804881E-2</v>
      </c>
      <c r="O12" s="10">
        <f>Tabella8[[#This Row],[Lombardy fit]]*NOT(ISBLANK(Tabella8[[#This Row],[Lombardy]]))</f>
        <v>1.2895991913804881E-2</v>
      </c>
      <c r="P12" s="10">
        <f>Tabella8[[#This Row],[Lombardy fit]]+CIr</f>
        <v>219.81000507690817</v>
      </c>
      <c r="Q12" s="10">
        <f>MAX(Tabella8[[#This Row],[Lombardy fit]]-CIr,0)</f>
        <v>0</v>
      </c>
      <c r="R12" s="10">
        <f>Tabella8[[#This Row],[Italy cumulative]]-Tabella8[[#This Row],[Lombardy]]</f>
        <v>4</v>
      </c>
      <c r="S12" s="10">
        <f>Tabella8[[#This Row],[rest of Italy ]]*NOT(ISBLANK(Tabella8[[#This Row],[rest of Italy ]]))</f>
        <v>4</v>
      </c>
      <c r="T12" s="100">
        <f>Ko*_xlfn.LOGNORM.DIST(Tabella8[[#This Row],[Day]],mu_o,sigma_o,TRUE)</f>
        <v>3.2701564326910485E-3</v>
      </c>
      <c r="U12" s="26">
        <f>Tabella8[[#This Row],[rest of Italy fit]]*NOT(ISBLANK(Tabella8[[#This Row],[rest of Italy ]]))</f>
        <v>3.2701564326910485E-3</v>
      </c>
      <c r="V12" s="10">
        <f>Tabella8[[#This Row],[rest of Italy fit]]+CIo</f>
        <v>138.48898393117364</v>
      </c>
      <c r="W12" s="10">
        <f>MAX(Tabella8[[#This Row],[rest of Italy fit]]-CIo,0)</f>
        <v>0</v>
      </c>
      <c r="X12" s="1"/>
      <c r="Y12" s="29" t="s">
        <v>2</v>
      </c>
      <c r="Z12" s="30">
        <f>COUNT(Tabella8[Italy cumulative])-COUNT(Z8:Z10)</f>
        <v>59</v>
      </c>
      <c r="AN12" s="58"/>
      <c r="AT12" s="94"/>
      <c r="AU12" s="94"/>
      <c r="AW12" s="36"/>
      <c r="AX12" s="36"/>
      <c r="AZ12" s="97"/>
      <c r="BA12" s="97"/>
    </row>
    <row r="13" spans="2:61" x14ac:dyDescent="0.3">
      <c r="B13" s="9">
        <v>43890</v>
      </c>
      <c r="C13" s="4">
        <f t="shared" si="1"/>
        <v>6</v>
      </c>
      <c r="D13" s="10">
        <f>'dpc-covid19-ita-andamento-naz'!K7</f>
        <v>29</v>
      </c>
      <c r="E13" s="10">
        <f>Tabella8[[#This Row],[Italy cumulative]]*NOT(ISBLANK(Tabella8[[#This Row],[Italy cumulative]]))</f>
        <v>29</v>
      </c>
      <c r="F13" s="10">
        <f>Tabella8[[#This Row],[Lombardy fit]]+Tabella8[[#This Row],[rest of Italy fit]]</f>
        <v>0.12623810839000993</v>
      </c>
      <c r="G13" s="10">
        <f>Tabella8[[#This Row],[Italy sum of regions]]*NOT(ISBLANK(Tabella8[[#This Row],[Italy cumulative]]))</f>
        <v>0.12623810839000993</v>
      </c>
      <c r="H13" s="98">
        <f>Kt*_xlfn.LOGNORM.DIST(Tabella8[[#This Row],[Day]],mu_t,sigma_t,TRUE)</f>
        <v>2.2714672017694511E-3</v>
      </c>
      <c r="I13" s="10">
        <f>Tabella8[[#This Row],[Italy fit]]*NOT(ISBLANK(Tabella8[[#This Row],[Italy cumulative]]))</f>
        <v>2.2714672017694511E-3</v>
      </c>
      <c r="J13" s="10">
        <f>Tabella8[[#This Row],[Italy sum of regions]]+CI</f>
        <v>320.25927242753971</v>
      </c>
      <c r="K13" s="10">
        <f>MAX(Tabella8[[#This Row],[Italy sum of regions]]-CI,0)</f>
        <v>0</v>
      </c>
      <c r="L13" s="79">
        <f t="shared" si="0"/>
        <v>23</v>
      </c>
      <c r="M13" s="10">
        <f>Tabella8[[#This Row],[Lombardy]]*NOT(ISBLANK(Tabella8[[#This Row],[Lombardy]]))</f>
        <v>23</v>
      </c>
      <c r="N13" s="99">
        <f>Kr*_xlfn.LOGNORM.DIST(Tabella8[[#This Row],[Day]],mu_r,sigma_r,TRUE)</f>
        <v>9.9738561521447222E-2</v>
      </c>
      <c r="O13" s="10">
        <f>Tabella8[[#This Row],[Lombardy fit]]*NOT(ISBLANK(Tabella8[[#This Row],[Lombardy]]))</f>
        <v>9.9738561521447222E-2</v>
      </c>
      <c r="P13" s="10">
        <f>Tabella8[[#This Row],[Lombardy fit]]+CIr</f>
        <v>219.89684764651579</v>
      </c>
      <c r="Q13" s="10">
        <f>MAX(Tabella8[[#This Row],[Lombardy fit]]-CIr,0)</f>
        <v>0</v>
      </c>
      <c r="R13" s="10">
        <f>Tabella8[[#This Row],[Italy cumulative]]-Tabella8[[#This Row],[Lombardy]]</f>
        <v>6</v>
      </c>
      <c r="S13" s="10">
        <f>Tabella8[[#This Row],[rest of Italy ]]*NOT(ISBLANK(Tabella8[[#This Row],[rest of Italy ]]))</f>
        <v>6</v>
      </c>
      <c r="T13" s="100">
        <f>Ko*_xlfn.LOGNORM.DIST(Tabella8[[#This Row],[Day]],mu_o,sigma_o,TRUE)</f>
        <v>2.6499546868562714E-2</v>
      </c>
      <c r="U13" s="26">
        <f>Tabella8[[#This Row],[rest of Italy fit]]*NOT(ISBLANK(Tabella8[[#This Row],[rest of Italy ]]))</f>
        <v>2.6499546868562714E-2</v>
      </c>
      <c r="V13" s="10">
        <f>Tabella8[[#This Row],[rest of Italy fit]]+CIo</f>
        <v>138.51221332160952</v>
      </c>
      <c r="W13" s="10">
        <f>MAX(Tabella8[[#This Row],[rest of Italy fit]]-CIo,0)</f>
        <v>0</v>
      </c>
      <c r="X13" s="1"/>
      <c r="Y13" s="29" t="s">
        <v>3</v>
      </c>
      <c r="Z13" s="31" cm="1">
        <f t="array" ref="Z13">SQRT(SUM((Tabella8[Colonna1]-Tabella8[Colonna2])^2)/df)</f>
        <v>159.98689343550691</v>
      </c>
      <c r="AN13" s="58"/>
      <c r="AT13" s="94"/>
      <c r="AU13" s="94"/>
      <c r="AW13" s="36"/>
      <c r="AX13" s="36"/>
      <c r="AZ13" s="97"/>
      <c r="BA13" s="97"/>
    </row>
    <row r="14" spans="2:61" ht="16.2" x14ac:dyDescent="0.3">
      <c r="B14" s="18">
        <v>43891</v>
      </c>
      <c r="C14" s="4">
        <f t="shared" si="1"/>
        <v>7</v>
      </c>
      <c r="D14" s="10">
        <f>'dpc-covid19-ita-andamento-naz'!K8</f>
        <v>34</v>
      </c>
      <c r="E14" s="10">
        <f>Tabella8[[#This Row],[Italy cumulative]]*NOT(ISBLANK(Tabella8[[#This Row],[Italy cumulative]]))</f>
        <v>34</v>
      </c>
      <c r="F14" s="10">
        <f>Tabella8[[#This Row],[Lombardy fit]]+Tabella8[[#This Row],[rest of Italy fit]]</f>
        <v>0.62677989531230527</v>
      </c>
      <c r="G14" s="10">
        <f>Tabella8[[#This Row],[Italy sum of regions]]*NOT(ISBLANK(Tabella8[[#This Row],[Italy cumulative]]))</f>
        <v>0.62677989531230527</v>
      </c>
      <c r="H14" s="98">
        <f>Kt*_xlfn.LOGNORM.DIST(Tabella8[[#This Row],[Day]],mu_t,sigma_t,TRUE)</f>
        <v>2.2211162979490599E-2</v>
      </c>
      <c r="I14" s="10">
        <f>Tabella8[[#This Row],[Italy fit]]*NOT(ISBLANK(Tabella8[[#This Row],[Italy cumulative]]))</f>
        <v>2.2211162979490599E-2</v>
      </c>
      <c r="J14" s="10">
        <f>Tabella8[[#This Row],[Italy sum of regions]]+CI</f>
        <v>320.75981421446204</v>
      </c>
      <c r="K14" s="10">
        <f>MAX(Tabella8[[#This Row],[Italy sum of regions]]-CI,0)</f>
        <v>0</v>
      </c>
      <c r="L14" s="79">
        <f t="shared" si="0"/>
        <v>24</v>
      </c>
      <c r="M14" s="10">
        <f>Tabella8[[#This Row],[Lombardy]]*NOT(ISBLANK(Tabella8[[#This Row],[Lombardy]]))</f>
        <v>24</v>
      </c>
      <c r="N14" s="99">
        <f>Kr*_xlfn.LOGNORM.DIST(Tabella8[[#This Row],[Day]],mu_r,sigma_r,TRUE)</f>
        <v>0.49006299816223559</v>
      </c>
      <c r="O14" s="10">
        <f>Tabella8[[#This Row],[Lombardy fit]]*NOT(ISBLANK(Tabella8[[#This Row],[Lombardy]]))</f>
        <v>0.49006299816223559</v>
      </c>
      <c r="P14" s="10">
        <f>Tabella8[[#This Row],[Lombardy fit]]+CIr</f>
        <v>220.28717208315661</v>
      </c>
      <c r="Q14" s="10">
        <f>MAX(Tabella8[[#This Row],[Lombardy fit]]-CIr,0)</f>
        <v>0</v>
      </c>
      <c r="R14" s="10">
        <f>Tabella8[[#This Row],[Italy cumulative]]-Tabella8[[#This Row],[Lombardy]]</f>
        <v>10</v>
      </c>
      <c r="S14" s="10">
        <f>Tabella8[[#This Row],[rest of Italy ]]*NOT(ISBLANK(Tabella8[[#This Row],[rest of Italy ]]))</f>
        <v>10</v>
      </c>
      <c r="T14" s="100">
        <f>Ko*_xlfn.LOGNORM.DIST(Tabella8[[#This Row],[Day]],mu_o,sigma_o,TRUE)</f>
        <v>0.13671689715006971</v>
      </c>
      <c r="U14" s="26">
        <f>Tabella8[[#This Row],[rest of Italy fit]]*NOT(ISBLANK(Tabella8[[#This Row],[rest of Italy ]]))</f>
        <v>0.13671689715006971</v>
      </c>
      <c r="V14" s="10">
        <f>Tabella8[[#This Row],[rest of Italy fit]]+CIo</f>
        <v>138.62243067189104</v>
      </c>
      <c r="W14" s="10">
        <f>MAX(Tabella8[[#This Row],[rest of Italy fit]]-CIo,0)</f>
        <v>0</v>
      </c>
      <c r="X14" s="1"/>
      <c r="Y14" s="29" t="s">
        <v>122</v>
      </c>
      <c r="Z14" s="32" cm="1">
        <f t="array" ref="Z14">1-SUM((Tabella8[Colonna1]-Tabella8[Colonna2])^2)/SUM((Tabella8[Colonna1]-Mean_of_y)^2)</f>
        <v>0.99984906754656033</v>
      </c>
      <c r="AN14" s="58"/>
      <c r="AT14" s="94"/>
      <c r="AU14" s="94"/>
      <c r="AW14" s="36"/>
      <c r="AX14" s="36"/>
      <c r="AZ14" s="97"/>
      <c r="BA14" s="97"/>
    </row>
    <row r="15" spans="2:61" x14ac:dyDescent="0.3">
      <c r="B15" s="9">
        <v>43892</v>
      </c>
      <c r="C15" s="4">
        <f t="shared" si="1"/>
        <v>8</v>
      </c>
      <c r="D15" s="10">
        <f>'dpc-covid19-ita-andamento-naz'!K9</f>
        <v>52</v>
      </c>
      <c r="E15" s="10">
        <f>Tabella8[[#This Row],[Italy cumulative]]*NOT(ISBLANK(Tabella8[[#This Row],[Italy cumulative]]))</f>
        <v>52</v>
      </c>
      <c r="F15" s="10">
        <f>Tabella8[[#This Row],[Lombardy fit]]+Tabella8[[#This Row],[rest of Italy fit]]</f>
        <v>2.2739556601138009</v>
      </c>
      <c r="G15" s="10">
        <f>Tabella8[[#This Row],[Italy sum of regions]]*NOT(ISBLANK(Tabella8[[#This Row],[Italy cumulative]]))</f>
        <v>2.2739556601138009</v>
      </c>
      <c r="H15" s="98">
        <f>Kt*_xlfn.LOGNORM.DIST(Tabella8[[#This Row],[Day]],mu_t,sigma_t,TRUE)</f>
        <v>0.13772771402073292</v>
      </c>
      <c r="I15" s="10">
        <f>Tabella8[[#This Row],[Italy fit]]*NOT(ISBLANK(Tabella8[[#This Row],[Italy cumulative]]))</f>
        <v>0.13772771402073292</v>
      </c>
      <c r="J15" s="10">
        <f>Tabella8[[#This Row],[Italy sum of regions]]+CI</f>
        <v>322.40698997926353</v>
      </c>
      <c r="K15" s="10">
        <f>MAX(Tabella8[[#This Row],[Italy sum of regions]]-CI,0)</f>
        <v>0</v>
      </c>
      <c r="L15" s="79">
        <f t="shared" si="0"/>
        <v>38</v>
      </c>
      <c r="M15" s="10">
        <f>Tabella8[[#This Row],[Lombardy]]*NOT(ISBLANK(Tabella8[[#This Row],[Lombardy]]))</f>
        <v>38</v>
      </c>
      <c r="N15" s="99">
        <f>Kr*_xlfn.LOGNORM.DIST(Tabella8[[#This Row],[Day]],mu_r,sigma_r,TRUE)</f>
        <v>1.7586605481015192</v>
      </c>
      <c r="O15" s="10">
        <f>Tabella8[[#This Row],[Lombardy fit]]*NOT(ISBLANK(Tabella8[[#This Row],[Lombardy]]))</f>
        <v>1.7586605481015192</v>
      </c>
      <c r="P15" s="10">
        <f>Tabella8[[#This Row],[Lombardy fit]]+CIr</f>
        <v>221.55576963309588</v>
      </c>
      <c r="Q15" s="10">
        <f>MAX(Tabella8[[#This Row],[Lombardy fit]]-CIr,0)</f>
        <v>0</v>
      </c>
      <c r="R15" s="10">
        <f>Tabella8[[#This Row],[Italy cumulative]]-Tabella8[[#This Row],[Lombardy]]</f>
        <v>14</v>
      </c>
      <c r="S15" s="10">
        <f>Tabella8[[#This Row],[rest of Italy ]]*NOT(ISBLANK(Tabella8[[#This Row],[rest of Italy ]]))</f>
        <v>14</v>
      </c>
      <c r="T15" s="100">
        <f>Ko*_xlfn.LOGNORM.DIST(Tabella8[[#This Row],[Day]],mu_o,sigma_o,TRUE)</f>
        <v>0.51529511201228195</v>
      </c>
      <c r="U15" s="26">
        <f>Tabella8[[#This Row],[rest of Italy fit]]*NOT(ISBLANK(Tabella8[[#This Row],[rest of Italy ]]))</f>
        <v>0.51529511201228195</v>
      </c>
      <c r="V15" s="10">
        <f>Tabella8[[#This Row],[rest of Italy fit]]+CIo</f>
        <v>139.00100888675323</v>
      </c>
      <c r="W15" s="10">
        <f>MAX(Tabella8[[#This Row],[rest of Italy fit]]-CIo,0)</f>
        <v>0</v>
      </c>
      <c r="X15" s="1"/>
      <c r="Y15" s="29" t="s">
        <v>5</v>
      </c>
      <c r="Z15" s="32">
        <f>TINV(0.05,df)</f>
        <v>2.0009953780882688</v>
      </c>
      <c r="AN15" s="58"/>
      <c r="AT15" s="94"/>
      <c r="AU15" s="94"/>
      <c r="AW15" s="36"/>
      <c r="AX15" s="36"/>
      <c r="AZ15" s="97"/>
      <c r="BA15" s="97"/>
    </row>
    <row r="16" spans="2:61" x14ac:dyDescent="0.3">
      <c r="B16" s="9">
        <v>43893</v>
      </c>
      <c r="C16" s="4">
        <f t="shared" si="1"/>
        <v>9</v>
      </c>
      <c r="D16" s="10">
        <f>'dpc-covid19-ita-andamento-naz'!K10</f>
        <v>79</v>
      </c>
      <c r="E16" s="10">
        <f>Tabella8[[#This Row],[Italy cumulative]]*NOT(ISBLANK(Tabella8[[#This Row],[Italy cumulative]]))</f>
        <v>79</v>
      </c>
      <c r="F16" s="10">
        <f>Tabella8[[#This Row],[Lombardy fit]]+Tabella8[[#This Row],[rest of Italy fit]]</f>
        <v>6.5681925480813312</v>
      </c>
      <c r="G16" s="10">
        <f>Tabella8[[#This Row],[Italy sum of regions]]*NOT(ISBLANK(Tabella8[[#This Row],[Italy cumulative]]))</f>
        <v>6.5681925480813312</v>
      </c>
      <c r="H16" s="98">
        <f>Kt*_xlfn.LOGNORM.DIST(Tabella8[[#This Row],[Day]],mu_t,sigma_t,TRUE)</f>
        <v>0.61364003481157581</v>
      </c>
      <c r="I16" s="10">
        <f>Tabella8[[#This Row],[Italy fit]]*NOT(ISBLANK(Tabella8[[#This Row],[Italy cumulative]]))</f>
        <v>0.61364003481157581</v>
      </c>
      <c r="J16" s="10">
        <f>Tabella8[[#This Row],[Italy sum of regions]]+CI</f>
        <v>326.70122686723107</v>
      </c>
      <c r="K16" s="10">
        <f>MAX(Tabella8[[#This Row],[Italy sum of regions]]-CI,0)</f>
        <v>0</v>
      </c>
      <c r="L16" s="79">
        <f t="shared" si="0"/>
        <v>55</v>
      </c>
      <c r="M16" s="10">
        <f>Tabella8[[#This Row],[Lombardy]]*NOT(ISBLANK(Tabella8[[#This Row],[Lombardy]]))</f>
        <v>55</v>
      </c>
      <c r="N16" s="99">
        <f>Kr*_xlfn.LOGNORM.DIST(Tabella8[[#This Row],[Day]],mu_r,sigma_r,TRUE)</f>
        <v>5.0233830678144296</v>
      </c>
      <c r="O16" s="10">
        <f>Tabella8[[#This Row],[Lombardy fit]]*NOT(ISBLANK(Tabella8[[#This Row],[Lombardy]]))</f>
        <v>5.0233830678144296</v>
      </c>
      <c r="P16" s="10">
        <f>Tabella8[[#This Row],[Lombardy fit]]+CIr</f>
        <v>224.82049215280878</v>
      </c>
      <c r="Q16" s="10">
        <f>MAX(Tabella8[[#This Row],[Lombardy fit]]-CIr,0)</f>
        <v>0</v>
      </c>
      <c r="R16" s="10">
        <f>Tabella8[[#This Row],[Italy cumulative]]-Tabella8[[#This Row],[Lombardy]]</f>
        <v>24</v>
      </c>
      <c r="S16" s="10">
        <f>Tabella8[[#This Row],[rest of Italy ]]*NOT(ISBLANK(Tabella8[[#This Row],[rest of Italy ]]))</f>
        <v>24</v>
      </c>
      <c r="T16" s="100">
        <f>Ko*_xlfn.LOGNORM.DIST(Tabella8[[#This Row],[Day]],mu_o,sigma_o,TRUE)</f>
        <v>1.5448094802669017</v>
      </c>
      <c r="U16" s="26">
        <f>Tabella8[[#This Row],[rest of Italy fit]]*NOT(ISBLANK(Tabella8[[#This Row],[rest of Italy ]]))</f>
        <v>1.5448094802669017</v>
      </c>
      <c r="V16" s="10">
        <f>Tabella8[[#This Row],[rest of Italy fit]]+CIo</f>
        <v>140.03052325500786</v>
      </c>
      <c r="W16" s="10">
        <f>MAX(Tabella8[[#This Row],[rest of Italy fit]]-CIo,0)</f>
        <v>0</v>
      </c>
      <c r="X16" s="1"/>
      <c r="Y16" s="29" t="s">
        <v>6</v>
      </c>
      <c r="Z16" s="30">
        <f>Critical_t*SE_of_y</f>
        <v>320.13303431914971</v>
      </c>
      <c r="AN16" s="58"/>
      <c r="AT16" s="94"/>
      <c r="AU16" s="94"/>
      <c r="AW16" s="36"/>
      <c r="AX16" s="36"/>
      <c r="AZ16" s="97"/>
      <c r="BA16" s="97"/>
    </row>
    <row r="17" spans="2:53" ht="15" thickBot="1" x14ac:dyDescent="0.35">
      <c r="B17" s="9">
        <v>43894</v>
      </c>
      <c r="C17" s="4">
        <f t="shared" si="1"/>
        <v>10</v>
      </c>
      <c r="D17" s="10">
        <f>'dpc-covid19-ita-andamento-naz'!K11</f>
        <v>107</v>
      </c>
      <c r="E17" s="10">
        <f>Tabella8[[#This Row],[Italy cumulative]]*NOT(ISBLANK(Tabella8[[#This Row],[Italy cumulative]]))</f>
        <v>107</v>
      </c>
      <c r="F17" s="10">
        <f>Tabella8[[#This Row],[Lombardy fit]]+Tabella8[[#This Row],[rest of Italy fit]]</f>
        <v>15.978410844137995</v>
      </c>
      <c r="G17" s="10">
        <f>Tabella8[[#This Row],[Italy sum of regions]]*NOT(ISBLANK(Tabella8[[#This Row],[Italy cumulative]]))</f>
        <v>15.978410844137995</v>
      </c>
      <c r="H17" s="98">
        <f>Kt*_xlfn.LOGNORM.DIST(Tabella8[[#This Row],[Day]],mu_t,sigma_t,TRUE)</f>
        <v>2.1320480484178956</v>
      </c>
      <c r="I17" s="10">
        <f>Tabella8[[#This Row],[Italy fit]]*NOT(ISBLANK(Tabella8[[#This Row],[Italy cumulative]]))</f>
        <v>2.1320480484178956</v>
      </c>
      <c r="J17" s="10">
        <f>Tabella8[[#This Row],[Italy sum of regions]]+CI</f>
        <v>336.11144516328773</v>
      </c>
      <c r="K17" s="10">
        <f>MAX(Tabella8[[#This Row],[Italy sum of regions]]-CI,0)</f>
        <v>0</v>
      </c>
      <c r="L17" s="79">
        <f t="shared" si="0"/>
        <v>73</v>
      </c>
      <c r="M17" s="10">
        <f>Tabella8[[#This Row],[Lombardy]]*NOT(ISBLANK(Tabella8[[#This Row],[Lombardy]]))</f>
        <v>73</v>
      </c>
      <c r="N17" s="99">
        <f>Kr*_xlfn.LOGNORM.DIST(Tabella8[[#This Row],[Day]],mu_r,sigma_r,TRUE)</f>
        <v>12.082996983046794</v>
      </c>
      <c r="O17" s="10">
        <f>Tabella8[[#This Row],[Lombardy fit]]*NOT(ISBLANK(Tabella8[[#This Row],[Lombardy]]))</f>
        <v>12.082996983046794</v>
      </c>
      <c r="P17" s="10">
        <f>Tabella8[[#This Row],[Lombardy fit]]+CIr</f>
        <v>231.88010606804116</v>
      </c>
      <c r="Q17" s="10">
        <f>MAX(Tabella8[[#This Row],[Lombardy fit]]-CIr,0)</f>
        <v>0</v>
      </c>
      <c r="R17" s="10">
        <f>Tabella8[[#This Row],[Italy cumulative]]-Tabella8[[#This Row],[Lombardy]]</f>
        <v>34</v>
      </c>
      <c r="S17" s="10">
        <f>Tabella8[[#This Row],[rest of Italy ]]*NOT(ISBLANK(Tabella8[[#This Row],[rest of Italy ]]))</f>
        <v>34</v>
      </c>
      <c r="T17" s="100">
        <f>Ko*_xlfn.LOGNORM.DIST(Tabella8[[#This Row],[Day]],mu_o,sigma_o,TRUE)</f>
        <v>3.8954138610912019</v>
      </c>
      <c r="U17" s="26">
        <f>Tabella8[[#This Row],[rest of Italy fit]]*NOT(ISBLANK(Tabella8[[#This Row],[rest of Italy ]]))</f>
        <v>3.8954138610912019</v>
      </c>
      <c r="V17" s="10">
        <f>Tabella8[[#This Row],[rest of Italy fit]]+CIo</f>
        <v>142.38112763583217</v>
      </c>
      <c r="W17" s="10">
        <f>MAX(Tabella8[[#This Row],[rest of Italy fit]]-CIo,0)</f>
        <v>0</v>
      </c>
      <c r="X17" s="1"/>
      <c r="Y17" s="29" t="s">
        <v>131</v>
      </c>
      <c r="Z17" s="30">
        <f>Kr+Ko</f>
        <v>32513.960015901815</v>
      </c>
      <c r="AN17" s="74"/>
      <c r="AT17" s="94"/>
      <c r="AU17" s="94"/>
      <c r="AW17" s="36"/>
      <c r="AX17" s="36"/>
      <c r="AZ17" s="97"/>
      <c r="BA17" s="97"/>
    </row>
    <row r="18" spans="2:53" x14ac:dyDescent="0.3">
      <c r="B18" s="18">
        <v>43895</v>
      </c>
      <c r="C18" s="4">
        <f t="shared" si="1"/>
        <v>11</v>
      </c>
      <c r="D18" s="10">
        <f>'dpc-covid19-ita-andamento-naz'!K12</f>
        <v>148</v>
      </c>
      <c r="E18" s="10">
        <f>Tabella8[[#This Row],[Italy cumulative]]*NOT(ISBLANK(Tabella8[[#This Row],[Italy cumulative]]))</f>
        <v>148</v>
      </c>
      <c r="F18" s="10">
        <f>Tabella8[[#This Row],[Lombardy fit]]+Tabella8[[#This Row],[rest of Italy fit]]</f>
        <v>34.02757240234429</v>
      </c>
      <c r="G18" s="10">
        <f>Tabella8[[#This Row],[Italy sum of regions]]*NOT(ISBLANK(Tabella8[[#This Row],[Italy cumulative]]))</f>
        <v>34.02757240234429</v>
      </c>
      <c r="H18" s="98">
        <f>Kt*_xlfn.LOGNORM.DIST(Tabella8[[#This Row],[Day]],mu_t,sigma_t,TRUE)</f>
        <v>6.1105988386481052</v>
      </c>
      <c r="I18" s="10">
        <f>Tabella8[[#This Row],[Italy fit]]*NOT(ISBLANK(Tabella8[[#This Row],[Italy cumulative]]))</f>
        <v>6.1105988386481052</v>
      </c>
      <c r="J18" s="10">
        <f>Tabella8[[#This Row],[Italy sum of regions]]+CI</f>
        <v>354.16060672149399</v>
      </c>
      <c r="K18" s="10">
        <f>MAX(Tabella8[[#This Row],[Italy sum of regions]]-CI,0)</f>
        <v>0</v>
      </c>
      <c r="L18" s="79">
        <f t="shared" si="0"/>
        <v>98</v>
      </c>
      <c r="M18" s="10">
        <f>Tabella8[[#This Row],[Lombardy]]*NOT(ISBLANK(Tabella8[[#This Row],[Lombardy]]))</f>
        <v>98</v>
      </c>
      <c r="N18" s="99">
        <f>Kr*_xlfn.LOGNORM.DIST(Tabella8[[#This Row],[Day]],mu_r,sigma_r,TRUE)</f>
        <v>25.441162838426159</v>
      </c>
      <c r="O18" s="10">
        <f>Tabella8[[#This Row],[Lombardy fit]]*NOT(ISBLANK(Tabella8[[#This Row],[Lombardy]]))</f>
        <v>25.441162838426159</v>
      </c>
      <c r="P18" s="10">
        <f>Tabella8[[#This Row],[Lombardy fit]]+CIr</f>
        <v>245.23827192342051</v>
      </c>
      <c r="Q18" s="10">
        <f>MAX(Tabella8[[#This Row],[Lombardy fit]]-CIr,0)</f>
        <v>0</v>
      </c>
      <c r="R18" s="10">
        <f>Tabella8[[#This Row],[Italy cumulative]]-Tabella8[[#This Row],[Lombardy]]</f>
        <v>50</v>
      </c>
      <c r="S18" s="10">
        <f>Tabella8[[#This Row],[rest of Italy ]]*NOT(ISBLANK(Tabella8[[#This Row],[rest of Italy ]]))</f>
        <v>50</v>
      </c>
      <c r="T18" s="100">
        <f>Ko*_xlfn.LOGNORM.DIST(Tabella8[[#This Row],[Day]],mu_o,sigma_o,TRUE)</f>
        <v>8.5864095639181297</v>
      </c>
      <c r="U18" s="26">
        <f>Tabella8[[#This Row],[rest of Italy fit]]*NOT(ISBLANK(Tabella8[[#This Row],[rest of Italy ]]))</f>
        <v>8.5864095639181297</v>
      </c>
      <c r="V18" s="10">
        <f>Tabella8[[#This Row],[rest of Italy fit]]+CIo</f>
        <v>147.07212333865908</v>
      </c>
      <c r="W18" s="10">
        <f>MAX(Tabella8[[#This Row],[rest of Italy fit]]-CIo,0)</f>
        <v>0</v>
      </c>
      <c r="X18" s="1"/>
      <c r="Y18" s="33" t="s">
        <v>78</v>
      </c>
      <c r="Z18" s="2" t="s">
        <v>118</v>
      </c>
      <c r="AN18" s="46">
        <f>MAX($Z$25)</f>
        <v>0.99976854763043033</v>
      </c>
      <c r="AT18" s="94"/>
      <c r="AU18" s="94"/>
      <c r="AW18" s="36"/>
      <c r="AX18" s="36"/>
      <c r="AZ18" s="97"/>
      <c r="BA18" s="97"/>
    </row>
    <row r="19" spans="2:53" x14ac:dyDescent="0.3">
      <c r="B19" s="9">
        <v>43896</v>
      </c>
      <c r="C19" s="4">
        <f t="shared" si="1"/>
        <v>12</v>
      </c>
      <c r="D19" s="10">
        <f>'dpc-covid19-ita-andamento-naz'!K13</f>
        <v>197</v>
      </c>
      <c r="E19" s="10">
        <f>Tabella8[[#This Row],[Italy cumulative]]*NOT(ISBLANK(Tabella8[[#This Row],[Italy cumulative]]))</f>
        <v>197</v>
      </c>
      <c r="F19" s="10">
        <f>Tabella8[[#This Row],[Lombardy fit]]+Tabella8[[#This Row],[rest of Italy fit]]</f>
        <v>65.209456179010232</v>
      </c>
      <c r="G19" s="10">
        <f>Tabella8[[#This Row],[Italy sum of regions]]*NOT(ISBLANK(Tabella8[[#This Row],[Italy cumulative]]))</f>
        <v>65.209456179010232</v>
      </c>
      <c r="H19" s="98">
        <f>Kt*_xlfn.LOGNORM.DIST(Tabella8[[#This Row],[Day]],mu_t,sigma_t,TRUE)</f>
        <v>15.037516169387148</v>
      </c>
      <c r="I19" s="10">
        <f>Tabella8[[#This Row],[Italy fit]]*NOT(ISBLANK(Tabella8[[#This Row],[Italy cumulative]]))</f>
        <v>15.037516169387148</v>
      </c>
      <c r="J19" s="10">
        <f>Tabella8[[#This Row],[Italy sum of regions]]+CI</f>
        <v>385.34249049815992</v>
      </c>
      <c r="K19" s="10">
        <f>MAX(Tabella8[[#This Row],[Italy sum of regions]]-CI,0)</f>
        <v>0</v>
      </c>
      <c r="L19" s="79">
        <f t="shared" si="0"/>
        <v>135</v>
      </c>
      <c r="M19" s="10">
        <f>Tabella8[[#This Row],[Lombardy]]*NOT(ISBLANK(Tabella8[[#This Row],[Lombardy]]))</f>
        <v>135</v>
      </c>
      <c r="N19" s="99">
        <f>Kr*_xlfn.LOGNORM.DIST(Tabella8[[#This Row],[Day]],mu_r,sigma_r,TRUE)</f>
        <v>48.203510219797678</v>
      </c>
      <c r="O19" s="10">
        <f>Tabella8[[#This Row],[Lombardy fit]]*NOT(ISBLANK(Tabella8[[#This Row],[Lombardy]]))</f>
        <v>48.203510219797678</v>
      </c>
      <c r="P19" s="10">
        <f>Tabella8[[#This Row],[Lombardy fit]]+CIr</f>
        <v>268.00061930479205</v>
      </c>
      <c r="Q19" s="10">
        <f>MAX(Tabella8[[#This Row],[Lombardy fit]]-CIr,0)</f>
        <v>0</v>
      </c>
      <c r="R19" s="10">
        <f>Tabella8[[#This Row],[Italy cumulative]]-Tabella8[[#This Row],[Lombardy]]</f>
        <v>62</v>
      </c>
      <c r="S19" s="10">
        <f>Tabella8[[#This Row],[rest of Italy ]]*NOT(ISBLANK(Tabella8[[#This Row],[rest of Italy ]]))</f>
        <v>62</v>
      </c>
      <c r="T19" s="100">
        <f>Ko*_xlfn.LOGNORM.DIST(Tabella8[[#This Row],[Day]],mu_o,sigma_o,TRUE)</f>
        <v>17.005945959212557</v>
      </c>
      <c r="U19" s="26">
        <f>Tabella8[[#This Row],[rest of Italy fit]]*NOT(ISBLANK(Tabella8[[#This Row],[rest of Italy ]]))</f>
        <v>17.005945959212557</v>
      </c>
      <c r="V19" s="10">
        <f>Tabella8[[#This Row],[rest of Italy fit]]+CIo</f>
        <v>155.49165973395353</v>
      </c>
      <c r="W19" s="10">
        <f>MAX(Tabella8[[#This Row],[rest of Italy fit]]-CIo,0)</f>
        <v>0</v>
      </c>
      <c r="X19" s="1"/>
      <c r="Y19" s="17" t="s">
        <v>0</v>
      </c>
      <c r="Z19" s="5">
        <v>14999.999976124256</v>
      </c>
      <c r="AN19" s="47">
        <f>COUNT($Z$19,$Z$20,$Z$21)</f>
        <v>3</v>
      </c>
      <c r="AT19" s="94"/>
      <c r="AU19" s="94"/>
      <c r="AW19" s="36"/>
      <c r="AX19" s="36"/>
      <c r="AZ19" s="97"/>
      <c r="BA19" s="97"/>
    </row>
    <row r="20" spans="2:53" x14ac:dyDescent="0.3">
      <c r="B20" s="9">
        <v>43897</v>
      </c>
      <c r="C20" s="4">
        <f t="shared" si="1"/>
        <v>13</v>
      </c>
      <c r="D20" s="10">
        <f>'dpc-covid19-ita-andamento-naz'!K14</f>
        <v>233</v>
      </c>
      <c r="E20" s="10">
        <f>Tabella8[[#This Row],[Italy cumulative]]*NOT(ISBLANK(Tabella8[[#This Row],[Italy cumulative]]))</f>
        <v>233</v>
      </c>
      <c r="F20" s="10">
        <f>Tabella8[[#This Row],[Lombardy fit]]+Tabella8[[#This Row],[rest of Italy fit]]</f>
        <v>114.75572462182677</v>
      </c>
      <c r="G20" s="10">
        <f>Tabella8[[#This Row],[Italy sum of regions]]*NOT(ISBLANK(Tabella8[[#This Row],[Italy cumulative]]))</f>
        <v>114.75572462182677</v>
      </c>
      <c r="H20" s="98">
        <f>Kt*_xlfn.LOGNORM.DIST(Tabella8[[#This Row],[Day]],mu_t,sigma_t,TRUE)</f>
        <v>32.723583839783821</v>
      </c>
      <c r="I20" s="10">
        <f>Tabella8[[#This Row],[Italy fit]]*NOT(ISBLANK(Tabella8[[#This Row],[Italy cumulative]]))</f>
        <v>32.723583839783821</v>
      </c>
      <c r="J20" s="10">
        <f>Tabella8[[#This Row],[Italy sum of regions]]+CI</f>
        <v>434.88875894097646</v>
      </c>
      <c r="K20" s="10">
        <f>MAX(Tabella8[[#This Row],[Italy sum of regions]]-CI,0)</f>
        <v>0</v>
      </c>
      <c r="L20" s="79">
        <f t="shared" si="0"/>
        <v>154</v>
      </c>
      <c r="M20" s="10">
        <f>Tabella8[[#This Row],[Lombardy]]*NOT(ISBLANK(Tabella8[[#This Row],[Lombardy]]))</f>
        <v>154</v>
      </c>
      <c r="N20" s="99">
        <f>Kr*_xlfn.LOGNORM.DIST(Tabella8[[#This Row],[Day]],mu_r,sigma_r,TRUE)</f>
        <v>83.872181073891952</v>
      </c>
      <c r="O20" s="10">
        <f>Tabella8[[#This Row],[Lombardy fit]]*NOT(ISBLANK(Tabella8[[#This Row],[Lombardy]]))</f>
        <v>83.872181073891952</v>
      </c>
      <c r="P20" s="10">
        <f>Tabella8[[#This Row],[Lombardy fit]]+CIr</f>
        <v>303.66929015888633</v>
      </c>
      <c r="Q20" s="10">
        <f>MAX(Tabella8[[#This Row],[Lombardy fit]]-CIr,0)</f>
        <v>0</v>
      </c>
      <c r="R20" s="10">
        <f>Tabella8[[#This Row],[Italy cumulative]]-Tabella8[[#This Row],[Lombardy]]</f>
        <v>79</v>
      </c>
      <c r="S20" s="10">
        <f>Tabella8[[#This Row],[rest of Italy ]]*NOT(ISBLANK(Tabella8[[#This Row],[rest of Italy ]]))</f>
        <v>79</v>
      </c>
      <c r="T20" s="100">
        <f>Ko*_xlfn.LOGNORM.DIST(Tabella8[[#This Row],[Day]],mu_o,sigma_o,TRUE)</f>
        <v>30.883543547934824</v>
      </c>
      <c r="U20" s="26">
        <f>Tabella8[[#This Row],[rest of Italy fit]]*NOT(ISBLANK(Tabella8[[#This Row],[rest of Italy ]]))</f>
        <v>30.883543547934824</v>
      </c>
      <c r="V20" s="10">
        <f>Tabella8[[#This Row],[rest of Italy fit]]+CIo</f>
        <v>169.36925732267579</v>
      </c>
      <c r="W20" s="10">
        <f>MAX(Tabella8[[#This Row],[rest of Italy fit]]-CIo,0)</f>
        <v>0</v>
      </c>
      <c r="X20" s="1"/>
      <c r="Y20" s="117" t="s">
        <v>308</v>
      </c>
      <c r="Z20" s="34">
        <v>3.6437753262391341</v>
      </c>
      <c r="AN20" s="47">
        <f>{32767;32767;0.000001;0.01;FALSE;FALSE;FALSE;1;2;1;0.0001;TRUE}</f>
        <v>32767</v>
      </c>
      <c r="AT20" s="94"/>
      <c r="AU20" s="94"/>
      <c r="AW20" s="36"/>
      <c r="AX20" s="36"/>
      <c r="AZ20" s="97"/>
      <c r="BA20" s="97"/>
    </row>
    <row r="21" spans="2:53" x14ac:dyDescent="0.3">
      <c r="B21" s="18">
        <v>43898</v>
      </c>
      <c r="C21" s="4">
        <f t="shared" si="1"/>
        <v>14</v>
      </c>
      <c r="D21" s="10">
        <f>'dpc-covid19-ita-andamento-naz'!K15</f>
        <v>366</v>
      </c>
      <c r="E21" s="10">
        <f>Tabella8[[#This Row],[Italy cumulative]]*NOT(ISBLANK(Tabella8[[#This Row],[Italy cumulative]]))</f>
        <v>366</v>
      </c>
      <c r="F21" s="10">
        <f>Tabella8[[#This Row],[Lombardy fit]]+Tabella8[[#This Row],[rest of Italy fit]]</f>
        <v>188.30328464344069</v>
      </c>
      <c r="G21" s="10">
        <f>Tabella8[[#This Row],[Italy sum of regions]]*NOT(ISBLANK(Tabella8[[#This Row],[Italy cumulative]]))</f>
        <v>188.30328464344069</v>
      </c>
      <c r="H21" s="98">
        <f>Kt*_xlfn.LOGNORM.DIST(Tabella8[[#This Row],[Day]],mu_t,sigma_t,TRUE)</f>
        <v>64.383304984168021</v>
      </c>
      <c r="I21" s="10">
        <f>Tabella8[[#This Row],[Italy fit]]*NOT(ISBLANK(Tabella8[[#This Row],[Italy cumulative]]))</f>
        <v>64.383304984168021</v>
      </c>
      <c r="J21" s="10">
        <f>Tabella8[[#This Row],[Italy sum of regions]]+CI</f>
        <v>508.43631896259041</v>
      </c>
      <c r="K21" s="10">
        <f>MAX(Tabella8[[#This Row],[Italy sum of regions]]-CI,0)</f>
        <v>0</v>
      </c>
      <c r="L21" s="79">
        <f t="shared" si="0"/>
        <v>267</v>
      </c>
      <c r="M21" s="10">
        <f>Tabella8[[#This Row],[Lombardy]]*NOT(ISBLANK(Tabella8[[#This Row],[Lombardy]]))</f>
        <v>267</v>
      </c>
      <c r="N21" s="99">
        <f>Kr*_xlfn.LOGNORM.DIST(Tabella8[[#This Row],[Day]],mu_r,sigma_r,TRUE)</f>
        <v>136.08249590093126</v>
      </c>
      <c r="O21" s="10">
        <f>Tabella8[[#This Row],[Lombardy fit]]*NOT(ISBLANK(Tabella8[[#This Row],[Lombardy]]))</f>
        <v>136.08249590093126</v>
      </c>
      <c r="P21" s="10">
        <f>Tabella8[[#This Row],[Lombardy fit]]+CIr</f>
        <v>355.87960498592565</v>
      </c>
      <c r="Q21" s="10">
        <f>MAX(Tabella8[[#This Row],[Lombardy fit]]-CIr,0)</f>
        <v>0</v>
      </c>
      <c r="R21" s="10">
        <f>Tabella8[[#This Row],[Italy cumulative]]-Tabella8[[#This Row],[Lombardy]]</f>
        <v>99</v>
      </c>
      <c r="S21" s="10">
        <f>Tabella8[[#This Row],[rest of Italy ]]*NOT(ISBLANK(Tabella8[[#This Row],[rest of Italy ]]))</f>
        <v>99</v>
      </c>
      <c r="T21" s="100">
        <f>Ko*_xlfn.LOGNORM.DIST(Tabella8[[#This Row],[Day]],mu_o,sigma_o,TRUE)</f>
        <v>52.220788742509427</v>
      </c>
      <c r="U21" s="26">
        <f>Tabella8[[#This Row],[rest of Italy fit]]*NOT(ISBLANK(Tabella8[[#This Row],[rest of Italy ]]))</f>
        <v>52.220788742509427</v>
      </c>
      <c r="V21" s="10">
        <f>Tabella8[[#This Row],[rest of Italy fit]]+CIo</f>
        <v>190.70650251725039</v>
      </c>
      <c r="W21" s="10">
        <f>MAX(Tabella8[[#This Row],[rest of Italy fit]]-CIo,0)</f>
        <v>0</v>
      </c>
      <c r="X21" s="1"/>
      <c r="Y21" s="17" t="s">
        <v>309</v>
      </c>
      <c r="Z21" s="34">
        <v>0.42524875276905943</v>
      </c>
      <c r="AN21" s="47">
        <f>{0;0;1;100;0;FALSE;FALSE;0.075;0;0;FALSE;30}</f>
        <v>0</v>
      </c>
      <c r="AT21" s="94"/>
      <c r="AU21" s="94"/>
      <c r="AW21" s="36"/>
      <c r="AX21" s="36"/>
      <c r="AZ21" s="97"/>
      <c r="BA21" s="97"/>
    </row>
    <row r="22" spans="2:53" x14ac:dyDescent="0.3">
      <c r="B22" s="9">
        <v>43899</v>
      </c>
      <c r="C22" s="4">
        <f t="shared" si="1"/>
        <v>15</v>
      </c>
      <c r="D22" s="10">
        <f>'dpc-covid19-ita-andamento-naz'!K16</f>
        <v>463</v>
      </c>
      <c r="E22" s="10">
        <f>Tabella8[[#This Row],[Italy cumulative]]*NOT(ISBLANK(Tabella8[[#This Row],[Italy cumulative]]))</f>
        <v>463</v>
      </c>
      <c r="F22" s="10">
        <f>Tabella8[[#This Row],[Lombardy fit]]+Tabella8[[#This Row],[rest of Italy fit]]</f>
        <v>291.52158554672411</v>
      </c>
      <c r="G22" s="10">
        <f>Tabella8[[#This Row],[Italy sum of regions]]*NOT(ISBLANK(Tabella8[[#This Row],[Italy cumulative]]))</f>
        <v>291.52158554672411</v>
      </c>
      <c r="H22" s="98">
        <f>Kt*_xlfn.LOGNORM.DIST(Tabella8[[#This Row],[Day]],mu_t,sigma_t,TRUE)</f>
        <v>116.50098376776548</v>
      </c>
      <c r="I22" s="10">
        <f>Tabella8[[#This Row],[Italy fit]]*NOT(ISBLANK(Tabella8[[#This Row],[Italy cumulative]]))</f>
        <v>116.50098376776548</v>
      </c>
      <c r="J22" s="10">
        <f>Tabella8[[#This Row],[Italy sum of regions]]+CI</f>
        <v>611.65461986587388</v>
      </c>
      <c r="K22" s="10">
        <f>MAX(Tabella8[[#This Row],[Italy sum of regions]]-CI,0)</f>
        <v>0</v>
      </c>
      <c r="L22" s="79">
        <f t="shared" si="0"/>
        <v>333</v>
      </c>
      <c r="M22" s="10">
        <f>Tabella8[[#This Row],[Lombardy]]*NOT(ISBLANK(Tabella8[[#This Row],[Lombardy]]))</f>
        <v>333</v>
      </c>
      <c r="N22" s="99">
        <f>Kr*_xlfn.LOGNORM.DIST(Tabella8[[#This Row],[Day]],mu_r,sigma_r,TRUE)</f>
        <v>208.3292450687064</v>
      </c>
      <c r="O22" s="10">
        <f>Tabella8[[#This Row],[Lombardy fit]]*NOT(ISBLANK(Tabella8[[#This Row],[Lombardy]]))</f>
        <v>208.3292450687064</v>
      </c>
      <c r="P22" s="10">
        <f>Tabella8[[#This Row],[Lombardy fit]]+CIr</f>
        <v>428.12635415370073</v>
      </c>
      <c r="Q22" s="10">
        <f>MAX(Tabella8[[#This Row],[Lombardy fit]]-CIr,0)</f>
        <v>0</v>
      </c>
      <c r="R22" s="10">
        <f>Tabella8[[#This Row],[Italy cumulative]]-Tabella8[[#This Row],[Lombardy]]</f>
        <v>130</v>
      </c>
      <c r="S22" s="10">
        <f>Tabella8[[#This Row],[rest of Italy ]]*NOT(ISBLANK(Tabella8[[#This Row],[rest of Italy ]]))</f>
        <v>130</v>
      </c>
      <c r="T22" s="100">
        <f>Ko*_xlfn.LOGNORM.DIST(Tabella8[[#This Row],[Day]],mu_o,sigma_o,TRUE)</f>
        <v>83.192340478017726</v>
      </c>
      <c r="U22" s="26">
        <f>Tabella8[[#This Row],[rest of Italy fit]]*NOT(ISBLANK(Tabella8[[#This Row],[rest of Italy ]]))</f>
        <v>83.192340478017726</v>
      </c>
      <c r="V22" s="10">
        <f>Tabella8[[#This Row],[rest of Italy fit]]+CIo</f>
        <v>221.67805425275867</v>
      </c>
      <c r="W22" s="10">
        <f>MAX(Tabella8[[#This Row],[rest of Italy fit]]-CIo,0)</f>
        <v>0</v>
      </c>
      <c r="X22" s="1"/>
      <c r="Y22" s="2" t="s">
        <v>1</v>
      </c>
      <c r="Z22" s="1">
        <f>AVERAGE(Tabella8[Lombardy])</f>
        <v>5110.4915254237285</v>
      </c>
      <c r="AN22" s="47">
        <f>{32767;32767;0.000001;0;FALSE;FALSE;FALSE;1;2;1;0.0001;TRUE}</f>
        <v>32767</v>
      </c>
      <c r="AT22" s="94"/>
      <c r="AU22" s="94"/>
      <c r="AW22" s="36"/>
      <c r="AX22" s="36"/>
      <c r="AZ22" s="97"/>
      <c r="BA22" s="97"/>
    </row>
    <row r="23" spans="2:53" x14ac:dyDescent="0.3">
      <c r="B23" s="18">
        <v>43900</v>
      </c>
      <c r="C23" s="4">
        <f t="shared" si="1"/>
        <v>16</v>
      </c>
      <c r="D23" s="10">
        <f>'dpc-covid19-ita-andamento-naz'!K17</f>
        <v>631</v>
      </c>
      <c r="E23" s="10">
        <f>Tabella8[[#This Row],[Italy cumulative]]*NOT(ISBLANK(Tabella8[[#This Row],[Italy cumulative]]))</f>
        <v>631</v>
      </c>
      <c r="F23" s="10">
        <f>Tabella8[[#This Row],[Lombardy fit]]+Tabella8[[#This Row],[rest of Italy fit]]</f>
        <v>429.75326680335377</v>
      </c>
      <c r="G23" s="10">
        <f>Tabella8[[#This Row],[Italy sum of regions]]*NOT(ISBLANK(Tabella8[[#This Row],[Italy cumulative]]))</f>
        <v>429.75326680335377</v>
      </c>
      <c r="H23" s="98">
        <f>Kt*_xlfn.LOGNORM.DIST(Tabella8[[#This Row],[Day]],mu_t,sigma_t,TRUE)</f>
        <v>196.49107565085549</v>
      </c>
      <c r="I23" s="10">
        <f>Tabella8[[#This Row],[Italy fit]]*NOT(ISBLANK(Tabella8[[#This Row],[Italy cumulative]]))</f>
        <v>196.49107565085549</v>
      </c>
      <c r="J23" s="10">
        <f>Tabella8[[#This Row],[Italy sum of regions]]+CI</f>
        <v>749.88630112250348</v>
      </c>
      <c r="K23" s="10">
        <f>MAX(Tabella8[[#This Row],[Italy sum of regions]]-CI,0)</f>
        <v>109.62023248420405</v>
      </c>
      <c r="L23" s="79">
        <f t="shared" si="0"/>
        <v>468</v>
      </c>
      <c r="M23" s="10">
        <f>Tabella8[[#This Row],[Lombardy]]*NOT(ISBLANK(Tabella8[[#This Row],[Lombardy]]))</f>
        <v>468</v>
      </c>
      <c r="N23" s="99">
        <f>Kr*_xlfn.LOGNORM.DIST(Tabella8[[#This Row],[Day]],mu_r,sigma_r,TRUE)</f>
        <v>303.72134856665798</v>
      </c>
      <c r="O23" s="10">
        <f>Tabella8[[#This Row],[Lombardy fit]]*NOT(ISBLANK(Tabella8[[#This Row],[Lombardy]]))</f>
        <v>303.72134856665798</v>
      </c>
      <c r="P23" s="10">
        <f>Tabella8[[#This Row],[Lombardy fit]]+CIr</f>
        <v>523.5184576516524</v>
      </c>
      <c r="Q23" s="10">
        <f>MAX(Tabella8[[#This Row],[Lombardy fit]]-CIr,0)</f>
        <v>83.924239481663619</v>
      </c>
      <c r="R23" s="10">
        <f>Tabella8[[#This Row],[Italy cumulative]]-Tabella8[[#This Row],[Lombardy]]</f>
        <v>163</v>
      </c>
      <c r="S23" s="10">
        <f>Tabella8[[#This Row],[rest of Italy ]]*NOT(ISBLANK(Tabella8[[#This Row],[rest of Italy ]]))</f>
        <v>163</v>
      </c>
      <c r="T23" s="100">
        <f>Ko*_xlfn.LOGNORM.DIST(Tabella8[[#This Row],[Day]],mu_o,sigma_o,TRUE)</f>
        <v>126.03191823669579</v>
      </c>
      <c r="U23" s="26">
        <f>Tabella8[[#This Row],[rest of Italy fit]]*NOT(ISBLANK(Tabella8[[#This Row],[rest of Italy ]]))</f>
        <v>126.03191823669579</v>
      </c>
      <c r="V23" s="10">
        <f>Tabella8[[#This Row],[rest of Italy fit]]+CIo</f>
        <v>264.51763201143672</v>
      </c>
      <c r="W23" s="10">
        <f>MAX(Tabella8[[#This Row],[rest of Italy fit]]-CIo,0)</f>
        <v>0</v>
      </c>
      <c r="X23" s="1"/>
      <c r="Y23" s="2" t="s">
        <v>2</v>
      </c>
      <c r="Z23" s="1">
        <f>COUNT(Tabella8[Lombardy])-COUNT(Z19:Z21)</f>
        <v>56</v>
      </c>
      <c r="AN23" s="48">
        <f>{0;0;1;100;0;FALSE;FALSE;0.075;0;0;FALSE;30}</f>
        <v>0</v>
      </c>
      <c r="AT23" s="94"/>
      <c r="AU23" s="94"/>
      <c r="AW23" s="36"/>
      <c r="AX23" s="36"/>
      <c r="AZ23" s="97"/>
      <c r="BA23" s="97"/>
    </row>
    <row r="24" spans="2:53" x14ac:dyDescent="0.3">
      <c r="B24" s="9">
        <v>43901</v>
      </c>
      <c r="C24" s="4">
        <f t="shared" si="1"/>
        <v>17</v>
      </c>
      <c r="D24" s="10">
        <f>'dpc-covid19-ita-andamento-naz'!K18</f>
        <v>827</v>
      </c>
      <c r="E24" s="10">
        <f>Tabella8[[#This Row],[Italy cumulative]]*NOT(ISBLANK(Tabella8[[#This Row],[Italy cumulative]]))</f>
        <v>827</v>
      </c>
      <c r="F24" s="10">
        <f>Tabella8[[#This Row],[Lombardy fit]]+Tabella8[[#This Row],[rest of Italy fit]]</f>
        <v>607.70706805816144</v>
      </c>
      <c r="G24" s="10">
        <f>Tabella8[[#This Row],[Italy sum of regions]]*NOT(ISBLANK(Tabella8[[#This Row],[Italy cumulative]]))</f>
        <v>607.70706805816144</v>
      </c>
      <c r="H24" s="98">
        <f>Kt*_xlfn.LOGNORM.DIST(Tabella8[[#This Row],[Day]],mu_t,sigma_t,TRUE)</f>
        <v>312.20618413893664</v>
      </c>
      <c r="I24" s="10">
        <f>Tabella8[[#This Row],[Italy fit]]*NOT(ISBLANK(Tabella8[[#This Row],[Italy cumulative]]))</f>
        <v>312.20618413893664</v>
      </c>
      <c r="J24" s="10">
        <f>Tabella8[[#This Row],[Italy sum of regions]]+CI</f>
        <v>927.84010237731115</v>
      </c>
      <c r="K24" s="10">
        <f>MAX(Tabella8[[#This Row],[Italy sum of regions]]-CI,0)</f>
        <v>287.57403373901172</v>
      </c>
      <c r="L24" s="79">
        <f t="shared" si="0"/>
        <v>617</v>
      </c>
      <c r="M24" s="10">
        <f>Tabella8[[#This Row],[Lombardy]]*NOT(ISBLANK(Tabella8[[#This Row],[Lombardy]]))</f>
        <v>617</v>
      </c>
      <c r="N24" s="99">
        <f>Kr*_xlfn.LOGNORM.DIST(Tabella8[[#This Row],[Day]],mu_r,sigma_r,TRUE)</f>
        <v>424.78991839519915</v>
      </c>
      <c r="O24" s="10">
        <f>Tabella8[[#This Row],[Lombardy fit]]*NOT(ISBLANK(Tabella8[[#This Row],[Lombardy]]))</f>
        <v>424.78991839519915</v>
      </c>
      <c r="P24" s="10">
        <f>Tabella8[[#This Row],[Lombardy fit]]+CIr</f>
        <v>644.58702748019346</v>
      </c>
      <c r="Q24" s="10">
        <f>MAX(Tabella8[[#This Row],[Lombardy fit]]-CIr,0)</f>
        <v>204.99280931020479</v>
      </c>
      <c r="R24" s="10">
        <f>Tabella8[[#This Row],[Italy cumulative]]-Tabella8[[#This Row],[Lombardy]]</f>
        <v>210</v>
      </c>
      <c r="S24" s="10">
        <f>Tabella8[[#This Row],[rest of Italy ]]*NOT(ISBLANK(Tabella8[[#This Row],[rest of Italy ]]))</f>
        <v>210</v>
      </c>
      <c r="T24" s="100">
        <f>Ko*_xlfn.LOGNORM.DIST(Tabella8[[#This Row],[Day]],mu_o,sigma_o,TRUE)</f>
        <v>182.91714966296232</v>
      </c>
      <c r="U24" s="26">
        <f>Tabella8[[#This Row],[rest of Italy fit]]*NOT(ISBLANK(Tabella8[[#This Row],[rest of Italy ]]))</f>
        <v>182.91714966296232</v>
      </c>
      <c r="V24" s="10">
        <f>Tabella8[[#This Row],[rest of Italy fit]]+CIo</f>
        <v>321.40286343770327</v>
      </c>
      <c r="W24" s="10">
        <f>MAX(Tabella8[[#This Row],[rest of Italy fit]]-CIo,0)</f>
        <v>44.431435888221358</v>
      </c>
      <c r="X24" s="1"/>
      <c r="Y24" s="2" t="s">
        <v>3</v>
      </c>
      <c r="Z24" s="6" cm="1">
        <f t="array" ref="Z24">SQRT(SUM((Tabella8[Colonna4]-Tabella8[Colonna5])^2)/dfr)</f>
        <v>109.72076746293708</v>
      </c>
      <c r="AN24" s="49"/>
      <c r="AT24" s="94"/>
      <c r="AU24" s="94"/>
      <c r="AW24" s="36"/>
      <c r="AX24" s="36"/>
      <c r="AZ24" s="97"/>
      <c r="BA24" s="97"/>
    </row>
    <row r="25" spans="2:53" ht="16.2" x14ac:dyDescent="0.3">
      <c r="B25" s="18">
        <v>43902</v>
      </c>
      <c r="C25" s="4">
        <f t="shared" si="1"/>
        <v>18</v>
      </c>
      <c r="D25" s="10">
        <f>'dpc-covid19-ita-andamento-naz'!K19</f>
        <v>1016</v>
      </c>
      <c r="E25" s="10">
        <f>Tabella8[[#This Row],[Italy cumulative]]*NOT(ISBLANK(Tabella8[[#This Row],[Italy cumulative]]))</f>
        <v>1016</v>
      </c>
      <c r="F25" s="10">
        <f>Tabella8[[#This Row],[Lombardy fit]]+Tabella8[[#This Row],[rest of Italy fit]]</f>
        <v>829.225416533268</v>
      </c>
      <c r="G25" s="10">
        <f>Tabella8[[#This Row],[Italy sum of regions]]*NOT(ISBLANK(Tabella8[[#This Row],[Italy cumulative]]))</f>
        <v>829.225416533268</v>
      </c>
      <c r="H25" s="98">
        <f>Kt*_xlfn.LOGNORM.DIST(Tabella8[[#This Row],[Day]],mu_t,sigma_t,TRUE)</f>
        <v>471.37007458393191</v>
      </c>
      <c r="I25" s="10">
        <f>Tabella8[[#This Row],[Italy fit]]*NOT(ISBLANK(Tabella8[[#This Row],[Italy cumulative]]))</f>
        <v>471.37007458393191</v>
      </c>
      <c r="J25" s="10">
        <f>Tabella8[[#This Row],[Italy sum of regions]]+CI</f>
        <v>1149.3584508524177</v>
      </c>
      <c r="K25" s="10">
        <f>MAX(Tabella8[[#This Row],[Italy sum of regions]]-CI,0)</f>
        <v>509.09238221411829</v>
      </c>
      <c r="L25" s="79">
        <f t="shared" si="0"/>
        <v>744</v>
      </c>
      <c r="M25" s="10">
        <f>Tabella8[[#This Row],[Lombardy]]*NOT(ISBLANK(Tabella8[[#This Row],[Lombardy]]))</f>
        <v>744</v>
      </c>
      <c r="N25" s="99">
        <f>Kr*_xlfn.LOGNORM.DIST(Tabella8[[#This Row],[Day]],mu_r,sigma_r,TRUE)</f>
        <v>573.36103008558632</v>
      </c>
      <c r="O25" s="10">
        <f>Tabella8[[#This Row],[Lombardy fit]]*NOT(ISBLANK(Tabella8[[#This Row],[Lombardy]]))</f>
        <v>573.36103008558632</v>
      </c>
      <c r="P25" s="10">
        <f>Tabella8[[#This Row],[Lombardy fit]]+CIr</f>
        <v>793.15813917058063</v>
      </c>
      <c r="Q25" s="10">
        <f>MAX(Tabella8[[#This Row],[Lombardy fit]]-CIr,0)</f>
        <v>353.56392100059196</v>
      </c>
      <c r="R25" s="10">
        <f>Tabella8[[#This Row],[Italy cumulative]]-Tabella8[[#This Row],[Lombardy]]</f>
        <v>272</v>
      </c>
      <c r="S25" s="10">
        <f>Tabella8[[#This Row],[rest of Italy ]]*NOT(ISBLANK(Tabella8[[#This Row],[rest of Italy ]]))</f>
        <v>272</v>
      </c>
      <c r="T25" s="100">
        <f>Ko*_xlfn.LOGNORM.DIST(Tabella8[[#This Row],[Day]],mu_o,sigma_o,TRUE)</f>
        <v>255.86438644768168</v>
      </c>
      <c r="U25" s="26">
        <f>Tabella8[[#This Row],[rest of Italy fit]]*NOT(ISBLANK(Tabella8[[#This Row],[rest of Italy ]]))</f>
        <v>255.86438644768168</v>
      </c>
      <c r="V25" s="10">
        <f>Tabella8[[#This Row],[rest of Italy fit]]+CIo</f>
        <v>394.35010022242261</v>
      </c>
      <c r="W25" s="10">
        <f>MAX(Tabella8[[#This Row],[rest of Italy fit]]-CIo,0)</f>
        <v>117.37867267294072</v>
      </c>
      <c r="X25" s="1"/>
      <c r="Y25" s="2" t="s">
        <v>4</v>
      </c>
      <c r="Z25" s="7" cm="1">
        <f t="array" ref="Z25">1-SUM((Tabella8[Colonna4]-Tabella8[Colonna5])^2)/SUM((Tabella8[Colonna4]-Mean_of_yr)^2)</f>
        <v>0.99976854763043033</v>
      </c>
      <c r="AN25" s="50"/>
      <c r="AT25" s="94"/>
      <c r="AU25" s="94"/>
      <c r="AW25" s="36"/>
      <c r="AX25" s="36"/>
      <c r="AZ25" s="97"/>
      <c r="BA25" s="97"/>
    </row>
    <row r="26" spans="2:53" x14ac:dyDescent="0.3">
      <c r="B26" s="9">
        <v>43903</v>
      </c>
      <c r="C26" s="4">
        <f t="shared" si="1"/>
        <v>19</v>
      </c>
      <c r="D26" s="10">
        <f>'dpc-covid19-ita-andamento-naz'!K20</f>
        <v>1266</v>
      </c>
      <c r="E26" s="10">
        <f>Tabella8[[#This Row],[Italy cumulative]]*NOT(ISBLANK(Tabella8[[#This Row],[Italy cumulative]]))</f>
        <v>1266</v>
      </c>
      <c r="F26" s="10">
        <f>Tabella8[[#This Row],[Lombardy fit]]+Tabella8[[#This Row],[rest of Italy fit]]</f>
        <v>1097.1345062869984</v>
      </c>
      <c r="G26" s="10">
        <f>Tabella8[[#This Row],[Italy sum of regions]]*NOT(ISBLANK(Tabella8[[#This Row],[Italy cumulative]]))</f>
        <v>1097.1345062869984</v>
      </c>
      <c r="H26" s="98">
        <f>Kt*_xlfn.LOGNORM.DIST(Tabella8[[#This Row],[Day]],mu_t,sigma_t,TRUE)</f>
        <v>681.01604800161465</v>
      </c>
      <c r="I26" s="10">
        <f>Tabella8[[#This Row],[Italy fit]]*NOT(ISBLANK(Tabella8[[#This Row],[Italy cumulative]]))</f>
        <v>681.01604800161465</v>
      </c>
      <c r="J26" s="10">
        <f>Tabella8[[#This Row],[Italy sum of regions]]+CI</f>
        <v>1417.267540606148</v>
      </c>
      <c r="K26" s="10">
        <f>MAX(Tabella8[[#This Row],[Italy sum of regions]]-CI,0)</f>
        <v>777.00147196784872</v>
      </c>
      <c r="L26" s="79">
        <f t="shared" si="0"/>
        <v>890</v>
      </c>
      <c r="M26" s="10">
        <f>Tabella8[[#This Row],[Lombardy]]*NOT(ISBLANK(Tabella8[[#This Row],[Lombardy]]))</f>
        <v>890</v>
      </c>
      <c r="N26" s="99">
        <f>Kr*_xlfn.LOGNORM.DIST(Tabella8[[#This Row],[Day]],mu_r,sigma_r,TRUE)</f>
        <v>750.49345734159601</v>
      </c>
      <c r="O26" s="10">
        <f>Tabella8[[#This Row],[Lombardy fit]]*NOT(ISBLANK(Tabella8[[#This Row],[Lombardy]]))</f>
        <v>750.49345734159601</v>
      </c>
      <c r="P26" s="10">
        <f>Tabella8[[#This Row],[Lombardy fit]]+CIr</f>
        <v>970.29056642659043</v>
      </c>
      <c r="Q26" s="10">
        <f>MAX(Tabella8[[#This Row],[Lombardy fit]]-CIr,0)</f>
        <v>530.6963482566016</v>
      </c>
      <c r="R26" s="10">
        <f>Tabella8[[#This Row],[Italy cumulative]]-Tabella8[[#This Row],[Lombardy]]</f>
        <v>376</v>
      </c>
      <c r="S26" s="10">
        <f>Tabella8[[#This Row],[rest of Italy ]]*NOT(ISBLANK(Tabella8[[#This Row],[rest of Italy ]]))</f>
        <v>376</v>
      </c>
      <c r="T26" s="100">
        <f>Ko*_xlfn.LOGNORM.DIST(Tabella8[[#This Row],[Day]],mu_o,sigma_o,TRUE)</f>
        <v>346.64104894540247</v>
      </c>
      <c r="U26" s="26">
        <f>Tabella8[[#This Row],[rest of Italy fit]]*NOT(ISBLANK(Tabella8[[#This Row],[rest of Italy ]]))</f>
        <v>346.64104894540247</v>
      </c>
      <c r="V26" s="10">
        <f>Tabella8[[#This Row],[rest of Italy fit]]+CIo</f>
        <v>485.12676272014346</v>
      </c>
      <c r="W26" s="10">
        <f>MAX(Tabella8[[#This Row],[rest of Italy fit]]-CIo,0)</f>
        <v>208.15533517066152</v>
      </c>
      <c r="X26" s="1"/>
      <c r="Y26" s="2" t="s">
        <v>5</v>
      </c>
      <c r="Z26" s="7">
        <f>TINV(0.05,dfr)</f>
        <v>2.0032407188478727</v>
      </c>
      <c r="AN26" s="50"/>
      <c r="AT26" s="94"/>
      <c r="AU26" s="94"/>
      <c r="AW26" s="36"/>
      <c r="AX26" s="36"/>
      <c r="AZ26" s="97"/>
      <c r="BA26" s="97"/>
    </row>
    <row r="27" spans="2:53" ht="15" thickBot="1" x14ac:dyDescent="0.35">
      <c r="B27" s="9">
        <v>43904</v>
      </c>
      <c r="C27" s="4">
        <f t="shared" si="1"/>
        <v>20</v>
      </c>
      <c r="D27" s="10">
        <f>'dpc-covid19-ita-andamento-naz'!K21</f>
        <v>1441</v>
      </c>
      <c r="E27" s="10">
        <f>Tabella8[[#This Row],[Italy cumulative]]*NOT(ISBLANK(Tabella8[[#This Row],[Italy cumulative]]))</f>
        <v>1441</v>
      </c>
      <c r="F27" s="10">
        <f>Tabella8[[#This Row],[Lombardy fit]]+Tabella8[[#This Row],[rest of Italy fit]]</f>
        <v>1413.1737318388969</v>
      </c>
      <c r="G27" s="10">
        <f>Tabella8[[#This Row],[Italy sum of regions]]*NOT(ISBLANK(Tabella8[[#This Row],[Italy cumulative]]))</f>
        <v>1413.1737318388969</v>
      </c>
      <c r="H27" s="98">
        <f>Kt*_xlfn.LOGNORM.DIST(Tabella8[[#This Row],[Day]],mu_t,sigma_t,TRUE)</f>
        <v>946.99808315178439</v>
      </c>
      <c r="I27" s="10">
        <f>Tabella8[[#This Row],[Italy fit]]*NOT(ISBLANK(Tabella8[[#This Row],[Italy cumulative]]))</f>
        <v>946.99808315178439</v>
      </c>
      <c r="J27" s="10">
        <f>Tabella8[[#This Row],[Italy sum of regions]]+CI</f>
        <v>1733.3067661580467</v>
      </c>
      <c r="K27" s="10">
        <f>MAX(Tabella8[[#This Row],[Italy sum of regions]]-CI,0)</f>
        <v>1093.040697519747</v>
      </c>
      <c r="L27" s="79">
        <f t="shared" si="0"/>
        <v>966</v>
      </c>
      <c r="M27" s="10">
        <f>Tabella8[[#This Row],[Lombardy]]*NOT(ISBLANK(Tabella8[[#This Row],[Lombardy]]))</f>
        <v>966</v>
      </c>
      <c r="N27" s="99">
        <f>Kr*_xlfn.LOGNORM.DIST(Tabella8[[#This Row],[Day]],mu_r,sigma_r,TRUE)</f>
        <v>956.47415376469405</v>
      </c>
      <c r="O27" s="10">
        <f>Tabella8[[#This Row],[Lombardy fit]]*NOT(ISBLANK(Tabella8[[#This Row],[Lombardy]]))</f>
        <v>956.47415376469405</v>
      </c>
      <c r="P27" s="10">
        <f>Tabella8[[#This Row],[Lombardy fit]]+CIr</f>
        <v>1176.2712628496884</v>
      </c>
      <c r="Q27" s="10">
        <f>MAX(Tabella8[[#This Row],[Lombardy fit]]-CIr,0)</f>
        <v>736.67704467969975</v>
      </c>
      <c r="R27" s="10">
        <f>Tabella8[[#This Row],[Italy cumulative]]-Tabella8[[#This Row],[Lombardy]]</f>
        <v>475</v>
      </c>
      <c r="S27" s="10">
        <f>Tabella8[[#This Row],[rest of Italy ]]*NOT(ISBLANK(Tabella8[[#This Row],[rest of Italy ]]))</f>
        <v>475</v>
      </c>
      <c r="T27" s="100">
        <f>Ko*_xlfn.LOGNORM.DIST(Tabella8[[#This Row],[Day]],mu_o,sigma_o,TRUE)</f>
        <v>456.6995780742028</v>
      </c>
      <c r="U27" s="26">
        <f>Tabella8[[#This Row],[rest of Italy fit]]*NOT(ISBLANK(Tabella8[[#This Row],[rest of Italy ]]))</f>
        <v>456.6995780742028</v>
      </c>
      <c r="V27" s="10">
        <f>Tabella8[[#This Row],[rest of Italy fit]]+CIo</f>
        <v>595.18529184894373</v>
      </c>
      <c r="W27" s="10">
        <f>MAX(Tabella8[[#This Row],[rest of Italy fit]]-CIo,0)</f>
        <v>318.21386429946187</v>
      </c>
      <c r="X27" s="1"/>
      <c r="Y27" s="2" t="s">
        <v>6</v>
      </c>
      <c r="Z27" s="1">
        <f>Critical_tr*SE_of_yr</f>
        <v>219.79710908499436</v>
      </c>
      <c r="AN27" s="51"/>
      <c r="AT27" s="94"/>
      <c r="AU27" s="94"/>
      <c r="AW27" s="36"/>
      <c r="AX27" s="36"/>
      <c r="AZ27" s="97"/>
      <c r="BA27" s="97"/>
    </row>
    <row r="28" spans="2:53" ht="15" thickTop="1" x14ac:dyDescent="0.3">
      <c r="B28" s="9">
        <v>43905</v>
      </c>
      <c r="C28" s="4">
        <f t="shared" si="1"/>
        <v>21</v>
      </c>
      <c r="D28" s="10">
        <f>'dpc-covid19-ita-andamento-naz'!K22</f>
        <v>1809</v>
      </c>
      <c r="E28" s="10">
        <f>Tabella8[[#This Row],[Italy cumulative]]*NOT(ISBLANK(Tabella8[[#This Row],[Italy cumulative]]))</f>
        <v>1809</v>
      </c>
      <c r="F28" s="10">
        <f>Tabella8[[#This Row],[Lombardy fit]]+Tabella8[[#This Row],[rest of Italy fit]]</f>
        <v>1777.9943242662962</v>
      </c>
      <c r="G28" s="10">
        <f>Tabella8[[#This Row],[Italy sum of regions]]*NOT(ISBLANK(Tabella8[[#This Row],[Italy cumulative]]))</f>
        <v>1777.9943242662962</v>
      </c>
      <c r="H28" s="98">
        <f>Kt*_xlfn.LOGNORM.DIST(Tabella8[[#This Row],[Day]],mu_t,sigma_t,TRUE)</f>
        <v>1273.6205973441831</v>
      </c>
      <c r="I28" s="10">
        <f>Tabella8[[#This Row],[Italy fit]]*NOT(ISBLANK(Tabella8[[#This Row],[Italy cumulative]]))</f>
        <v>1273.6205973441831</v>
      </c>
      <c r="J28" s="10">
        <f>Tabella8[[#This Row],[Italy sum of regions]]+CI</f>
        <v>2098.127358585446</v>
      </c>
      <c r="K28" s="10">
        <f>MAX(Tabella8[[#This Row],[Italy sum of regions]]-CI,0)</f>
        <v>1457.8612899471464</v>
      </c>
      <c r="L28" s="79">
        <f t="shared" si="0"/>
        <v>1218</v>
      </c>
      <c r="M28" s="10">
        <f>Tabella8[[#This Row],[Lombardy]]*NOT(ISBLANK(Tabella8[[#This Row],[Lombardy]]))</f>
        <v>1218</v>
      </c>
      <c r="N28" s="99">
        <f>Kr*_xlfn.LOGNORM.DIST(Tabella8[[#This Row],[Day]],mu_r,sigma_r,TRUE)</f>
        <v>1190.8601861559616</v>
      </c>
      <c r="O28" s="10">
        <f>Tabella8[[#This Row],[Lombardy fit]]*NOT(ISBLANK(Tabella8[[#This Row],[Lombardy]]))</f>
        <v>1190.8601861559616</v>
      </c>
      <c r="P28" s="10">
        <f>Tabella8[[#This Row],[Lombardy fit]]+CIr</f>
        <v>1410.657295240956</v>
      </c>
      <c r="Q28" s="10">
        <f>MAX(Tabella8[[#This Row],[Lombardy fit]]-CIr,0)</f>
        <v>971.06307707096721</v>
      </c>
      <c r="R28" s="10">
        <f>Tabella8[[#This Row],[Italy cumulative]]-Tabella8[[#This Row],[Lombardy]]</f>
        <v>591</v>
      </c>
      <c r="S28" s="10">
        <f>Tabella8[[#This Row],[rest of Italy ]]*NOT(ISBLANK(Tabella8[[#This Row],[rest of Italy ]]))</f>
        <v>591</v>
      </c>
      <c r="T28" s="100">
        <f>Ko*_xlfn.LOGNORM.DIST(Tabella8[[#This Row],[Day]],mu_o,sigma_o,TRUE)</f>
        <v>587.13413811033445</v>
      </c>
      <c r="U28" s="26">
        <f>Tabella8[[#This Row],[rest of Italy fit]]*NOT(ISBLANK(Tabella8[[#This Row],[rest of Italy ]]))</f>
        <v>587.13413811033445</v>
      </c>
      <c r="V28" s="10">
        <f>Tabella8[[#This Row],[rest of Italy fit]]+CIo</f>
        <v>725.61985188507538</v>
      </c>
      <c r="W28" s="10">
        <f>MAX(Tabella8[[#This Row],[rest of Italy fit]]-CIo,0)</f>
        <v>448.64842433559352</v>
      </c>
      <c r="X28" s="1"/>
      <c r="Y28" s="86"/>
      <c r="Z28" s="83"/>
      <c r="AN28" s="52">
        <f>MAX($Z$36)</f>
        <v>0.99987462502998359</v>
      </c>
      <c r="AT28" s="94"/>
      <c r="AU28" s="94"/>
      <c r="AW28" s="36"/>
      <c r="AX28" s="36"/>
      <c r="AZ28" s="97"/>
      <c r="BA28" s="97"/>
    </row>
    <row r="29" spans="2:53" x14ac:dyDescent="0.3">
      <c r="B29" s="9">
        <v>43906</v>
      </c>
      <c r="C29" s="4">
        <f t="shared" si="1"/>
        <v>22</v>
      </c>
      <c r="D29" s="10">
        <f>'dpc-covid19-ita-andamento-naz'!K23</f>
        <v>2158</v>
      </c>
      <c r="E29" s="10">
        <f>Tabella8[[#This Row],[Italy cumulative]]*NOT(ISBLANK(Tabella8[[#This Row],[Italy cumulative]]))</f>
        <v>2158</v>
      </c>
      <c r="F29" s="10">
        <f>Tabella8[[#This Row],[Lombardy fit]]+Tabella8[[#This Row],[rest of Italy fit]]</f>
        <v>2191.2134485718179</v>
      </c>
      <c r="G29" s="10">
        <f>Tabella8[[#This Row],[Italy sum of regions]]*NOT(ISBLANK(Tabella8[[#This Row],[Italy cumulative]]))</f>
        <v>2191.2134485718179</v>
      </c>
      <c r="H29" s="98">
        <f>Kt*_xlfn.LOGNORM.DIST(Tabella8[[#This Row],[Day]],mu_t,sigma_t,TRUE)</f>
        <v>1663.4091492629568</v>
      </c>
      <c r="I29" s="10">
        <f>Tabella8[[#This Row],[Italy fit]]*NOT(ISBLANK(Tabella8[[#This Row],[Italy cumulative]]))</f>
        <v>1663.4091492629568</v>
      </c>
      <c r="J29" s="10">
        <f>Tabella8[[#This Row],[Italy sum of regions]]+CI</f>
        <v>2511.3464828909678</v>
      </c>
      <c r="K29" s="10">
        <f>MAX(Tabella8[[#This Row],[Italy sum of regions]]-CI,0)</f>
        <v>1871.0804142526681</v>
      </c>
      <c r="L29" s="79">
        <f t="shared" si="0"/>
        <v>1420</v>
      </c>
      <c r="M29" s="10">
        <f>Tabella8[[#This Row],[Lombardy]]*NOT(ISBLANK(Tabella8[[#This Row],[Lombardy]]))</f>
        <v>1420</v>
      </c>
      <c r="N29" s="99">
        <f>Kr*_xlfn.LOGNORM.DIST(Tabella8[[#This Row],[Day]],mu_r,sigma_r,TRUE)</f>
        <v>1452.5544279828835</v>
      </c>
      <c r="O29" s="10">
        <f>Tabella8[[#This Row],[Lombardy fit]]*NOT(ISBLANK(Tabella8[[#This Row],[Lombardy]]))</f>
        <v>1452.5544279828835</v>
      </c>
      <c r="P29" s="10">
        <f>Tabella8[[#This Row],[Lombardy fit]]+CIr</f>
        <v>1672.3515370678779</v>
      </c>
      <c r="Q29" s="10">
        <f>MAX(Tabella8[[#This Row],[Lombardy fit]]-CIr,0)</f>
        <v>1232.757318897889</v>
      </c>
      <c r="R29" s="10">
        <f>Tabella8[[#This Row],[Italy cumulative]]-Tabella8[[#This Row],[Lombardy]]</f>
        <v>738</v>
      </c>
      <c r="S29" s="10">
        <f>Tabella8[[#This Row],[rest of Italy ]]*NOT(ISBLANK(Tabella8[[#This Row],[rest of Italy ]]))</f>
        <v>738</v>
      </c>
      <c r="T29" s="100">
        <f>Ko*_xlfn.LOGNORM.DIST(Tabella8[[#This Row],[Day]],mu_o,sigma_o,TRUE)</f>
        <v>738.65902058893437</v>
      </c>
      <c r="U29" s="26">
        <f>Tabella8[[#This Row],[rest of Italy fit]]*NOT(ISBLANK(Tabella8[[#This Row],[rest of Italy ]]))</f>
        <v>738.65902058893437</v>
      </c>
      <c r="V29" s="10">
        <f>Tabella8[[#This Row],[rest of Italy fit]]+CIo</f>
        <v>877.1447343636753</v>
      </c>
      <c r="W29" s="10">
        <f>MAX(Tabella8[[#This Row],[rest of Italy fit]]-CIo,0)</f>
        <v>600.17330681419344</v>
      </c>
      <c r="X29" s="1"/>
      <c r="Y29" s="35" t="s">
        <v>83</v>
      </c>
      <c r="Z29" s="36" t="s">
        <v>123</v>
      </c>
      <c r="AN29" s="53">
        <f>COUNT($Z$30,$Z$31,$Z$32)</f>
        <v>3</v>
      </c>
      <c r="AT29" s="94"/>
      <c r="AU29" s="94"/>
      <c r="AW29" s="36"/>
      <c r="AX29" s="36"/>
      <c r="AZ29" s="97"/>
      <c r="BA29" s="97"/>
    </row>
    <row r="30" spans="2:53" x14ac:dyDescent="0.3">
      <c r="B30" s="9">
        <v>43907</v>
      </c>
      <c r="C30" s="4">
        <f t="shared" si="1"/>
        <v>23</v>
      </c>
      <c r="D30" s="10">
        <f>'dpc-covid19-ita-andamento-naz'!K24</f>
        <v>2503</v>
      </c>
      <c r="E30" s="10">
        <f>Tabella8[[#This Row],[Italy cumulative]]*NOT(ISBLANK(Tabella8[[#This Row],[Italy cumulative]]))</f>
        <v>2503</v>
      </c>
      <c r="F30" s="10">
        <f>Tabella8[[#This Row],[Lombardy fit]]+Tabella8[[#This Row],[rest of Italy fit]]</f>
        <v>2651.5090280962031</v>
      </c>
      <c r="G30" s="10">
        <f>Tabella8[[#This Row],[Italy sum of regions]]*NOT(ISBLANK(Tabella8[[#This Row],[Italy cumulative]]))</f>
        <v>2651.5090280962031</v>
      </c>
      <c r="H30" s="98">
        <f>Kt*_xlfn.LOGNORM.DIST(Tabella8[[#This Row],[Day]],mu_t,sigma_t,TRUE)</f>
        <v>2117.0235887570384</v>
      </c>
      <c r="I30" s="10">
        <f>Tabella8[[#This Row],[Italy fit]]*NOT(ISBLANK(Tabella8[[#This Row],[Italy cumulative]]))</f>
        <v>2117.0235887570384</v>
      </c>
      <c r="J30" s="10">
        <f>Tabella8[[#This Row],[Italy sum of regions]]+CI</f>
        <v>2971.6420624153529</v>
      </c>
      <c r="K30" s="10">
        <f>MAX(Tabella8[[#This Row],[Italy sum of regions]]-CI,0)</f>
        <v>2331.3759937770533</v>
      </c>
      <c r="L30" s="79">
        <f t="shared" si="0"/>
        <v>1640</v>
      </c>
      <c r="M30" s="10">
        <f>Tabella8[[#This Row],[Lombardy]]*NOT(ISBLANK(Tabella8[[#This Row],[Lombardy]]))</f>
        <v>1640</v>
      </c>
      <c r="N30" s="99">
        <f>Kr*_xlfn.LOGNORM.DIST(Tabella8[[#This Row],[Day]],mu_r,sigma_r,TRUE)</f>
        <v>1739.9027743389897</v>
      </c>
      <c r="O30" s="10">
        <f>Tabella8[[#This Row],[Lombardy fit]]*NOT(ISBLANK(Tabella8[[#This Row],[Lombardy]]))</f>
        <v>1739.9027743389897</v>
      </c>
      <c r="P30" s="10">
        <f>Tabella8[[#This Row],[Lombardy fit]]+CIr</f>
        <v>1959.6998834239841</v>
      </c>
      <c r="Q30" s="10">
        <f>MAX(Tabella8[[#This Row],[Lombardy fit]]-CIr,0)</f>
        <v>1520.1056652539953</v>
      </c>
      <c r="R30" s="10">
        <f>Tabella8[[#This Row],[Italy cumulative]]-Tabella8[[#This Row],[Lombardy]]</f>
        <v>863</v>
      </c>
      <c r="S30" s="10">
        <f>Tabella8[[#This Row],[rest of Italy ]]*NOT(ISBLANK(Tabella8[[#This Row],[rest of Italy ]]))</f>
        <v>863</v>
      </c>
      <c r="T30" s="100">
        <f>Ko*_xlfn.LOGNORM.DIST(Tabella8[[#This Row],[Day]],mu_o,sigma_o,TRUE)</f>
        <v>911.60625375721361</v>
      </c>
      <c r="U30" s="26">
        <f>Tabella8[[#This Row],[rest of Italy fit]]*NOT(ISBLANK(Tabella8[[#This Row],[rest of Italy ]]))</f>
        <v>911.60625375721361</v>
      </c>
      <c r="V30" s="10">
        <f>Tabella8[[#This Row],[rest of Italy fit]]+CIo</f>
        <v>1050.0919675319547</v>
      </c>
      <c r="W30" s="10">
        <f>MAX(Tabella8[[#This Row],[rest of Italy fit]]-CIo,0)</f>
        <v>773.12053998247268</v>
      </c>
      <c r="X30" s="1"/>
      <c r="Y30" s="17" t="s">
        <v>0</v>
      </c>
      <c r="Z30" s="5">
        <v>17513.960039777561</v>
      </c>
      <c r="AN30" s="53">
        <f>{32767;32767;0.000001;0.01;FALSE;FALSE;FALSE;1;2;1;0.0001;TRUE}</f>
        <v>32767</v>
      </c>
      <c r="AT30" s="94"/>
      <c r="AU30" s="94"/>
      <c r="AW30" s="36"/>
      <c r="AX30" s="36"/>
      <c r="AZ30" s="97"/>
      <c r="BA30" s="97"/>
    </row>
    <row r="31" spans="2:53" x14ac:dyDescent="0.3">
      <c r="B31" s="9">
        <v>43908</v>
      </c>
      <c r="C31" s="4">
        <f t="shared" si="1"/>
        <v>24</v>
      </c>
      <c r="D31" s="10">
        <f>'dpc-covid19-ita-andamento-naz'!K25</f>
        <v>2978</v>
      </c>
      <c r="E31" s="10">
        <f>Tabella8[[#This Row],[Italy cumulative]]*NOT(ISBLANK(Tabella8[[#This Row],[Italy cumulative]]))</f>
        <v>2978</v>
      </c>
      <c r="F31" s="10">
        <f>Tabella8[[#This Row],[Lombardy fit]]+Tabella8[[#This Row],[rest of Italy fit]]</f>
        <v>3156.7413138354891</v>
      </c>
      <c r="G31" s="10">
        <f>Tabella8[[#This Row],[Italy sum of regions]]*NOT(ISBLANK(Tabella8[[#This Row],[Italy cumulative]]))</f>
        <v>3156.7413138354891</v>
      </c>
      <c r="H31" s="98">
        <f>Kt*_xlfn.LOGNORM.DIST(Tabella8[[#This Row],[Day]],mu_t,sigma_t,TRUE)</f>
        <v>2633.2995268948448</v>
      </c>
      <c r="I31" s="10">
        <f>Tabella8[[#This Row],[Italy fit]]*NOT(ISBLANK(Tabella8[[#This Row],[Italy cumulative]]))</f>
        <v>2633.2995268948448</v>
      </c>
      <c r="J31" s="10">
        <f>Tabella8[[#This Row],[Italy sum of regions]]+CI</f>
        <v>3476.8743481546389</v>
      </c>
      <c r="K31" s="10">
        <f>MAX(Tabella8[[#This Row],[Italy sum of regions]]-CI,0)</f>
        <v>2836.6082795163393</v>
      </c>
      <c r="L31" s="79">
        <f t="shared" si="0"/>
        <v>1959</v>
      </c>
      <c r="M31" s="10">
        <f>Tabella8[[#This Row],[Lombardy]]*NOT(ISBLANK(Tabella8[[#This Row],[Lombardy]]))</f>
        <v>1959</v>
      </c>
      <c r="N31" s="99">
        <f>Kr*_xlfn.LOGNORM.DIST(Tabella8[[#This Row],[Day]],mu_r,sigma_r,TRUE)</f>
        <v>2050.8021878002378</v>
      </c>
      <c r="O31" s="10">
        <f>Tabella8[[#This Row],[Lombardy fit]]*NOT(ISBLANK(Tabella8[[#This Row],[Lombardy]]))</f>
        <v>2050.8021878002378</v>
      </c>
      <c r="P31" s="10">
        <f>Tabella8[[#This Row],[Lombardy fit]]+CIr</f>
        <v>2270.599296885232</v>
      </c>
      <c r="Q31" s="10">
        <f>MAX(Tabella8[[#This Row],[Lombardy fit]]-CIr,0)</f>
        <v>1831.0050787152434</v>
      </c>
      <c r="R31" s="10">
        <f>Tabella8[[#This Row],[Italy cumulative]]-Tabella8[[#This Row],[Lombardy]]</f>
        <v>1019</v>
      </c>
      <c r="S31" s="10">
        <f>Tabella8[[#This Row],[rest of Italy ]]*NOT(ISBLANK(Tabella8[[#This Row],[rest of Italy ]]))</f>
        <v>1019</v>
      </c>
      <c r="T31" s="100">
        <f>Ko*_xlfn.LOGNORM.DIST(Tabella8[[#This Row],[Day]],mu_o,sigma_o,TRUE)</f>
        <v>1105.9391260352513</v>
      </c>
      <c r="U31" s="26">
        <f>Tabella8[[#This Row],[rest of Italy fit]]*NOT(ISBLANK(Tabella8[[#This Row],[rest of Italy ]]))</f>
        <v>1105.9391260352513</v>
      </c>
      <c r="V31" s="10">
        <f>Tabella8[[#This Row],[rest of Italy fit]]+CIo</f>
        <v>1244.4248398099924</v>
      </c>
      <c r="W31" s="10">
        <f>MAX(Tabella8[[#This Row],[rest of Italy fit]]-CIo,0)</f>
        <v>967.45341226051039</v>
      </c>
      <c r="Y31" s="117" t="s">
        <v>308</v>
      </c>
      <c r="Z31" s="34">
        <v>3.8530173821615179</v>
      </c>
      <c r="AC31" s="1"/>
      <c r="AN31" s="53">
        <f>{0;0;1;100;0;FALSE;FALSE;0.075;0;0;FALSE;30}</f>
        <v>0</v>
      </c>
      <c r="AT31" s="94"/>
      <c r="AU31" s="94"/>
      <c r="AW31" s="36"/>
      <c r="AX31" s="36"/>
      <c r="AZ31" s="97"/>
      <c r="BA31" s="97"/>
    </row>
    <row r="32" spans="2:53" x14ac:dyDescent="0.3">
      <c r="B32" s="9">
        <v>43909</v>
      </c>
      <c r="C32" s="4">
        <f t="shared" si="1"/>
        <v>25</v>
      </c>
      <c r="D32" s="10">
        <f>'dpc-covid19-ita-andamento-naz'!K26</f>
        <v>3405</v>
      </c>
      <c r="E32" s="10">
        <f>Tabella8[[#This Row],[Italy cumulative]]*NOT(ISBLANK(Tabella8[[#This Row],[Italy cumulative]]))</f>
        <v>3405</v>
      </c>
      <c r="F32" s="10">
        <f>Tabella8[[#This Row],[Lombardy fit]]+Tabella8[[#This Row],[rest of Italy fit]]</f>
        <v>3704.0889864422638</v>
      </c>
      <c r="G32" s="10">
        <f>Tabella8[[#This Row],[Italy sum of regions]]*NOT(ISBLANK(Tabella8[[#This Row],[Italy cumulative]]))</f>
        <v>3704.0889864422638</v>
      </c>
      <c r="H32" s="98">
        <f>Kt*_xlfn.LOGNORM.DIST(Tabella8[[#This Row],[Day]],mu_t,sigma_t,TRUE)</f>
        <v>3209.3942287112754</v>
      </c>
      <c r="I32" s="10">
        <f>Tabella8[[#This Row],[Italy fit]]*NOT(ISBLANK(Tabella8[[#This Row],[Italy cumulative]]))</f>
        <v>3209.3942287112754</v>
      </c>
      <c r="J32" s="10">
        <f>Tabella8[[#This Row],[Italy sum of regions]]+CI</f>
        <v>4024.2220207614137</v>
      </c>
      <c r="K32" s="10">
        <f>MAX(Tabella8[[#This Row],[Italy sum of regions]]-CI,0)</f>
        <v>3383.955952123114</v>
      </c>
      <c r="L32" s="79">
        <f t="shared" si="0"/>
        <v>2168</v>
      </c>
      <c r="M32" s="10">
        <f>Tabella8[[#This Row],[Lombardy]]*NOT(ISBLANK(Tabella8[[#This Row],[Lombardy]]))</f>
        <v>2168</v>
      </c>
      <c r="N32" s="99">
        <f>Kr*_xlfn.LOGNORM.DIST(Tabella8[[#This Row],[Day]],mu_r,sigma_r,TRUE)</f>
        <v>2382.8109415010099</v>
      </c>
      <c r="O32" s="10">
        <f>Tabella8[[#This Row],[Lombardy fit]]*NOT(ISBLANK(Tabella8[[#This Row],[Lombardy]]))</f>
        <v>2382.8109415010099</v>
      </c>
      <c r="P32" s="10">
        <f>Tabella8[[#This Row],[Lombardy fit]]+CIr</f>
        <v>2602.6080505860041</v>
      </c>
      <c r="Q32" s="10">
        <f>MAX(Tabella8[[#This Row],[Lombardy fit]]-CIr,0)</f>
        <v>2163.0138324160157</v>
      </c>
      <c r="R32" s="10">
        <f>Tabella8[[#This Row],[Italy cumulative]]-Tabella8[[#This Row],[Lombardy]]</f>
        <v>1237</v>
      </c>
      <c r="S32" s="10">
        <f>Tabella8[[#This Row],[rest of Italy ]]*NOT(ISBLANK(Tabella8[[#This Row],[rest of Italy ]]))</f>
        <v>1237</v>
      </c>
      <c r="T32" s="100">
        <f>Ko*_xlfn.LOGNORM.DIST(Tabella8[[#This Row],[Day]],mu_o,sigma_o,TRUE)</f>
        <v>1321.2780449412539</v>
      </c>
      <c r="U32" s="26">
        <f>Tabella8[[#This Row],[rest of Italy fit]]*NOT(ISBLANK(Tabella8[[#This Row],[rest of Italy ]]))</f>
        <v>1321.2780449412539</v>
      </c>
      <c r="V32" s="10">
        <f>Tabella8[[#This Row],[rest of Italy fit]]+CIo</f>
        <v>1459.763758715995</v>
      </c>
      <c r="W32" s="10">
        <f>MAX(Tabella8[[#This Row],[rest of Italy fit]]-CIo,0)</f>
        <v>1182.7923311665129</v>
      </c>
      <c r="Y32" s="17" t="s">
        <v>309</v>
      </c>
      <c r="Z32" s="34">
        <v>0.44147361010061748</v>
      </c>
      <c r="AN32" s="53">
        <f>{32767;32767;0.000001;0;FALSE;FALSE;FALSE;1;2;1;0.0001;TRUE}</f>
        <v>32767</v>
      </c>
      <c r="AT32" s="94"/>
      <c r="AU32" s="94"/>
      <c r="AW32" s="36"/>
      <c r="AX32" s="36"/>
      <c r="AZ32" s="97"/>
      <c r="BA32" s="97"/>
    </row>
    <row r="33" spans="2:53" x14ac:dyDescent="0.3">
      <c r="B33" s="9">
        <v>43910</v>
      </c>
      <c r="C33" s="4">
        <f t="shared" si="1"/>
        <v>26</v>
      </c>
      <c r="D33" s="10">
        <f>'dpc-covid19-ita-andamento-naz'!K27</f>
        <v>4032</v>
      </c>
      <c r="E33" s="10">
        <f>Tabella8[[#This Row],[Italy cumulative]]*NOT(ISBLANK(Tabella8[[#This Row],[Italy cumulative]]))</f>
        <v>4032</v>
      </c>
      <c r="F33" s="10">
        <f>Tabella8[[#This Row],[Lombardy fit]]+Tabella8[[#This Row],[rest of Italy fit]]</f>
        <v>4290.1898135192469</v>
      </c>
      <c r="G33" s="10">
        <f>Tabella8[[#This Row],[Italy sum of regions]]*NOT(ISBLANK(Tabella8[[#This Row],[Italy cumulative]]))</f>
        <v>4290.1898135192469</v>
      </c>
      <c r="H33" s="98">
        <f>Kt*_xlfn.LOGNORM.DIST(Tabella8[[#This Row],[Day]],mu_t,sigma_t,TRUE)</f>
        <v>3841.0086018173238</v>
      </c>
      <c r="I33" s="10">
        <f>Tabella8[[#This Row],[Italy fit]]*NOT(ISBLANK(Tabella8[[#This Row],[Italy cumulative]]))</f>
        <v>3841.0086018173238</v>
      </c>
      <c r="J33" s="10">
        <f>Tabella8[[#This Row],[Italy sum of regions]]+CI</f>
        <v>4610.3228478383962</v>
      </c>
      <c r="K33" s="10">
        <f>MAX(Tabella8[[#This Row],[Italy sum of regions]]-CI,0)</f>
        <v>3970.056779200097</v>
      </c>
      <c r="L33" s="79">
        <f t="shared" si="0"/>
        <v>2549</v>
      </c>
      <c r="M33" s="10">
        <f>Tabella8[[#This Row],[Lombardy]]*NOT(ISBLANK(Tabella8[[#This Row],[Lombardy]]))</f>
        <v>2549</v>
      </c>
      <c r="N33" s="99">
        <f>Kr*_xlfn.LOGNORM.DIST(Tabella8[[#This Row],[Day]],mu_r,sigma_r,TRUE)</f>
        <v>2733.25458387873</v>
      </c>
      <c r="O33" s="10">
        <f>Tabella8[[#This Row],[Lombardy fit]]*NOT(ISBLANK(Tabella8[[#This Row],[Lombardy]]))</f>
        <v>2733.25458387873</v>
      </c>
      <c r="P33" s="10">
        <f>Tabella8[[#This Row],[Lombardy fit]]+CIr</f>
        <v>2953.0516929637242</v>
      </c>
      <c r="Q33" s="10">
        <f>MAX(Tabella8[[#This Row],[Lombardy fit]]-CIr,0)</f>
        <v>2513.4574747937359</v>
      </c>
      <c r="R33" s="10">
        <f>Tabella8[[#This Row],[Italy cumulative]]-Tabella8[[#This Row],[Lombardy]]</f>
        <v>1483</v>
      </c>
      <c r="S33" s="10">
        <f>Tabella8[[#This Row],[rest of Italy ]]*NOT(ISBLANK(Tabella8[[#This Row],[rest of Italy ]]))</f>
        <v>1483</v>
      </c>
      <c r="T33" s="100">
        <f>Ko*_xlfn.LOGNORM.DIST(Tabella8[[#This Row],[Day]],mu_o,sigma_o,TRUE)</f>
        <v>1556.935229640517</v>
      </c>
      <c r="U33" s="26">
        <f>Tabella8[[#This Row],[rest of Italy fit]]*NOT(ISBLANK(Tabella8[[#This Row],[rest of Italy ]]))</f>
        <v>1556.935229640517</v>
      </c>
      <c r="V33" s="10">
        <f>Tabella8[[#This Row],[rest of Italy fit]]+CIo</f>
        <v>1695.4209434152581</v>
      </c>
      <c r="W33" s="10">
        <f>MAX(Tabella8[[#This Row],[rest of Italy fit]]-CIo,0)</f>
        <v>1418.449515865776</v>
      </c>
      <c r="Y33" s="2" t="s">
        <v>1</v>
      </c>
      <c r="Z33" s="1">
        <f>AVERAGE(Tabella8[[rest of Italy ]])</f>
        <v>4148.8644067796613</v>
      </c>
      <c r="AN33" s="54">
        <f>{0;0;1;100;0;FALSE;FALSE;0.075;0;0;FALSE;30}</f>
        <v>0</v>
      </c>
      <c r="AT33" s="94"/>
      <c r="AU33" s="94"/>
      <c r="AW33" s="36"/>
      <c r="AX33" s="36"/>
      <c r="AZ33" s="97"/>
      <c r="BA33" s="97"/>
    </row>
    <row r="34" spans="2:53" x14ac:dyDescent="0.3">
      <c r="B34" s="9">
        <v>43911</v>
      </c>
      <c r="C34" s="4">
        <f t="shared" si="1"/>
        <v>27</v>
      </c>
      <c r="D34" s="10">
        <f>'dpc-covid19-ita-andamento-naz'!K28</f>
        <v>4825</v>
      </c>
      <c r="E34" s="10">
        <f>Tabella8[[#This Row],[Italy cumulative]]*NOT(ISBLANK(Tabella8[[#This Row],[Italy cumulative]]))</f>
        <v>4825</v>
      </c>
      <c r="F34" s="10">
        <f>Tabella8[[#This Row],[Lombardy fit]]+Tabella8[[#This Row],[rest of Italy fit]]</f>
        <v>4911.278203034014</v>
      </c>
      <c r="G34" s="10">
        <f>Tabella8[[#This Row],[Italy sum of regions]]*NOT(ISBLANK(Tabella8[[#This Row],[Italy cumulative]]))</f>
        <v>4911.278203034014</v>
      </c>
      <c r="H34" s="98">
        <f>Kt*_xlfn.LOGNORM.DIST(Tabella8[[#This Row],[Day]],mu_t,sigma_t,TRUE)</f>
        <v>4522.6567315189286</v>
      </c>
      <c r="I34" s="10">
        <f>Tabella8[[#This Row],[Italy fit]]*NOT(ISBLANK(Tabella8[[#This Row],[Italy cumulative]]))</f>
        <v>4522.6567315189286</v>
      </c>
      <c r="J34" s="10">
        <f>Tabella8[[#This Row],[Italy sum of regions]]+CI</f>
        <v>5231.4112373531634</v>
      </c>
      <c r="K34" s="10">
        <f>MAX(Tabella8[[#This Row],[Italy sum of regions]]-CI,0)</f>
        <v>4591.1451687148647</v>
      </c>
      <c r="L34" s="79">
        <f t="shared" si="0"/>
        <v>3095</v>
      </c>
      <c r="M34" s="10">
        <f>Tabella8[[#This Row],[Lombardy]]*NOT(ISBLANK(Tabella8[[#This Row],[Lombardy]]))</f>
        <v>3095</v>
      </c>
      <c r="N34" s="99">
        <f>Kr*_xlfn.LOGNORM.DIST(Tabella8[[#This Row],[Day]],mu_r,sigma_r,TRUE)</f>
        <v>3099.3231563953636</v>
      </c>
      <c r="O34" s="10">
        <f>Tabella8[[#This Row],[Lombardy fit]]*NOT(ISBLANK(Tabella8[[#This Row],[Lombardy]]))</f>
        <v>3099.3231563953636</v>
      </c>
      <c r="P34" s="10">
        <f>Tabella8[[#This Row],[Lombardy fit]]+CIr</f>
        <v>3319.1202654803578</v>
      </c>
      <c r="Q34" s="10">
        <f>MAX(Tabella8[[#This Row],[Lombardy fit]]-CIr,0)</f>
        <v>2879.5260473103694</v>
      </c>
      <c r="R34" s="10">
        <f>Tabella8[[#This Row],[Italy cumulative]]-Tabella8[[#This Row],[Lombardy]]</f>
        <v>1730</v>
      </c>
      <c r="S34" s="10">
        <f>Tabella8[[#This Row],[rest of Italy ]]*NOT(ISBLANK(Tabella8[[#This Row],[rest of Italy ]]))</f>
        <v>1730</v>
      </c>
      <c r="T34" s="100">
        <f>Ko*_xlfn.LOGNORM.DIST(Tabella8[[#This Row],[Day]],mu_o,sigma_o,TRUE)</f>
        <v>1811.9550466386506</v>
      </c>
      <c r="U34" s="26">
        <f>Tabella8[[#This Row],[rest of Italy fit]]*NOT(ISBLANK(Tabella8[[#This Row],[rest of Italy ]]))</f>
        <v>1811.9550466386506</v>
      </c>
      <c r="V34" s="10">
        <f>Tabella8[[#This Row],[rest of Italy fit]]+CIo</f>
        <v>1950.4407604133917</v>
      </c>
      <c r="W34" s="10">
        <f>MAX(Tabella8[[#This Row],[rest of Italy fit]]-CIo,0)</f>
        <v>1673.4693328639096</v>
      </c>
      <c r="Y34" s="2" t="s">
        <v>2</v>
      </c>
      <c r="Z34" s="1">
        <f>COUNT(Tabella8[[rest of Italy ]])-COUNT(Z30:Z32)</f>
        <v>56</v>
      </c>
      <c r="AN34" s="50"/>
      <c r="AT34" s="94"/>
      <c r="AU34" s="94"/>
      <c r="AW34" s="36"/>
      <c r="AX34" s="36"/>
      <c r="AZ34" s="97"/>
      <c r="BA34" s="97"/>
    </row>
    <row r="35" spans="2:53" x14ac:dyDescent="0.3">
      <c r="B35" s="9">
        <v>43912</v>
      </c>
      <c r="C35" s="4">
        <f t="shared" si="1"/>
        <v>28</v>
      </c>
      <c r="D35" s="10">
        <f>'dpc-covid19-ita-andamento-naz'!K29</f>
        <v>5476</v>
      </c>
      <c r="E35" s="10">
        <f>Tabella8[[#This Row],[Italy cumulative]]*NOT(ISBLANK(Tabella8[[#This Row],[Italy cumulative]]))</f>
        <v>5476</v>
      </c>
      <c r="F35" s="10">
        <f>Tabella8[[#This Row],[Lombardy fit]]+Tabella8[[#This Row],[rest of Italy fit]]</f>
        <v>5563.3141578048007</v>
      </c>
      <c r="G35" s="10">
        <f>Tabella8[[#This Row],[Italy sum of regions]]*NOT(ISBLANK(Tabella8[[#This Row],[Italy cumulative]]))</f>
        <v>5563.3141578048007</v>
      </c>
      <c r="H35" s="98">
        <f>Kt*_xlfn.LOGNORM.DIST(Tabella8[[#This Row],[Day]],mu_t,sigma_t,TRUE)</f>
        <v>5247.95708245478</v>
      </c>
      <c r="I35" s="10">
        <f>Tabella8[[#This Row],[Italy fit]]*NOT(ISBLANK(Tabella8[[#This Row],[Italy cumulative]]))</f>
        <v>5247.95708245478</v>
      </c>
      <c r="J35" s="10">
        <f>Tabella8[[#This Row],[Italy sum of regions]]+CI</f>
        <v>5883.4471921239501</v>
      </c>
      <c r="K35" s="10">
        <f>MAX(Tabella8[[#This Row],[Italy sum of regions]]-CI,0)</f>
        <v>5243.1811234856514</v>
      </c>
      <c r="L35" s="79">
        <f t="shared" si="0"/>
        <v>3456</v>
      </c>
      <c r="M35" s="10">
        <f>Tabella8[[#This Row],[Lombardy]]*NOT(ISBLANK(Tabella8[[#This Row],[Lombardy]]))</f>
        <v>3456</v>
      </c>
      <c r="N35" s="99">
        <f>Kr*_xlfn.LOGNORM.DIST(Tabella8[[#This Row],[Day]],mu_r,sigma_r,TRUE)</f>
        <v>3478.1569177160136</v>
      </c>
      <c r="O35" s="10">
        <f>Tabella8[[#This Row],[Lombardy fit]]*NOT(ISBLANK(Tabella8[[#This Row],[Lombardy]]))</f>
        <v>3478.1569177160136</v>
      </c>
      <c r="P35" s="10">
        <f>Tabella8[[#This Row],[Lombardy fit]]+CIr</f>
        <v>3697.9540268010078</v>
      </c>
      <c r="Q35" s="10">
        <f>MAX(Tabella8[[#This Row],[Lombardy fit]]-CIr,0)</f>
        <v>3258.3598086310194</v>
      </c>
      <c r="R35" s="10">
        <f>Tabella8[[#This Row],[Italy cumulative]]-Tabella8[[#This Row],[Lombardy]]</f>
        <v>2020</v>
      </c>
      <c r="S35" s="10">
        <f>Tabella8[[#This Row],[rest of Italy ]]*NOT(ISBLANK(Tabella8[[#This Row],[rest of Italy ]]))</f>
        <v>2020</v>
      </c>
      <c r="T35" s="100">
        <f>Ko*_xlfn.LOGNORM.DIST(Tabella8[[#This Row],[Day]],mu_o,sigma_o,TRUE)</f>
        <v>2085.1572400887871</v>
      </c>
      <c r="U35" s="26">
        <f>Tabella8[[#This Row],[rest of Italy fit]]*NOT(ISBLANK(Tabella8[[#This Row],[rest of Italy ]]))</f>
        <v>2085.1572400887871</v>
      </c>
      <c r="V35" s="10">
        <f>Tabella8[[#This Row],[rest of Italy fit]]+CIo</f>
        <v>2223.642953863528</v>
      </c>
      <c r="W35" s="10">
        <f>MAX(Tabella8[[#This Row],[rest of Italy fit]]-CIo,0)</f>
        <v>1946.6715263140461</v>
      </c>
      <c r="Y35" s="2" t="s">
        <v>3</v>
      </c>
      <c r="Z35" s="6" cm="1">
        <f t="array" ref="Z35">SQRT(SUM((Tabella8[Colonna6]-Tabella8[Colonna7])^2)/dfo)</f>
        <v>69.130840079163576</v>
      </c>
      <c r="AN35" s="50"/>
      <c r="AT35" s="94"/>
      <c r="AU35" s="94"/>
      <c r="AW35" s="36"/>
      <c r="AX35" s="36"/>
      <c r="AZ35" s="97"/>
      <c r="BA35" s="97"/>
    </row>
    <row r="36" spans="2:53" ht="16.2" x14ac:dyDescent="0.3">
      <c r="B36" s="18">
        <v>43913</v>
      </c>
      <c r="C36" s="4">
        <f t="shared" si="1"/>
        <v>29</v>
      </c>
      <c r="D36" s="10">
        <f>'dpc-covid19-ita-andamento-naz'!K30</f>
        <v>6077</v>
      </c>
      <c r="E36" s="10">
        <f>Tabella8[[#This Row],[Italy cumulative]]*NOT(ISBLANK(Tabella8[[#This Row],[Italy cumulative]]))</f>
        <v>6077</v>
      </c>
      <c r="F36" s="10">
        <f>Tabella8[[#This Row],[Lombardy fit]]+Tabella8[[#This Row],[rest of Italy fit]]</f>
        <v>6242.1000179830216</v>
      </c>
      <c r="G36" s="10">
        <f>Tabella8[[#This Row],[Italy sum of regions]]*NOT(ISBLANK(Tabella8[[#This Row],[Italy cumulative]]))</f>
        <v>6242.1000179830216</v>
      </c>
      <c r="H36" s="98">
        <f>Kt*_xlfn.LOGNORM.DIST(Tabella8[[#This Row],[Day]],mu_t,sigma_t,TRUE)</f>
        <v>6009.9238275309008</v>
      </c>
      <c r="I36" s="10">
        <f>Tabella8[[#This Row],[Italy fit]]*NOT(ISBLANK(Tabella8[[#This Row],[Italy cumulative]]))</f>
        <v>6009.9238275309008</v>
      </c>
      <c r="J36" s="10">
        <f>Tabella8[[#This Row],[Italy sum of regions]]+CI</f>
        <v>6562.233052302171</v>
      </c>
      <c r="K36" s="10">
        <f>MAX(Tabella8[[#This Row],[Italy sum of regions]]-CI,0)</f>
        <v>5921.9669836638723</v>
      </c>
      <c r="L36" s="79">
        <f t="shared" si="0"/>
        <v>3776</v>
      </c>
      <c r="M36" s="10">
        <f>Tabella8[[#This Row],[Lombardy]]*NOT(ISBLANK(Tabella8[[#This Row],[Lombardy]]))</f>
        <v>3776</v>
      </c>
      <c r="N36" s="99">
        <f>Kr*_xlfn.LOGNORM.DIST(Tabella8[[#This Row],[Day]],mu_r,sigma_r,TRUE)</f>
        <v>3866.9192149868513</v>
      </c>
      <c r="O36" s="10">
        <f>Tabella8[[#This Row],[Lombardy fit]]*NOT(ISBLANK(Tabella8[[#This Row],[Lombardy]]))</f>
        <v>3866.9192149868513</v>
      </c>
      <c r="P36" s="10">
        <f>Tabella8[[#This Row],[Lombardy fit]]+CIr</f>
        <v>4086.7163240718455</v>
      </c>
      <c r="Q36" s="10">
        <f>MAX(Tabella8[[#This Row],[Lombardy fit]]-CIr,0)</f>
        <v>3647.1221059018571</v>
      </c>
      <c r="R36" s="10">
        <f>Tabella8[[#This Row],[Italy cumulative]]-Tabella8[[#This Row],[Lombardy]]</f>
        <v>2301</v>
      </c>
      <c r="S36" s="10">
        <f>Tabella8[[#This Row],[rest of Italy ]]*NOT(ISBLANK(Tabella8[[#This Row],[rest of Italy ]]))</f>
        <v>2301</v>
      </c>
      <c r="T36" s="100">
        <f>Ko*_xlfn.LOGNORM.DIST(Tabella8[[#This Row],[Day]],mu_o,sigma_o,TRUE)</f>
        <v>2375.1808029961703</v>
      </c>
      <c r="U36" s="26">
        <f>Tabella8[[#This Row],[rest of Italy fit]]*NOT(ISBLANK(Tabella8[[#This Row],[rest of Italy ]]))</f>
        <v>2375.1808029961703</v>
      </c>
      <c r="V36" s="10">
        <f>Tabella8[[#This Row],[rest of Italy fit]]+CIo</f>
        <v>2513.6665167709111</v>
      </c>
      <c r="W36" s="10">
        <f>MAX(Tabella8[[#This Row],[rest of Italy fit]]-CIo,0)</f>
        <v>2236.6950892214295</v>
      </c>
      <c r="Y36" s="2" t="s">
        <v>4</v>
      </c>
      <c r="Z36" s="7" cm="1">
        <f t="array" ref="Z36">1-SUM((Tabella8[Colonna6]-Tabella8[Colonna7])^2)/SUM((Tabella8[Colonna6]-Mean_of_yo)^2)</f>
        <v>0.99987462502998359</v>
      </c>
      <c r="AN36" s="50"/>
      <c r="AT36" s="94"/>
      <c r="AU36" s="94"/>
      <c r="AW36" s="36"/>
      <c r="AX36" s="36"/>
      <c r="AZ36" s="97"/>
      <c r="BA36" s="97"/>
    </row>
    <row r="37" spans="2:53" ht="15" thickBot="1" x14ac:dyDescent="0.35">
      <c r="B37" s="9">
        <v>43914</v>
      </c>
      <c r="C37" s="4">
        <f t="shared" si="1"/>
        <v>30</v>
      </c>
      <c r="D37" s="10">
        <f>'dpc-covid19-ita-andamento-naz'!K31</f>
        <v>6820</v>
      </c>
      <c r="E37" s="10">
        <f>Tabella8[[#This Row],[Italy cumulative]]*NOT(ISBLANK(Tabella8[[#This Row],[Italy cumulative]]))</f>
        <v>6820</v>
      </c>
      <c r="F37" s="10">
        <f>Tabella8[[#This Row],[Lombardy fit]]+Tabella8[[#This Row],[rest of Italy fit]]</f>
        <v>6943.3829269473954</v>
      </c>
      <c r="G37" s="10">
        <f>Tabella8[[#This Row],[Italy sum of regions]]*NOT(ISBLANK(Tabella8[[#This Row],[Italy cumulative]]))</f>
        <v>6943.3829269473954</v>
      </c>
      <c r="H37" s="98">
        <f>Kt*_xlfn.LOGNORM.DIST(Tabella8[[#This Row],[Day]],mu_t,sigma_t,TRUE)</f>
        <v>6801.2417890732377</v>
      </c>
      <c r="I37" s="10">
        <f>Tabella8[[#This Row],[Italy fit]]*NOT(ISBLANK(Tabella8[[#This Row],[Italy cumulative]]))</f>
        <v>6801.2417890732377</v>
      </c>
      <c r="J37" s="10">
        <f>Tabella8[[#This Row],[Italy sum of regions]]+CI</f>
        <v>7263.5159612665448</v>
      </c>
      <c r="K37" s="10">
        <f>MAX(Tabella8[[#This Row],[Italy sum of regions]]-CI,0)</f>
        <v>6623.249892628246</v>
      </c>
      <c r="L37" s="79">
        <f t="shared" si="0"/>
        <v>4178</v>
      </c>
      <c r="M37" s="10">
        <f>Tabella8[[#This Row],[Lombardy]]*NOT(ISBLANK(Tabella8[[#This Row],[Lombardy]]))</f>
        <v>4178</v>
      </c>
      <c r="N37" s="99">
        <f>Kr*_xlfn.LOGNORM.DIST(Tabella8[[#This Row],[Day]],mu_r,sigma_r,TRUE)</f>
        <v>4262.8561975774501</v>
      </c>
      <c r="O37" s="10">
        <f>Tabella8[[#This Row],[Lombardy fit]]*NOT(ISBLANK(Tabella8[[#This Row],[Lombardy]]))</f>
        <v>4262.8561975774501</v>
      </c>
      <c r="P37" s="10">
        <f>Tabella8[[#This Row],[Lombardy fit]]+CIr</f>
        <v>4482.6533066624443</v>
      </c>
      <c r="Q37" s="10">
        <f>MAX(Tabella8[[#This Row],[Lombardy fit]]-CIr,0)</f>
        <v>4043.0590884924559</v>
      </c>
      <c r="R37" s="10">
        <f>Tabella8[[#This Row],[Italy cumulative]]-Tabella8[[#This Row],[Lombardy]]</f>
        <v>2642</v>
      </c>
      <c r="S37" s="10">
        <f>Tabella8[[#This Row],[rest of Italy ]]*NOT(ISBLANK(Tabella8[[#This Row],[rest of Italy ]]))</f>
        <v>2642</v>
      </c>
      <c r="T37" s="100">
        <f>Ko*_xlfn.LOGNORM.DIST(Tabella8[[#This Row],[Day]],mu_o,sigma_o,TRUE)</f>
        <v>2680.5267293699458</v>
      </c>
      <c r="U37" s="26">
        <f>Tabella8[[#This Row],[rest of Italy fit]]*NOT(ISBLANK(Tabella8[[#This Row],[rest of Italy ]]))</f>
        <v>2680.5267293699458</v>
      </c>
      <c r="V37" s="10">
        <f>Tabella8[[#This Row],[rest of Italy fit]]+CIo</f>
        <v>2819.0124431446866</v>
      </c>
      <c r="W37" s="10">
        <f>MAX(Tabella8[[#This Row],[rest of Italy fit]]-CIo,0)</f>
        <v>2542.041015595205</v>
      </c>
      <c r="Y37" s="2" t="s">
        <v>5</v>
      </c>
      <c r="Z37" s="7">
        <f>TINV(0.05,dfo)</f>
        <v>2.0032407188478727</v>
      </c>
      <c r="AN37" s="51"/>
      <c r="AT37" s="94"/>
      <c r="AU37" s="94"/>
      <c r="AW37" s="36"/>
      <c r="AX37" s="36"/>
      <c r="AZ37" s="97"/>
      <c r="BA37" s="97"/>
    </row>
    <row r="38" spans="2:53" ht="15" thickTop="1" x14ac:dyDescent="0.3">
      <c r="B38" s="9">
        <v>43915</v>
      </c>
      <c r="C38" s="4">
        <f t="shared" si="1"/>
        <v>31</v>
      </c>
      <c r="D38" s="10">
        <f>'dpc-covid19-ita-andamento-naz'!K32</f>
        <v>7503</v>
      </c>
      <c r="E38" s="10">
        <f>Tabella8[[#This Row],[Italy cumulative]]*NOT(ISBLANK(Tabella8[[#This Row],[Italy cumulative]]))</f>
        <v>7503</v>
      </c>
      <c r="F38" s="10">
        <f>Tabella8[[#This Row],[Lombardy fit]]+Tabella8[[#This Row],[rest of Italy fit]]</f>
        <v>7662.9421692897095</v>
      </c>
      <c r="G38" s="10">
        <f>Tabella8[[#This Row],[Italy sum of regions]]*NOT(ISBLANK(Tabella8[[#This Row],[Italy cumulative]]))</f>
        <v>7662.9421692897095</v>
      </c>
      <c r="H38" s="98">
        <f>Kt*_xlfn.LOGNORM.DIST(Tabella8[[#This Row],[Day]],mu_t,sigma_t,TRUE)</f>
        <v>7614.5134707144825</v>
      </c>
      <c r="I38" s="10">
        <f>Tabella8[[#This Row],[Italy fit]]*NOT(ISBLANK(Tabella8[[#This Row],[Italy cumulative]]))</f>
        <v>7614.5134707144825</v>
      </c>
      <c r="J38" s="10">
        <f>Tabella8[[#This Row],[Italy sum of regions]]+CI</f>
        <v>7983.0752036088588</v>
      </c>
      <c r="K38" s="10">
        <f>MAX(Tabella8[[#This Row],[Italy sum of regions]]-CI,0)</f>
        <v>7342.8091349705601</v>
      </c>
      <c r="L38" s="79">
        <f t="shared" si="0"/>
        <v>4474</v>
      </c>
      <c r="M38" s="10">
        <f>Tabella8[[#This Row],[Lombardy]]*NOT(ISBLANK(Tabella8[[#This Row],[Lombardy]]))</f>
        <v>4474</v>
      </c>
      <c r="N38" s="99">
        <f>Kr*_xlfn.LOGNORM.DIST(Tabella8[[#This Row],[Day]],mu_r,sigma_r,TRUE)</f>
        <v>4663.343823509942</v>
      </c>
      <c r="O38" s="10">
        <f>Tabella8[[#This Row],[Lombardy fit]]*NOT(ISBLANK(Tabella8[[#This Row],[Lombardy]]))</f>
        <v>4663.343823509942</v>
      </c>
      <c r="P38" s="10">
        <f>Tabella8[[#This Row],[Lombardy fit]]+CIr</f>
        <v>4883.1409325949362</v>
      </c>
      <c r="Q38" s="10">
        <f>MAX(Tabella8[[#This Row],[Lombardy fit]]-CIr,0)</f>
        <v>4443.5467144249478</v>
      </c>
      <c r="R38" s="10">
        <f>Tabella8[[#This Row],[Italy cumulative]]-Tabella8[[#This Row],[Lombardy]]</f>
        <v>3029</v>
      </c>
      <c r="S38" s="10">
        <f>Tabella8[[#This Row],[rest of Italy ]]*NOT(ISBLANK(Tabella8[[#This Row],[rest of Italy ]]))</f>
        <v>3029</v>
      </c>
      <c r="T38" s="100">
        <f>Ko*_xlfn.LOGNORM.DIST(Tabella8[[#This Row],[Day]],mu_o,sigma_o,TRUE)</f>
        <v>2999.5983457797674</v>
      </c>
      <c r="U38" s="26">
        <f>Tabella8[[#This Row],[rest of Italy fit]]*NOT(ISBLANK(Tabella8[[#This Row],[rest of Italy ]]))</f>
        <v>2999.5983457797674</v>
      </c>
      <c r="V38" s="10">
        <f>Tabella8[[#This Row],[rest of Italy fit]]+CIo</f>
        <v>3138.0840595545083</v>
      </c>
      <c r="W38" s="10">
        <f>MAX(Tabella8[[#This Row],[rest of Italy fit]]-CIo,0)</f>
        <v>2861.1126320050266</v>
      </c>
      <c r="Y38" s="2" t="s">
        <v>6</v>
      </c>
      <c r="Z38" s="1">
        <f>Critical_to*SE_of_yo</f>
        <v>138.48571377474096</v>
      </c>
      <c r="AN38" s="55">
        <f>MAX($Z$47)</f>
        <v>0.99874062785511375</v>
      </c>
      <c r="AT38" s="94"/>
      <c r="AU38" s="94"/>
      <c r="AW38" s="36"/>
      <c r="AX38" s="36"/>
      <c r="AZ38" s="97"/>
      <c r="BA38" s="97"/>
    </row>
    <row r="39" spans="2:53" x14ac:dyDescent="0.3">
      <c r="B39" s="9">
        <v>43916</v>
      </c>
      <c r="C39" s="4">
        <f t="shared" si="1"/>
        <v>32</v>
      </c>
      <c r="D39" s="10">
        <f>'dpc-covid19-ita-andamento-naz'!K33</f>
        <v>8165</v>
      </c>
      <c r="E39" s="10">
        <f>Tabella8[[#This Row],[Italy cumulative]]*NOT(ISBLANK(Tabella8[[#This Row],[Italy cumulative]]))</f>
        <v>8165</v>
      </c>
      <c r="F39" s="10">
        <f>Tabella8[[#This Row],[Lombardy fit]]+Tabella8[[#This Row],[rest of Italy fit]]</f>
        <v>8396.661434931224</v>
      </c>
      <c r="G39" s="10">
        <f>Tabella8[[#This Row],[Italy sum of regions]]*NOT(ISBLANK(Tabella8[[#This Row],[Italy cumulative]]))</f>
        <v>8396.661434931224</v>
      </c>
      <c r="H39" s="98">
        <f>Kt*_xlfn.LOGNORM.DIST(Tabella8[[#This Row],[Day]],mu_t,sigma_t,TRUE)</f>
        <v>8442.4711650988538</v>
      </c>
      <c r="I39" s="10">
        <f>Tabella8[[#This Row],[Italy fit]]*NOT(ISBLANK(Tabella8[[#This Row],[Italy cumulative]]))</f>
        <v>8442.4711650988538</v>
      </c>
      <c r="J39" s="10">
        <f>Tabella8[[#This Row],[Italy sum of regions]]+CI</f>
        <v>8716.7944692503734</v>
      </c>
      <c r="K39" s="10">
        <f>MAX(Tabella8[[#This Row],[Italy sum of regions]]-CI,0)</f>
        <v>8076.5284006120746</v>
      </c>
      <c r="L39" s="79">
        <f t="shared" si="0"/>
        <v>4861</v>
      </c>
      <c r="M39" s="10">
        <f>Tabella8[[#This Row],[Lombardy]]*NOT(ISBLANK(Tabella8[[#This Row],[Lombardy]]))</f>
        <v>4861</v>
      </c>
      <c r="N39" s="99">
        <f>Kr*_xlfn.LOGNORM.DIST(Tabella8[[#This Row],[Day]],mu_r,sigma_r,TRUE)</f>
        <v>5065.9231103604361</v>
      </c>
      <c r="O39" s="10">
        <f>Tabella8[[#This Row],[Lombardy fit]]*NOT(ISBLANK(Tabella8[[#This Row],[Lombardy]]))</f>
        <v>5065.9231103604361</v>
      </c>
      <c r="P39" s="10">
        <f>Tabella8[[#This Row],[Lombardy fit]]+CIr</f>
        <v>5285.7202194454303</v>
      </c>
      <c r="Q39" s="10">
        <f>MAX(Tabella8[[#This Row],[Lombardy fit]]-CIr,0)</f>
        <v>4846.1260012754419</v>
      </c>
      <c r="R39" s="10">
        <f>Tabella8[[#This Row],[Italy cumulative]]-Tabella8[[#This Row],[Lombardy]]</f>
        <v>3304</v>
      </c>
      <c r="S39" s="10">
        <f>Tabella8[[#This Row],[rest of Italy ]]*NOT(ISBLANK(Tabella8[[#This Row],[rest of Italy ]]))</f>
        <v>3304</v>
      </c>
      <c r="T39" s="100">
        <f>Ko*_xlfn.LOGNORM.DIST(Tabella8[[#This Row],[Day]],mu_o,sigma_o,TRUE)</f>
        <v>3330.7383245707879</v>
      </c>
      <c r="U39" s="26">
        <f>Tabella8[[#This Row],[rest of Italy fit]]*NOT(ISBLANK(Tabella8[[#This Row],[rest of Italy ]]))</f>
        <v>3330.7383245707879</v>
      </c>
      <c r="V39" s="10">
        <f>Tabella8[[#This Row],[rest of Italy fit]]+CIo</f>
        <v>3469.2240383455287</v>
      </c>
      <c r="W39" s="10">
        <f>MAX(Tabella8[[#This Row],[rest of Italy fit]]-CIo,0)</f>
        <v>3192.2526107960471</v>
      </c>
      <c r="Y39" s="17"/>
      <c r="Z39" s="87"/>
      <c r="AN39" s="56">
        <f>COUNT($Z$41,$Z$42,$Z$43)</f>
        <v>3</v>
      </c>
      <c r="AT39" s="94"/>
      <c r="AU39" s="94"/>
      <c r="AW39" s="36"/>
      <c r="AX39" s="36"/>
      <c r="AZ39" s="97"/>
      <c r="BA39" s="97"/>
    </row>
    <row r="40" spans="2:53" x14ac:dyDescent="0.3">
      <c r="B40" s="9">
        <v>43917</v>
      </c>
      <c r="C40" s="4">
        <f t="shared" si="1"/>
        <v>33</v>
      </c>
      <c r="D40" s="10">
        <f>'dpc-covid19-ita-andamento-naz'!K34</f>
        <v>9134</v>
      </c>
      <c r="E40" s="10">
        <f>Tabella8[[#This Row],[Italy cumulative]]*NOT(ISBLANK(Tabella8[[#This Row],[Italy cumulative]]))</f>
        <v>9134</v>
      </c>
      <c r="F40" s="10">
        <f>Tabella8[[#This Row],[Lombardy fit]]+Tabella8[[#This Row],[rest of Italy fit]]</f>
        <v>9140.586702694698</v>
      </c>
      <c r="G40" s="10">
        <f>Tabella8[[#This Row],[Italy sum of regions]]*NOT(ISBLANK(Tabella8[[#This Row],[Italy cumulative]]))</f>
        <v>9140.586702694698</v>
      </c>
      <c r="H40" s="98">
        <f>Kt*_xlfn.LOGNORM.DIST(Tabella8[[#This Row],[Day]],mu_t,sigma_t,TRUE)</f>
        <v>9278.1508976332971</v>
      </c>
      <c r="I40" s="10">
        <f>Tabella8[[#This Row],[Italy fit]]*NOT(ISBLANK(Tabella8[[#This Row],[Italy cumulative]]))</f>
        <v>9278.1508976332971</v>
      </c>
      <c r="J40" s="10">
        <f>Tabella8[[#This Row],[Italy sum of regions]]+CI</f>
        <v>9460.7197370138474</v>
      </c>
      <c r="K40" s="10">
        <f>MAX(Tabella8[[#This Row],[Italy sum of regions]]-CI,0)</f>
        <v>8820.4536683755487</v>
      </c>
      <c r="L40" s="79">
        <f t="shared" ref="L40:L66" si="2">GETPIVOTDATA("deceduti",Z87,"data",ROW(Z87))</f>
        <v>5402</v>
      </c>
      <c r="M40" s="10">
        <f>Tabella8[[#This Row],[Lombardy]]*NOT(ISBLANK(Tabella8[[#This Row],[Lombardy]]))</f>
        <v>5402</v>
      </c>
      <c r="N40" s="99">
        <f>Kr*_xlfn.LOGNORM.DIST(Tabella8[[#This Row],[Day]],mu_r,sigma_r,TRUE)</f>
        <v>5468.3248808817289</v>
      </c>
      <c r="O40" s="10">
        <f>Tabella8[[#This Row],[Lombardy fit]]*NOT(ISBLANK(Tabella8[[#This Row],[Lombardy]]))</f>
        <v>5468.3248808817289</v>
      </c>
      <c r="P40" s="10">
        <f>Tabella8[[#This Row],[Lombardy fit]]+CIr</f>
        <v>5688.121989966723</v>
      </c>
      <c r="Q40" s="10">
        <f>MAX(Tabella8[[#This Row],[Lombardy fit]]-CIr,0)</f>
        <v>5248.5277717967347</v>
      </c>
      <c r="R40" s="10">
        <f>Tabella8[[#This Row],[Italy cumulative]]-Tabella8[[#This Row],[Lombardy]]</f>
        <v>3732</v>
      </c>
      <c r="S40" s="10">
        <f>Tabella8[[#This Row],[rest of Italy ]]*NOT(ISBLANK(Tabella8[[#This Row],[rest of Italy ]]))</f>
        <v>3732</v>
      </c>
      <c r="T40" s="100">
        <f>Ko*_xlfn.LOGNORM.DIST(Tabella8[[#This Row],[Day]],mu_o,sigma_o,TRUE)</f>
        <v>3672.2618218129683</v>
      </c>
      <c r="U40" s="26">
        <f>Tabella8[[#This Row],[rest of Italy fit]]*NOT(ISBLANK(Tabella8[[#This Row],[rest of Italy ]]))</f>
        <v>3672.2618218129683</v>
      </c>
      <c r="V40" s="10">
        <f>Tabella8[[#This Row],[rest of Italy fit]]+CIo</f>
        <v>3810.7475355877091</v>
      </c>
      <c r="W40" s="10">
        <f>MAX(Tabella8[[#This Row],[rest of Italy fit]]-CIo,0)</f>
        <v>3533.7761080382274</v>
      </c>
      <c r="Y40" s="20" t="s">
        <v>124</v>
      </c>
      <c r="Z40" s="21" t="s">
        <v>86</v>
      </c>
      <c r="AN40" s="56">
        <f>{32767;32767;0.000001;0.01;FALSE;FALSE;FALSE;1;2;1;0.0001;TRUE}</f>
        <v>32767</v>
      </c>
      <c r="AT40" s="94"/>
      <c r="AU40" s="94"/>
      <c r="AW40" s="36"/>
      <c r="AX40" s="36"/>
      <c r="AZ40" s="97"/>
      <c r="BA40" s="97"/>
    </row>
    <row r="41" spans="2:53" x14ac:dyDescent="0.3">
      <c r="B41" s="9">
        <v>43918</v>
      </c>
      <c r="C41" s="4">
        <f t="shared" si="1"/>
        <v>34</v>
      </c>
      <c r="D41" s="10">
        <f>'dpc-covid19-ita-andamento-naz'!K35</f>
        <v>10023</v>
      </c>
      <c r="E41" s="10">
        <f>Tabella8[[#This Row],[Italy cumulative]]*NOT(ISBLANK(Tabella8[[#This Row],[Italy cumulative]]))</f>
        <v>10023</v>
      </c>
      <c r="F41" s="10">
        <f>Tabella8[[#This Row],[Lombardy fit]]+Tabella8[[#This Row],[rest of Italy fit]]</f>
        <v>9890.970856575168</v>
      </c>
      <c r="G41" s="10">
        <f>Tabella8[[#This Row],[Italy sum of regions]]*NOT(ISBLANK(Tabella8[[#This Row],[Italy cumulative]]))</f>
        <v>9890.970856575168</v>
      </c>
      <c r="H41" s="98">
        <f>Kt*_xlfn.LOGNORM.DIST(Tabella8[[#This Row],[Day]],mu_t,sigma_t,TRUE)</f>
        <v>10115.02792379468</v>
      </c>
      <c r="I41" s="10">
        <f>Tabella8[[#This Row],[Italy fit]]*NOT(ISBLANK(Tabella8[[#This Row],[Italy cumulative]]))</f>
        <v>10115.02792379468</v>
      </c>
      <c r="J41" s="10">
        <f>Tabella8[[#This Row],[Italy sum of regions]]+CI</f>
        <v>10211.103890894317</v>
      </c>
      <c r="K41" s="10">
        <f>MAX(Tabella8[[#This Row],[Italy sum of regions]]-CI,0)</f>
        <v>9570.8378222560186</v>
      </c>
      <c r="L41" s="79">
        <f t="shared" si="2"/>
        <v>5944</v>
      </c>
      <c r="M41" s="10">
        <f>Tabella8[[#This Row],[Lombardy]]*NOT(ISBLANK(Tabella8[[#This Row],[Lombardy]]))</f>
        <v>5944</v>
      </c>
      <c r="N41" s="99">
        <f>Kr*_xlfn.LOGNORM.DIST(Tabella8[[#This Row],[Day]],mu_r,sigma_r,TRUE)</f>
        <v>5868.4853966238779</v>
      </c>
      <c r="O41" s="10">
        <f>Tabella8[[#This Row],[Lombardy fit]]*NOT(ISBLANK(Tabella8[[#This Row],[Lombardy]]))</f>
        <v>5868.4853966238779</v>
      </c>
      <c r="P41" s="10">
        <f>Tabella8[[#This Row],[Lombardy fit]]+CIr</f>
        <v>6088.2825057088721</v>
      </c>
      <c r="Q41" s="10">
        <f>MAX(Tabella8[[#This Row],[Lombardy fit]]-CIr,0)</f>
        <v>5648.6882875388837</v>
      </c>
      <c r="R41" s="10">
        <f>Tabella8[[#This Row],[Italy cumulative]]-Tabella8[[#This Row],[Lombardy]]</f>
        <v>4079</v>
      </c>
      <c r="S41" s="10">
        <f>Tabella8[[#This Row],[rest of Italy ]]*NOT(ISBLANK(Tabella8[[#This Row],[rest of Italy ]]))</f>
        <v>4079</v>
      </c>
      <c r="T41" s="100">
        <f>Ko*_xlfn.LOGNORM.DIST(Tabella8[[#This Row],[Day]],mu_o,sigma_o,TRUE)</f>
        <v>4022.4854599512905</v>
      </c>
      <c r="U41" s="26">
        <f>Tabella8[[#This Row],[rest of Italy fit]]*NOT(ISBLANK(Tabella8[[#This Row],[rest of Italy ]]))</f>
        <v>4022.4854599512905</v>
      </c>
      <c r="V41" s="10">
        <f>Tabella8[[#This Row],[rest of Italy fit]]+CIo</f>
        <v>4160.9711737260313</v>
      </c>
      <c r="W41" s="10">
        <f>MAX(Tabella8[[#This Row],[rest of Italy fit]]-CIo,0)</f>
        <v>3883.9997461765497</v>
      </c>
      <c r="Y41" s="17" t="s">
        <v>0</v>
      </c>
      <c r="Z41" s="5">
        <v>26000.000256193827</v>
      </c>
      <c r="AN41" s="56">
        <f>{0;0;1;100;0;FALSE;FALSE;0.075;0;0;FALSE;30}</f>
        <v>0</v>
      </c>
      <c r="AT41" s="94"/>
      <c r="AU41" s="94"/>
      <c r="AW41" s="36"/>
      <c r="AX41" s="36"/>
      <c r="AZ41" s="97"/>
      <c r="BA41" s="97"/>
    </row>
    <row r="42" spans="2:53" x14ac:dyDescent="0.3">
      <c r="B42" s="9">
        <v>43919</v>
      </c>
      <c r="C42" s="4">
        <f t="shared" si="1"/>
        <v>35</v>
      </c>
      <c r="D42" s="10">
        <f>'dpc-covid19-ita-andamento-naz'!K36</f>
        <v>10779</v>
      </c>
      <c r="E42" s="10">
        <f>Tabella8[[#This Row],[Italy cumulative]]*NOT(ISBLANK(Tabella8[[#This Row],[Italy cumulative]]))</f>
        <v>10779</v>
      </c>
      <c r="F42" s="10">
        <f>Tabella8[[#This Row],[Lombardy fit]]+Tabella8[[#This Row],[rest of Italy fit]]</f>
        <v>10644.306394155694</v>
      </c>
      <c r="G42" s="10">
        <f>Tabella8[[#This Row],[Italy sum of regions]]*NOT(ISBLANK(Tabella8[[#This Row],[Italy cumulative]]))</f>
        <v>10644.306394155694</v>
      </c>
      <c r="H42" s="98">
        <f>Kt*_xlfn.LOGNORM.DIST(Tabella8[[#This Row],[Day]],mu_t,sigma_t,TRUE)</f>
        <v>10947.115657213044</v>
      </c>
      <c r="I42" s="10">
        <f>Tabella8[[#This Row],[Italy fit]]*NOT(ISBLANK(Tabella8[[#This Row],[Italy cumulative]]))</f>
        <v>10947.115657213044</v>
      </c>
      <c r="J42" s="10">
        <f>Tabella8[[#This Row],[Italy sum of regions]]+CI</f>
        <v>10964.439428474843</v>
      </c>
      <c r="K42" s="10">
        <f>MAX(Tabella8[[#This Row],[Italy sum of regions]]-CI,0)</f>
        <v>10324.173359836544</v>
      </c>
      <c r="L42" s="79">
        <f t="shared" si="2"/>
        <v>6360</v>
      </c>
      <c r="M42" s="10">
        <f>Tabella8[[#This Row],[Lombardy]]*NOT(ISBLANK(Tabella8[[#This Row],[Lombardy]]))</f>
        <v>6360</v>
      </c>
      <c r="N42" s="99">
        <f>Kr*_xlfn.LOGNORM.DIST(Tabella8[[#This Row],[Day]],mu_r,sigma_r,TRUE)</f>
        <v>6264.554302356757</v>
      </c>
      <c r="O42" s="10">
        <f>Tabella8[[#This Row],[Lombardy fit]]*NOT(ISBLANK(Tabella8[[#This Row],[Lombardy]]))</f>
        <v>6264.554302356757</v>
      </c>
      <c r="P42" s="10">
        <f>Tabella8[[#This Row],[Lombardy fit]]+CIr</f>
        <v>6484.3514114417512</v>
      </c>
      <c r="Q42" s="10">
        <f>MAX(Tabella8[[#This Row],[Lombardy fit]]-CIr,0)</f>
        <v>6044.7571932717628</v>
      </c>
      <c r="R42" s="10">
        <f>Tabella8[[#This Row],[Italy cumulative]]-Tabella8[[#This Row],[Lombardy]]</f>
        <v>4419</v>
      </c>
      <c r="S42" s="10">
        <f>Tabella8[[#This Row],[rest of Italy ]]*NOT(ISBLANK(Tabella8[[#This Row],[rest of Italy ]]))</f>
        <v>4419</v>
      </c>
      <c r="T42" s="100">
        <f>Ko*_xlfn.LOGNORM.DIST(Tabella8[[#This Row],[Day]],mu_o,sigma_o,TRUE)</f>
        <v>4379.7520917989377</v>
      </c>
      <c r="U42" s="26">
        <f>Tabella8[[#This Row],[rest of Italy fit]]*NOT(ISBLANK(Tabella8[[#This Row],[rest of Italy ]]))</f>
        <v>4379.7520917989377</v>
      </c>
      <c r="V42" s="10">
        <f>Tabella8[[#This Row],[rest of Italy fit]]+CIo</f>
        <v>4518.237805573679</v>
      </c>
      <c r="W42" s="10">
        <f>MAX(Tabella8[[#This Row],[rest of Italy fit]]-CIo,0)</f>
        <v>4241.2663780241965</v>
      </c>
      <c r="Y42" s="117" t="s">
        <v>308</v>
      </c>
      <c r="Z42" s="34">
        <v>3.6252667570344488</v>
      </c>
      <c r="AN42" s="56">
        <f>{32767;32767;0.000001;0;FALSE;FALSE;FALSE;1;2;1;0.0001;TRUE}</f>
        <v>32767</v>
      </c>
      <c r="AT42" s="94"/>
      <c r="AU42" s="94"/>
      <c r="AW42" s="36"/>
      <c r="AX42" s="36"/>
      <c r="AZ42" s="97"/>
      <c r="BA42" s="97"/>
    </row>
    <row r="43" spans="2:53" ht="15" thickBot="1" x14ac:dyDescent="0.35">
      <c r="B43" s="9">
        <v>43920</v>
      </c>
      <c r="C43" s="4">
        <f t="shared" si="1"/>
        <v>36</v>
      </c>
      <c r="D43" s="10">
        <f>'dpc-covid19-ita-andamento-naz'!K37</f>
        <v>11591</v>
      </c>
      <c r="E43" s="10">
        <f>Tabella8[[#This Row],[Italy cumulative]]*NOT(ISBLANK(Tabella8[[#This Row],[Italy cumulative]]))</f>
        <v>11591</v>
      </c>
      <c r="F43" s="10">
        <f>Tabella8[[#This Row],[Lombardy fit]]+Tabella8[[#This Row],[rest of Italy fit]]</f>
        <v>11397.347700408096</v>
      </c>
      <c r="G43" s="10">
        <f>Tabella8[[#This Row],[Italy sum of regions]]*NOT(ISBLANK(Tabella8[[#This Row],[Italy cumulative]]))</f>
        <v>11397.347700408096</v>
      </c>
      <c r="H43" s="98">
        <f>Kt*_xlfn.LOGNORM.DIST(Tabella8[[#This Row],[Day]],mu_t,sigma_t,TRUE)</f>
        <v>11769.031352226537</v>
      </c>
      <c r="I43" s="10">
        <f>Tabella8[[#This Row],[Italy fit]]*NOT(ISBLANK(Tabella8[[#This Row],[Italy cumulative]]))</f>
        <v>11769.031352226537</v>
      </c>
      <c r="J43" s="10">
        <f>Tabella8[[#This Row],[Italy sum of regions]]+CI</f>
        <v>11717.480734727245</v>
      </c>
      <c r="K43" s="10">
        <f>MAX(Tabella8[[#This Row],[Italy sum of regions]]-CI,0)</f>
        <v>11077.214666088947</v>
      </c>
      <c r="L43" s="79">
        <f t="shared" si="2"/>
        <v>6818</v>
      </c>
      <c r="M43" s="10">
        <f>Tabella8[[#This Row],[Lombardy]]*NOT(ISBLANK(Tabella8[[#This Row],[Lombardy]]))</f>
        <v>6818</v>
      </c>
      <c r="N43" s="99">
        <f>Kr*_xlfn.LOGNORM.DIST(Tabella8[[#This Row],[Day]],mu_r,sigma_r,TRUE)</f>
        <v>6654.896255074249</v>
      </c>
      <c r="O43" s="10">
        <f>Tabella8[[#This Row],[Lombardy fit]]*NOT(ISBLANK(Tabella8[[#This Row],[Lombardy]]))</f>
        <v>6654.896255074249</v>
      </c>
      <c r="P43" s="10">
        <f>Tabella8[[#This Row],[Lombardy fit]]+CIr</f>
        <v>6874.6933641592432</v>
      </c>
      <c r="Q43" s="10">
        <f>MAX(Tabella8[[#This Row],[Lombardy fit]]-CIr,0)</f>
        <v>6435.0991459892548</v>
      </c>
      <c r="R43" s="10">
        <f>Tabella8[[#This Row],[Italy cumulative]]-Tabella8[[#This Row],[Lombardy]]</f>
        <v>4773</v>
      </c>
      <c r="S43" s="10">
        <f>Tabella8[[#This Row],[rest of Italy ]]*NOT(ISBLANK(Tabella8[[#This Row],[rest of Italy ]]))</f>
        <v>4773</v>
      </c>
      <c r="T43" s="100">
        <f>Ko*_xlfn.LOGNORM.DIST(Tabella8[[#This Row],[Day]],mu_o,sigma_o,TRUE)</f>
        <v>4742.451445333847</v>
      </c>
      <c r="U43" s="26">
        <f>Tabella8[[#This Row],[rest of Italy fit]]*NOT(ISBLANK(Tabella8[[#This Row],[rest of Italy ]]))</f>
        <v>4742.451445333847</v>
      </c>
      <c r="V43" s="10">
        <f>Tabella8[[#This Row],[rest of Italy fit]]+CIo</f>
        <v>4880.9371591085883</v>
      </c>
      <c r="W43" s="10">
        <f>MAX(Tabella8[[#This Row],[rest of Italy fit]]-CIo,0)</f>
        <v>4603.9657315591057</v>
      </c>
      <c r="Y43" s="17" t="s">
        <v>309</v>
      </c>
      <c r="Z43" s="34">
        <v>0.35095132167466481</v>
      </c>
      <c r="AN43" s="57">
        <f>{0;0;1;100;0;FALSE;FALSE;0.075;0;0;FALSE;30}</f>
        <v>0</v>
      </c>
      <c r="AT43" s="94"/>
      <c r="AU43" s="94"/>
      <c r="AW43" s="36"/>
      <c r="AX43" s="36"/>
      <c r="AZ43" s="97"/>
      <c r="BA43" s="97"/>
    </row>
    <row r="44" spans="2:53" x14ac:dyDescent="0.3">
      <c r="B44" s="9">
        <v>43921</v>
      </c>
      <c r="C44" s="4">
        <f t="shared" si="1"/>
        <v>37</v>
      </c>
      <c r="D44" s="10">
        <f>'dpc-covid19-ita-andamento-naz'!K38</f>
        <v>12428</v>
      </c>
      <c r="E44" s="10">
        <f>Tabella8[[#This Row],[Italy cumulative]]*NOT(ISBLANK(Tabella8[[#This Row],[Italy cumulative]]))</f>
        <v>12428</v>
      </c>
      <c r="F44" s="10">
        <f>Tabella8[[#This Row],[Lombardy fit]]+Tabella8[[#This Row],[rest of Italy fit]]</f>
        <v>12147.124376955102</v>
      </c>
      <c r="G44" s="10">
        <f>Tabella8[[#This Row],[Italy sum of regions]]*NOT(ISBLANK(Tabella8[[#This Row],[Italy cumulative]]))</f>
        <v>12147.124376955102</v>
      </c>
      <c r="H44" s="98">
        <f>Kt*_xlfn.LOGNORM.DIST(Tabella8[[#This Row],[Day]],mu_t,sigma_t,TRUE)</f>
        <v>12576.032713781846</v>
      </c>
      <c r="I44" s="10">
        <f>Tabella8[[#This Row],[Italy fit]]*NOT(ISBLANK(Tabella8[[#This Row],[Italy cumulative]]))</f>
        <v>12576.032713781846</v>
      </c>
      <c r="J44" s="10">
        <f>Tabella8[[#This Row],[Italy sum of regions]]+CI</f>
        <v>12467.257411274251</v>
      </c>
      <c r="K44" s="10">
        <f>MAX(Tabella8[[#This Row],[Italy sum of regions]]-CI,0)</f>
        <v>11826.991342635953</v>
      </c>
      <c r="L44" s="79">
        <f t="shared" si="2"/>
        <v>7199</v>
      </c>
      <c r="M44" s="10">
        <f>Tabella8[[#This Row],[Lombardy]]*NOT(ISBLANK(Tabella8[[#This Row],[Lombardy]]))</f>
        <v>7199</v>
      </c>
      <c r="N44" s="99">
        <f>Kr*_xlfn.LOGNORM.DIST(Tabella8[[#This Row],[Day]],mu_r,sigma_r,TRUE)</f>
        <v>7038.0875116700663</v>
      </c>
      <c r="O44" s="10">
        <f>Tabella8[[#This Row],[Lombardy fit]]*NOT(ISBLANK(Tabella8[[#This Row],[Lombardy]]))</f>
        <v>7038.0875116700663</v>
      </c>
      <c r="P44" s="10">
        <f>Tabella8[[#This Row],[Lombardy fit]]+CIr</f>
        <v>7257.8846207550605</v>
      </c>
      <c r="Q44" s="10">
        <f>MAX(Tabella8[[#This Row],[Lombardy fit]]-CIr,0)</f>
        <v>6818.2904025850721</v>
      </c>
      <c r="R44" s="10">
        <f>Tabella8[[#This Row],[Italy cumulative]]-Tabella8[[#This Row],[Lombardy]]</f>
        <v>5229</v>
      </c>
      <c r="S44" s="10">
        <f>Tabella8[[#This Row],[rest of Italy ]]*NOT(ISBLANK(Tabella8[[#This Row],[rest of Italy ]]))</f>
        <v>5229</v>
      </c>
      <c r="T44" s="100">
        <f>Ko*_xlfn.LOGNORM.DIST(Tabella8[[#This Row],[Day]],mu_o,sigma_o,TRUE)</f>
        <v>5109.0368652850357</v>
      </c>
      <c r="U44" s="26">
        <f>Tabella8[[#This Row],[rest of Italy fit]]*NOT(ISBLANK(Tabella8[[#This Row],[rest of Italy ]]))</f>
        <v>5109.0368652850357</v>
      </c>
      <c r="V44" s="10">
        <f>Tabella8[[#This Row],[rest of Italy fit]]+CIo</f>
        <v>5247.5225790597769</v>
      </c>
      <c r="W44" s="10">
        <f>MAX(Tabella8[[#This Row],[rest of Italy fit]]-CIo,0)</f>
        <v>4970.5511515102944</v>
      </c>
      <c r="Y44" s="2" t="s">
        <v>1</v>
      </c>
      <c r="Z44" s="1">
        <f>AVERAGE(Tabella8[Italy cumulative])</f>
        <v>9259.3559322033907</v>
      </c>
      <c r="AT44" s="94"/>
      <c r="AU44" s="94"/>
      <c r="AW44" s="36"/>
      <c r="AX44" s="36"/>
      <c r="AZ44" s="97"/>
      <c r="BA44" s="97"/>
    </row>
    <row r="45" spans="2:53" x14ac:dyDescent="0.3">
      <c r="B45" s="9">
        <v>43922</v>
      </c>
      <c r="C45" s="4">
        <f t="shared" si="1"/>
        <v>38</v>
      </c>
      <c r="D45" s="10">
        <f>'dpc-covid19-ita-andamento-naz'!K39</f>
        <v>13155</v>
      </c>
      <c r="E45" s="10">
        <f>Tabella8[[#This Row],[Italy cumulative]]*NOT(ISBLANK(Tabella8[[#This Row],[Italy cumulative]]))</f>
        <v>13155</v>
      </c>
      <c r="F45" s="10">
        <f>Tabella8[[#This Row],[Lombardy fit]]+Tabella8[[#This Row],[rest of Italy fit]]</f>
        <v>12890.947065968234</v>
      </c>
      <c r="G45" s="10">
        <f>Tabella8[[#This Row],[Italy sum of regions]]*NOT(ISBLANK(Tabella8[[#This Row],[Italy cumulative]]))</f>
        <v>12890.947065968234</v>
      </c>
      <c r="H45" s="98">
        <f>Kt*_xlfn.LOGNORM.DIST(Tabella8[[#This Row],[Day]],mu_t,sigma_t,TRUE)</f>
        <v>13364.029984288829</v>
      </c>
      <c r="I45" s="10">
        <f>Tabella8[[#This Row],[Italy fit]]*NOT(ISBLANK(Tabella8[[#This Row],[Italy cumulative]]))</f>
        <v>13364.029984288829</v>
      </c>
      <c r="J45" s="10">
        <f>Tabella8[[#This Row],[Italy sum of regions]]+CI</f>
        <v>13211.080100287383</v>
      </c>
      <c r="K45" s="10">
        <f>MAX(Tabella8[[#This Row],[Italy sum of regions]]-CI,0)</f>
        <v>12570.814031649084</v>
      </c>
      <c r="L45" s="79">
        <f t="shared" si="2"/>
        <v>7593</v>
      </c>
      <c r="M45" s="10">
        <f>Tabella8[[#This Row],[Lombardy]]*NOT(ISBLANK(Tabella8[[#This Row],[Lombardy]]))</f>
        <v>7593</v>
      </c>
      <c r="N45" s="99">
        <f>Kr*_xlfn.LOGNORM.DIST(Tabella8[[#This Row],[Day]],mu_r,sigma_r,TRUE)</f>
        <v>7412.9086204317928</v>
      </c>
      <c r="O45" s="10">
        <f>Tabella8[[#This Row],[Lombardy fit]]*NOT(ISBLANK(Tabella8[[#This Row],[Lombardy]]))</f>
        <v>7412.9086204317928</v>
      </c>
      <c r="P45" s="10">
        <f>Tabella8[[#This Row],[Lombardy fit]]+CIr</f>
        <v>7632.705729516787</v>
      </c>
      <c r="Q45" s="10">
        <f>MAX(Tabella8[[#This Row],[Lombardy fit]]-CIr,0)</f>
        <v>7193.1115113467986</v>
      </c>
      <c r="R45" s="10">
        <f>Tabella8[[#This Row],[Italy cumulative]]-Tabella8[[#This Row],[Lombardy]]</f>
        <v>5562</v>
      </c>
      <c r="S45" s="10">
        <f>Tabella8[[#This Row],[rest of Italy ]]*NOT(ISBLANK(Tabella8[[#This Row],[rest of Italy ]]))</f>
        <v>5562</v>
      </c>
      <c r="T45" s="100">
        <f>Ko*_xlfn.LOGNORM.DIST(Tabella8[[#This Row],[Day]],mu_o,sigma_o,TRUE)</f>
        <v>5478.038445536441</v>
      </c>
      <c r="U45" s="26">
        <f>Tabella8[[#This Row],[rest of Italy fit]]*NOT(ISBLANK(Tabella8[[#This Row],[rest of Italy ]]))</f>
        <v>5478.038445536441</v>
      </c>
      <c r="V45" s="10">
        <f>Tabella8[[#This Row],[rest of Italy fit]]+CIo</f>
        <v>5616.5241593111823</v>
      </c>
      <c r="W45" s="10">
        <f>MAX(Tabella8[[#This Row],[rest of Italy fit]]-CIo,0)</f>
        <v>5339.5527317616998</v>
      </c>
      <c r="Y45" s="2" t="s">
        <v>2</v>
      </c>
      <c r="Z45" s="1">
        <f>COUNT(Tabella8[Italy cumulative])-COUNT(Z41:Z43)</f>
        <v>56</v>
      </c>
      <c r="AT45" s="94"/>
      <c r="AU45" s="94"/>
      <c r="AW45" s="36"/>
      <c r="AX45" s="36"/>
      <c r="AZ45" s="97"/>
      <c r="BA45" s="97"/>
    </row>
    <row r="46" spans="2:53" x14ac:dyDescent="0.3">
      <c r="B46" s="9">
        <v>43923</v>
      </c>
      <c r="C46" s="4">
        <f t="shared" si="1"/>
        <v>39</v>
      </c>
      <c r="D46" s="10">
        <f>'dpc-covid19-ita-andamento-naz'!K40</f>
        <v>13915</v>
      </c>
      <c r="E46" s="10">
        <f>Tabella8[[#This Row],[Italy cumulative]]*NOT(ISBLANK(Tabella8[[#This Row],[Italy cumulative]]))</f>
        <v>13915</v>
      </c>
      <c r="F46" s="10">
        <f>Tabella8[[#This Row],[Lombardy fit]]+Tabella8[[#This Row],[rest of Italy fit]]</f>
        <v>13626.407112505894</v>
      </c>
      <c r="G46" s="10">
        <f>Tabella8[[#This Row],[Italy sum of regions]]*NOT(ISBLANK(Tabella8[[#This Row],[Italy cumulative]]))</f>
        <v>13626.407112505894</v>
      </c>
      <c r="H46" s="98">
        <f>Kt*_xlfn.LOGNORM.DIST(Tabella8[[#This Row],[Day]],mu_t,sigma_t,TRUE)</f>
        <v>14129.578080590658</v>
      </c>
      <c r="I46" s="10">
        <f>Tabella8[[#This Row],[Italy fit]]*NOT(ISBLANK(Tabella8[[#This Row],[Italy cumulative]]))</f>
        <v>14129.578080590658</v>
      </c>
      <c r="J46" s="10">
        <f>Tabella8[[#This Row],[Italy sum of regions]]+CI</f>
        <v>13946.540146825044</v>
      </c>
      <c r="K46" s="10">
        <f>MAX(Tabella8[[#This Row],[Italy sum of regions]]-CI,0)</f>
        <v>13306.274078186745</v>
      </c>
      <c r="L46" s="79">
        <f t="shared" si="2"/>
        <v>7960</v>
      </c>
      <c r="M46" s="10">
        <f>Tabella8[[#This Row],[Lombardy]]*NOT(ISBLANK(Tabella8[[#This Row],[Lombardy]]))</f>
        <v>7960</v>
      </c>
      <c r="N46" s="99">
        <f>Kr*_xlfn.LOGNORM.DIST(Tabella8[[#This Row],[Day]],mu_r,sigma_r,TRUE)</f>
        <v>7778.3342191288202</v>
      </c>
      <c r="O46" s="10">
        <f>Tabella8[[#This Row],[Lombardy fit]]*NOT(ISBLANK(Tabella8[[#This Row],[Lombardy]]))</f>
        <v>7778.3342191288202</v>
      </c>
      <c r="P46" s="10">
        <f>Tabella8[[#This Row],[Lombardy fit]]+CIr</f>
        <v>7998.1313282138144</v>
      </c>
      <c r="Q46" s="10">
        <f>MAX(Tabella8[[#This Row],[Lombardy fit]]-CIr,0)</f>
        <v>7558.537110043826</v>
      </c>
      <c r="R46" s="10">
        <f>Tabella8[[#This Row],[Italy cumulative]]-Tabella8[[#This Row],[Lombardy]]</f>
        <v>5955</v>
      </c>
      <c r="S46" s="10">
        <f>Tabella8[[#This Row],[rest of Italy ]]*NOT(ISBLANK(Tabella8[[#This Row],[rest of Italy ]]))</f>
        <v>5955</v>
      </c>
      <c r="T46" s="100">
        <f>Ko*_xlfn.LOGNORM.DIST(Tabella8[[#This Row],[Day]],mu_o,sigma_o,TRUE)</f>
        <v>5848.0728933770752</v>
      </c>
      <c r="U46" s="26">
        <f>Tabella8[[#This Row],[rest of Italy fit]]*NOT(ISBLANK(Tabella8[[#This Row],[rest of Italy ]]))</f>
        <v>5848.0728933770752</v>
      </c>
      <c r="V46" s="10">
        <f>Tabella8[[#This Row],[rest of Italy fit]]+CIo</f>
        <v>5986.5586071518164</v>
      </c>
      <c r="W46" s="10">
        <f>MAX(Tabella8[[#This Row],[rest of Italy fit]]-CIo,0)</f>
        <v>5709.5871796023339</v>
      </c>
      <c r="Y46" s="2" t="s">
        <v>3</v>
      </c>
      <c r="Z46" s="6" cm="1">
        <f t="array" ref="Z46">SQRT(SUM((Tabella8[Colonna1]-Tabella8[Colonna3])^2)/dft)</f>
        <v>474.35351559128009</v>
      </c>
      <c r="AT46" s="94"/>
      <c r="AU46" s="94"/>
      <c r="AW46" s="36"/>
      <c r="AX46" s="36"/>
      <c r="AZ46" s="97"/>
      <c r="BA46" s="97"/>
    </row>
    <row r="47" spans="2:53" ht="16.2" x14ac:dyDescent="0.3">
      <c r="B47" s="9">
        <v>43924</v>
      </c>
      <c r="C47" s="4">
        <f t="shared" si="1"/>
        <v>40</v>
      </c>
      <c r="D47" s="10">
        <f>'dpc-covid19-ita-andamento-naz'!K41</f>
        <v>14681</v>
      </c>
      <c r="E47" s="10">
        <f>Tabella8[[#This Row],[Italy cumulative]]*NOT(ISBLANK(Tabella8[[#This Row],[Italy cumulative]]))</f>
        <v>14681</v>
      </c>
      <c r="F47" s="10">
        <f>Tabella8[[#This Row],[Lombardy fit]]+Tabella8[[#This Row],[rest of Italy fit]]</f>
        <v>14351.371287224316</v>
      </c>
      <c r="G47" s="10">
        <f>Tabella8[[#This Row],[Italy sum of regions]]*NOT(ISBLANK(Tabella8[[#This Row],[Italy cumulative]]))</f>
        <v>14351.371287224316</v>
      </c>
      <c r="H47" s="98">
        <f>Kt*_xlfn.LOGNORM.DIST(Tabella8[[#This Row],[Day]],mu_t,sigma_t,TRUE)</f>
        <v>14869.853130067524</v>
      </c>
      <c r="I47" s="10">
        <f>Tabella8[[#This Row],[Italy fit]]*NOT(ISBLANK(Tabella8[[#This Row],[Italy cumulative]]))</f>
        <v>14869.853130067524</v>
      </c>
      <c r="J47" s="10">
        <f>Tabella8[[#This Row],[Italy sum of regions]]+CI</f>
        <v>14671.504321543465</v>
      </c>
      <c r="K47" s="10">
        <f>MAX(Tabella8[[#This Row],[Italy sum of regions]]-CI,0)</f>
        <v>14031.238252905167</v>
      </c>
      <c r="L47" s="79">
        <f t="shared" si="2"/>
        <v>8311</v>
      </c>
      <c r="M47" s="10">
        <f>Tabella8[[#This Row],[Lombardy]]*NOT(ISBLANK(Tabella8[[#This Row],[Lombardy]]))</f>
        <v>8311</v>
      </c>
      <c r="N47" s="99">
        <f>Kr*_xlfn.LOGNORM.DIST(Tabella8[[#This Row],[Day]],mu_r,sigma_r,TRUE)</f>
        <v>8133.5207978990029</v>
      </c>
      <c r="O47" s="10">
        <f>Tabella8[[#This Row],[Lombardy fit]]*NOT(ISBLANK(Tabella8[[#This Row],[Lombardy]]))</f>
        <v>8133.5207978990029</v>
      </c>
      <c r="P47" s="10">
        <f>Tabella8[[#This Row],[Lombardy fit]]+CIr</f>
        <v>8353.3179069839971</v>
      </c>
      <c r="Q47" s="10">
        <f>MAX(Tabella8[[#This Row],[Lombardy fit]]-CIr,0)</f>
        <v>7913.7236888140087</v>
      </c>
      <c r="R47" s="10">
        <f>Tabella8[[#This Row],[Italy cumulative]]-Tabella8[[#This Row],[Lombardy]]</f>
        <v>6370</v>
      </c>
      <c r="S47" s="10">
        <f>Tabella8[[#This Row],[rest of Italy ]]*NOT(ISBLANK(Tabella8[[#This Row],[rest of Italy ]]))</f>
        <v>6370</v>
      </c>
      <c r="T47" s="100">
        <f>Ko*_xlfn.LOGNORM.DIST(Tabella8[[#This Row],[Day]],mu_o,sigma_o,TRUE)</f>
        <v>6217.850489325313</v>
      </c>
      <c r="U47" s="26">
        <f>Tabella8[[#This Row],[rest of Italy fit]]*NOT(ISBLANK(Tabella8[[#This Row],[rest of Italy ]]))</f>
        <v>6217.850489325313</v>
      </c>
      <c r="V47" s="10">
        <f>Tabella8[[#This Row],[rest of Italy fit]]+CIo</f>
        <v>6356.3362031000543</v>
      </c>
      <c r="W47" s="10">
        <f>MAX(Tabella8[[#This Row],[rest of Italy fit]]-CIo,0)</f>
        <v>6079.3647755505717</v>
      </c>
      <c r="Y47" s="2" t="s">
        <v>4</v>
      </c>
      <c r="Z47" s="7" cm="1">
        <f t="array" ref="Z47">1-SUM((Tabella8[Colonna1]-Tabella8[Colonna3])^2)/SUM((Tabella8[Colonna1]-Mean_of_yt)^2)</f>
        <v>0.99874062785511375</v>
      </c>
      <c r="AT47" s="94"/>
      <c r="AU47" s="94"/>
      <c r="AW47" s="36"/>
      <c r="AX47" s="36"/>
      <c r="AZ47" s="97"/>
      <c r="BA47" s="97"/>
    </row>
    <row r="48" spans="2:53" x14ac:dyDescent="0.3">
      <c r="B48" s="9">
        <v>43925</v>
      </c>
      <c r="C48" s="4">
        <f t="shared" si="1"/>
        <v>41</v>
      </c>
      <c r="D48" s="10">
        <f>'dpc-covid19-ita-andamento-naz'!K42</f>
        <v>15362</v>
      </c>
      <c r="E48" s="10">
        <f>Tabella8[[#This Row],[Italy cumulative]]*NOT(ISBLANK(Tabella8[[#This Row],[Italy cumulative]]))</f>
        <v>15362</v>
      </c>
      <c r="F48" s="10">
        <f>Tabella8[[#This Row],[Lombardy fit]]+Tabella8[[#This Row],[rest of Italy fit]]</f>
        <v>15063.972656458551</v>
      </c>
      <c r="G48" s="10">
        <f>Tabella8[[#This Row],[Italy sum of regions]]*NOT(ISBLANK(Tabella8[[#This Row],[Italy cumulative]]))</f>
        <v>15063.972656458551</v>
      </c>
      <c r="H48" s="98">
        <f>Kt*_xlfn.LOGNORM.DIST(Tabella8[[#This Row],[Day]],mu_t,sigma_t,TRUE)</f>
        <v>15582.617371083983</v>
      </c>
      <c r="I48" s="10">
        <f>Tabella8[[#This Row],[Italy fit]]*NOT(ISBLANK(Tabella8[[#This Row],[Italy cumulative]]))</f>
        <v>15582.617371083983</v>
      </c>
      <c r="J48" s="10">
        <f>Tabella8[[#This Row],[Italy sum of regions]]+CI</f>
        <v>15384.1056907777</v>
      </c>
      <c r="K48" s="10">
        <f>MAX(Tabella8[[#This Row],[Italy sum of regions]]-CI,0)</f>
        <v>14743.839622139401</v>
      </c>
      <c r="L48" s="79">
        <f t="shared" si="2"/>
        <v>8656</v>
      </c>
      <c r="M48" s="10">
        <f>Tabella8[[#This Row],[Lombardy]]*NOT(ISBLANK(Tabella8[[#This Row],[Lombardy]]))</f>
        <v>8656</v>
      </c>
      <c r="N48" s="99">
        <f>Kr*_xlfn.LOGNORM.DIST(Tabella8[[#This Row],[Day]],mu_r,sigma_r,TRUE)</f>
        <v>8477.7931459399788</v>
      </c>
      <c r="O48" s="10">
        <f>Tabella8[[#This Row],[Lombardy fit]]*NOT(ISBLANK(Tabella8[[#This Row],[Lombardy]]))</f>
        <v>8477.7931459399788</v>
      </c>
      <c r="P48" s="10">
        <f>Tabella8[[#This Row],[Lombardy fit]]+CIr</f>
        <v>8697.5902550249739</v>
      </c>
      <c r="Q48" s="10">
        <f>MAX(Tabella8[[#This Row],[Lombardy fit]]-CIr,0)</f>
        <v>8257.9960368549837</v>
      </c>
      <c r="R48" s="10">
        <f>Tabella8[[#This Row],[Italy cumulative]]-Tabella8[[#This Row],[Lombardy]]</f>
        <v>6706</v>
      </c>
      <c r="S48" s="10">
        <f>Tabella8[[#This Row],[rest of Italy ]]*NOT(ISBLANK(Tabella8[[#This Row],[rest of Italy ]]))</f>
        <v>6706</v>
      </c>
      <c r="T48" s="100">
        <f>Ko*_xlfn.LOGNORM.DIST(Tabella8[[#This Row],[Day]],mu_o,sigma_o,TRUE)</f>
        <v>6586.1795105185711</v>
      </c>
      <c r="U48" s="26">
        <f>Tabella8[[#This Row],[rest of Italy fit]]*NOT(ISBLANK(Tabella8[[#This Row],[rest of Italy ]]))</f>
        <v>6586.1795105185711</v>
      </c>
      <c r="V48" s="10">
        <f>Tabella8[[#This Row],[rest of Italy fit]]+CIo</f>
        <v>6724.6652242933123</v>
      </c>
      <c r="W48" s="10">
        <f>MAX(Tabella8[[#This Row],[rest of Italy fit]]-CIo,0)</f>
        <v>6447.6937967438298</v>
      </c>
      <c r="Y48" s="2" t="s">
        <v>5</v>
      </c>
      <c r="Z48" s="7">
        <f>TINV(0.05,dft)</f>
        <v>2.0032407188478727</v>
      </c>
      <c r="AT48" s="94"/>
      <c r="AU48" s="94"/>
      <c r="AW48" s="36"/>
      <c r="AX48" s="36"/>
      <c r="AZ48" s="97"/>
      <c r="BA48" s="97"/>
    </row>
    <row r="49" spans="2:374" x14ac:dyDescent="0.3">
      <c r="B49" s="9">
        <v>43926</v>
      </c>
      <c r="C49" s="4">
        <f t="shared" si="1"/>
        <v>42</v>
      </c>
      <c r="D49" s="10">
        <f>'dpc-covid19-ita-andamento-naz'!K43</f>
        <v>15887</v>
      </c>
      <c r="E49" s="10">
        <f>Tabella8[[#This Row],[Italy cumulative]]*NOT(ISBLANK(Tabella8[[#This Row],[Italy cumulative]]))</f>
        <v>15887</v>
      </c>
      <c r="F49" s="10">
        <f>Tabella8[[#This Row],[Lombardy fit]]+Tabella8[[#This Row],[rest of Italy fit]]</f>
        <v>15762.598548387701</v>
      </c>
      <c r="G49" s="10">
        <f>Tabella8[[#This Row],[Italy sum of regions]]*NOT(ISBLANK(Tabella8[[#This Row],[Italy cumulative]]))</f>
        <v>15762.598548387701</v>
      </c>
      <c r="H49" s="98">
        <f>Kt*_xlfn.LOGNORM.DIST(Tabella8[[#This Row],[Day]],mu_t,sigma_t,TRUE)</f>
        <v>16266.175909430931</v>
      </c>
      <c r="I49" s="10">
        <f>Tabella8[[#This Row],[Italy fit]]*NOT(ISBLANK(Tabella8[[#This Row],[Italy cumulative]]))</f>
        <v>16266.175909430931</v>
      </c>
      <c r="J49" s="10">
        <f>Tabella8[[#This Row],[Italy sum of regions]]+CI</f>
        <v>16082.731582706851</v>
      </c>
      <c r="K49" s="10">
        <f>MAX(Tabella8[[#This Row],[Italy sum of regions]]-CI,0)</f>
        <v>15442.465514068552</v>
      </c>
      <c r="L49" s="79">
        <f t="shared" si="2"/>
        <v>8905</v>
      </c>
      <c r="M49" s="10">
        <f>Tabella8[[#This Row],[Lombardy]]*NOT(ISBLANK(Tabella8[[#This Row],[Lombardy]]))</f>
        <v>8905</v>
      </c>
      <c r="N49" s="99">
        <f>Kr*_xlfn.LOGNORM.DIST(Tabella8[[#This Row],[Day]],mu_r,sigma_r,TRUE)</f>
        <v>8810.6300719470382</v>
      </c>
      <c r="O49" s="10">
        <f>Tabella8[[#This Row],[Lombardy fit]]*NOT(ISBLANK(Tabella8[[#This Row],[Lombardy]]))</f>
        <v>8810.6300719470382</v>
      </c>
      <c r="P49" s="10">
        <f>Tabella8[[#This Row],[Lombardy fit]]+CIr</f>
        <v>9030.4271810320333</v>
      </c>
      <c r="Q49" s="10">
        <f>MAX(Tabella8[[#This Row],[Lombardy fit]]-CIr,0)</f>
        <v>8590.8329628620431</v>
      </c>
      <c r="R49" s="10">
        <f>Tabella8[[#This Row],[Italy cumulative]]-Tabella8[[#This Row],[Lombardy]]</f>
        <v>6982</v>
      </c>
      <c r="S49" s="10">
        <f>Tabella8[[#This Row],[rest of Italy ]]*NOT(ISBLANK(Tabella8[[#This Row],[rest of Italy ]]))</f>
        <v>6982</v>
      </c>
      <c r="T49" s="100">
        <f>Ko*_xlfn.LOGNORM.DIST(Tabella8[[#This Row],[Day]],mu_o,sigma_o,TRUE)</f>
        <v>6951.9684764406638</v>
      </c>
      <c r="U49" s="26">
        <f>Tabella8[[#This Row],[rest of Italy fit]]*NOT(ISBLANK(Tabella8[[#This Row],[rest of Italy ]]))</f>
        <v>6951.9684764406638</v>
      </c>
      <c r="V49" s="10">
        <f>Tabella8[[#This Row],[rest of Italy fit]]+CIo</f>
        <v>7090.4541902154051</v>
      </c>
      <c r="W49" s="10">
        <f>MAX(Tabella8[[#This Row],[rest of Italy fit]]-CIo,0)</f>
        <v>6813.4827626659226</v>
      </c>
      <c r="Y49" s="2" t="s">
        <v>6</v>
      </c>
      <c r="Z49" s="1">
        <f>Critical_tt*SE_of_yt</f>
        <v>950.24427756109151</v>
      </c>
      <c r="AT49" s="94"/>
      <c r="AU49" s="94"/>
      <c r="AW49" s="36"/>
      <c r="AX49" s="36"/>
      <c r="AZ49" s="97"/>
      <c r="BA49" s="97"/>
    </row>
    <row r="50" spans="2:374" x14ac:dyDescent="0.3">
      <c r="B50" s="9">
        <v>43927</v>
      </c>
      <c r="C50" s="4">
        <f t="shared" si="1"/>
        <v>43</v>
      </c>
      <c r="D50" s="10">
        <f>'dpc-covid19-ita-andamento-naz'!K44</f>
        <v>16523</v>
      </c>
      <c r="E50" s="10">
        <f>Tabella8[[#This Row],[Italy cumulative]]*NOT(ISBLANK(Tabella8[[#This Row],[Italy cumulative]]))</f>
        <v>16523</v>
      </c>
      <c r="F50" s="10">
        <f>Tabella8[[#This Row],[Lombardy fit]]+Tabella8[[#This Row],[rest of Italy fit]]</f>
        <v>16445.876429108543</v>
      </c>
      <c r="G50" s="10">
        <f>Tabella8[[#This Row],[Italy sum of regions]]*NOT(ISBLANK(Tabella8[[#This Row],[Italy cumulative]]))</f>
        <v>16445.876429108543</v>
      </c>
      <c r="H50" s="98">
        <f>Kt*_xlfn.LOGNORM.DIST(Tabella8[[#This Row],[Day]],mu_t,sigma_t,TRUE)</f>
        <v>16919.328312058449</v>
      </c>
      <c r="I50" s="10">
        <f>Tabella8[[#This Row],[Italy fit]]*NOT(ISBLANK(Tabella8[[#This Row],[Italy cumulative]]))</f>
        <v>16919.328312058449</v>
      </c>
      <c r="J50" s="10">
        <f>Tabella8[[#This Row],[Italy sum of regions]]+CI</f>
        <v>16766.009463427694</v>
      </c>
      <c r="K50" s="10">
        <f>MAX(Tabella8[[#This Row],[Italy sum of regions]]-CI,0)</f>
        <v>16125.743394789393</v>
      </c>
      <c r="L50" s="79">
        <f t="shared" si="2"/>
        <v>9202</v>
      </c>
      <c r="M50" s="10">
        <f>Tabella8[[#This Row],[Lombardy]]*NOT(ISBLANK(Tabella8[[#This Row],[Lombardy]]))</f>
        <v>9202</v>
      </c>
      <c r="N50" s="99">
        <f>Kr*_xlfn.LOGNORM.DIST(Tabella8[[#This Row],[Day]],mu_r,sigma_r,TRUE)</f>
        <v>9131.6498719793653</v>
      </c>
      <c r="O50" s="10">
        <f>Tabella8[[#This Row],[Lombardy fit]]*NOT(ISBLANK(Tabella8[[#This Row],[Lombardy]]))</f>
        <v>9131.6498719793653</v>
      </c>
      <c r="P50" s="10">
        <f>Tabella8[[#This Row],[Lombardy fit]]+CIr</f>
        <v>9351.4469810643604</v>
      </c>
      <c r="Q50" s="10">
        <f>MAX(Tabella8[[#This Row],[Lombardy fit]]-CIr,0)</f>
        <v>8911.8527628943702</v>
      </c>
      <c r="R50" s="10">
        <f>Tabella8[[#This Row],[Italy cumulative]]-Tabella8[[#This Row],[Lombardy]]</f>
        <v>7321</v>
      </c>
      <c r="S50" s="10">
        <f>Tabella8[[#This Row],[rest of Italy ]]*NOT(ISBLANK(Tabella8[[#This Row],[rest of Italy ]]))</f>
        <v>7321</v>
      </c>
      <c r="T50" s="100">
        <f>Ko*_xlfn.LOGNORM.DIST(Tabella8[[#This Row],[Day]],mu_o,sigma_o,TRUE)</f>
        <v>7314.2265571291782</v>
      </c>
      <c r="U50" s="26">
        <f>Tabella8[[#This Row],[rest of Italy fit]]*NOT(ISBLANK(Tabella8[[#This Row],[rest of Italy ]]))</f>
        <v>7314.2265571291782</v>
      </c>
      <c r="V50" s="10">
        <f>Tabella8[[#This Row],[rest of Italy fit]]+CIo</f>
        <v>7452.7122709039195</v>
      </c>
      <c r="W50" s="10">
        <f>MAX(Tabella8[[#This Row],[rest of Italy fit]]-CIo,0)</f>
        <v>7175.7408433544369</v>
      </c>
      <c r="Y50" s="88"/>
      <c r="Z50" s="85"/>
      <c r="AT50" s="94"/>
      <c r="AU50" s="94"/>
      <c r="AW50" s="36"/>
      <c r="AX50" s="36"/>
      <c r="AZ50" s="97"/>
      <c r="BA50" s="97"/>
    </row>
    <row r="51" spans="2:374" x14ac:dyDescent="0.3">
      <c r="B51" s="9">
        <v>43928</v>
      </c>
      <c r="C51" s="4">
        <f t="shared" si="1"/>
        <v>44</v>
      </c>
      <c r="D51" s="10">
        <f>'dpc-covid19-ita-andamento-naz'!K45</f>
        <v>17127</v>
      </c>
      <c r="E51" s="10">
        <f>Tabella8[[#This Row],[Italy cumulative]]*NOT(ISBLANK(Tabella8[[#This Row],[Italy cumulative]]))</f>
        <v>17127</v>
      </c>
      <c r="F51" s="10">
        <f>Tabella8[[#This Row],[Lombardy fit]]+Tabella8[[#This Row],[rest of Italy fit]]</f>
        <v>17112.65837536973</v>
      </c>
      <c r="G51" s="10">
        <f>Tabella8[[#This Row],[Italy sum of regions]]*NOT(ISBLANK(Tabella8[[#This Row],[Italy cumulative]]))</f>
        <v>17112.65837536973</v>
      </c>
      <c r="H51" s="98">
        <f>Kt*_xlfn.LOGNORM.DIST(Tabella8[[#This Row],[Day]],mu_t,sigma_t,TRUE)</f>
        <v>17541.317510371748</v>
      </c>
      <c r="I51" s="10">
        <f>Tabella8[[#This Row],[Italy fit]]*NOT(ISBLANK(Tabella8[[#This Row],[Italy cumulative]]))</f>
        <v>17541.317510371748</v>
      </c>
      <c r="J51" s="10">
        <f>Tabella8[[#This Row],[Italy sum of regions]]+CI</f>
        <v>17432.791409688882</v>
      </c>
      <c r="K51" s="10">
        <f>MAX(Tabella8[[#This Row],[Italy sum of regions]]-CI,0)</f>
        <v>16792.525341050579</v>
      </c>
      <c r="L51" s="79">
        <f t="shared" si="2"/>
        <v>9484</v>
      </c>
      <c r="M51" s="10">
        <f>Tabella8[[#This Row],[Lombardy]]*NOT(ISBLANK(Tabella8[[#This Row],[Lombardy]]))</f>
        <v>9484</v>
      </c>
      <c r="N51" s="99">
        <f>Kr*_xlfn.LOGNORM.DIST(Tabella8[[#This Row],[Day]],mu_r,sigma_r,TRUE)</f>
        <v>9440.5959161394767</v>
      </c>
      <c r="O51" s="10">
        <f>Tabella8[[#This Row],[Lombardy fit]]*NOT(ISBLANK(Tabella8[[#This Row],[Lombardy]]))</f>
        <v>9440.5959161394767</v>
      </c>
      <c r="P51" s="10">
        <f>Tabella8[[#This Row],[Lombardy fit]]+CIr</f>
        <v>9660.3930252244718</v>
      </c>
      <c r="Q51" s="10">
        <f>MAX(Tabella8[[#This Row],[Lombardy fit]]-CIr,0)</f>
        <v>9220.7988070544816</v>
      </c>
      <c r="R51" s="10">
        <f>Tabella8[[#This Row],[Italy cumulative]]-Tabella8[[#This Row],[Lombardy]]</f>
        <v>7643</v>
      </c>
      <c r="S51" s="10">
        <f>Tabella8[[#This Row],[rest of Italy ]]*NOT(ISBLANK(Tabella8[[#This Row],[rest of Italy ]]))</f>
        <v>7643</v>
      </c>
      <c r="T51" s="100">
        <f>Ko*_xlfn.LOGNORM.DIST(Tabella8[[#This Row],[Day]],mu_o,sigma_o,TRUE)</f>
        <v>7672.0624592302538</v>
      </c>
      <c r="U51" s="26">
        <f>Tabella8[[#This Row],[rest of Italy fit]]*NOT(ISBLANK(Tabella8[[#This Row],[rest of Italy ]]))</f>
        <v>7672.0624592302538</v>
      </c>
      <c r="V51" s="10">
        <f>Tabella8[[#This Row],[rest of Italy fit]]+CIo</f>
        <v>7810.5481730049951</v>
      </c>
      <c r="W51" s="10">
        <f>MAX(Tabella8[[#This Row],[rest of Italy fit]]-CIo,0)</f>
        <v>7533.5767454555125</v>
      </c>
      <c r="Y51" s="76" t="s">
        <v>38</v>
      </c>
      <c r="Z51" s="77">
        <v>3</v>
      </c>
      <c r="AT51" s="94"/>
      <c r="AU51" s="94"/>
      <c r="AW51" s="36"/>
      <c r="AX51" s="36"/>
      <c r="AZ51" s="97"/>
      <c r="BA51" s="97"/>
    </row>
    <row r="52" spans="2:374" x14ac:dyDescent="0.3">
      <c r="B52" s="9">
        <v>43929</v>
      </c>
      <c r="C52" s="4">
        <f t="shared" si="1"/>
        <v>45</v>
      </c>
      <c r="D52" s="10">
        <f>'dpc-covid19-ita-andamento-naz'!K46</f>
        <v>17669</v>
      </c>
      <c r="E52" s="10">
        <f>Tabella8[[#This Row],[Italy cumulative]]*NOT(ISBLANK(Tabella8[[#This Row],[Italy cumulative]]))</f>
        <v>17669</v>
      </c>
      <c r="F52" s="10">
        <f>Tabella8[[#This Row],[Lombardy fit]]+Tabella8[[#This Row],[rest of Italy fit]]</f>
        <v>17762.004714135182</v>
      </c>
      <c r="G52" s="10">
        <f>Tabella8[[#This Row],[Italy sum of regions]]*NOT(ISBLANK(Tabella8[[#This Row],[Italy cumulative]]))</f>
        <v>17762.004714135182</v>
      </c>
      <c r="H52" s="98">
        <f>Kt*_xlfn.LOGNORM.DIST(Tabella8[[#This Row],[Day]],mu_t,sigma_t,TRUE)</f>
        <v>18131.778003482588</v>
      </c>
      <c r="I52" s="10">
        <f>Tabella8[[#This Row],[Italy fit]]*NOT(ISBLANK(Tabella8[[#This Row],[Italy cumulative]]))</f>
        <v>18131.778003482588</v>
      </c>
      <c r="J52" s="10">
        <f>Tabella8[[#This Row],[Italy sum of regions]]+CI</f>
        <v>18082.137748454334</v>
      </c>
      <c r="K52" s="10">
        <f>MAX(Tabella8[[#This Row],[Italy sum of regions]]-CI,0)</f>
        <v>17441.871679816031</v>
      </c>
      <c r="L52" s="79">
        <f t="shared" si="2"/>
        <v>9722</v>
      </c>
      <c r="M52" s="10">
        <f>Tabella8[[#This Row],[Lombardy]]*NOT(ISBLANK(Tabella8[[#This Row],[Lombardy]]))</f>
        <v>9722</v>
      </c>
      <c r="N52" s="99">
        <f>Kr*_xlfn.LOGNORM.DIST(Tabella8[[#This Row],[Day]],mu_r,sigma_r,TRUE)</f>
        <v>9737.3226372297759</v>
      </c>
      <c r="O52" s="10">
        <f>Tabella8[[#This Row],[Lombardy fit]]*NOT(ISBLANK(Tabella8[[#This Row],[Lombardy]]))</f>
        <v>9737.3226372297759</v>
      </c>
      <c r="P52" s="10">
        <f>Tabella8[[#This Row],[Lombardy fit]]+CIr</f>
        <v>9957.119746314771</v>
      </c>
      <c r="Q52" s="10">
        <f>MAX(Tabella8[[#This Row],[Lombardy fit]]-CIr,0)</f>
        <v>9517.5255281447808</v>
      </c>
      <c r="R52" s="10">
        <f>Tabella8[[#This Row],[Italy cumulative]]-Tabella8[[#This Row],[Lombardy]]</f>
        <v>7947</v>
      </c>
      <c r="S52" s="10">
        <f>Tabella8[[#This Row],[rest of Italy ]]*NOT(ISBLANK(Tabella8[[#This Row],[rest of Italy ]]))</f>
        <v>7947</v>
      </c>
      <c r="T52" s="100">
        <f>Ko*_xlfn.LOGNORM.DIST(Tabella8[[#This Row],[Day]],mu_o,sigma_o,TRUE)</f>
        <v>8024.6820769054066</v>
      </c>
      <c r="U52" s="26">
        <f>Tabella8[[#This Row],[rest of Italy fit]]*NOT(ISBLANK(Tabella8[[#This Row],[rest of Italy ]]))</f>
        <v>8024.6820769054066</v>
      </c>
      <c r="V52" s="10">
        <f>Tabella8[[#This Row],[rest of Italy fit]]+CIo</f>
        <v>8163.1677906801478</v>
      </c>
      <c r="W52" s="10">
        <f>MAX(Tabella8[[#This Row],[rest of Italy fit]]-CIo,0)</f>
        <v>7886.1963631306653</v>
      </c>
      <c r="Y52" s="76" t="s">
        <v>39</v>
      </c>
      <c r="Z52" s="115" t="s">
        <v>50</v>
      </c>
      <c r="AT52" s="94"/>
      <c r="AU52" s="94"/>
      <c r="AW52" s="36"/>
      <c r="AX52" s="36"/>
      <c r="AZ52" s="97"/>
      <c r="BA52" s="97"/>
    </row>
    <row r="53" spans="2:374" x14ac:dyDescent="0.3">
      <c r="B53" s="9">
        <v>43930</v>
      </c>
      <c r="C53" s="4">
        <f t="shared" si="1"/>
        <v>46</v>
      </c>
      <c r="D53" s="10">
        <f>'dpc-covid19-ita-andamento-naz'!K47</f>
        <v>18279</v>
      </c>
      <c r="E53" s="10">
        <f>Tabella8[[#This Row],[Italy cumulative]]*NOT(ISBLANK(Tabella8[[#This Row],[Italy cumulative]]))</f>
        <v>18279</v>
      </c>
      <c r="F53" s="10">
        <f>Tabella8[[#This Row],[Lombardy fit]]+Tabella8[[#This Row],[rest of Italy fit]]</f>
        <v>18393.16729442239</v>
      </c>
      <c r="G53" s="10">
        <f>Tabella8[[#This Row],[Italy sum of regions]]*NOT(ISBLANK(Tabella8[[#This Row],[Italy cumulative]]))</f>
        <v>18393.16729442239</v>
      </c>
      <c r="H53" s="98">
        <f>Kt*_xlfn.LOGNORM.DIST(Tabella8[[#This Row],[Day]],mu_t,sigma_t,TRUE)</f>
        <v>18690.684913094963</v>
      </c>
      <c r="I53" s="10">
        <f>Tabella8[[#This Row],[Italy fit]]*NOT(ISBLANK(Tabella8[[#This Row],[Italy cumulative]]))</f>
        <v>18690.684913094963</v>
      </c>
      <c r="J53" s="10">
        <f>Tabella8[[#This Row],[Italy sum of regions]]+CI</f>
        <v>18713.300328741541</v>
      </c>
      <c r="K53" s="10">
        <f>MAX(Tabella8[[#This Row],[Italy sum of regions]]-CI,0)</f>
        <v>18073.034260103239</v>
      </c>
      <c r="L53" s="79">
        <f t="shared" si="2"/>
        <v>10022</v>
      </c>
      <c r="M53" s="10">
        <f>Tabella8[[#This Row],[Lombardy]]*NOT(ISBLANK(Tabella8[[#This Row],[Lombardy]]))</f>
        <v>10022</v>
      </c>
      <c r="N53" s="99">
        <f>Kr*_xlfn.LOGNORM.DIST(Tabella8[[#This Row],[Day]],mu_r,sigma_r,TRUE)</f>
        <v>10021.782129825457</v>
      </c>
      <c r="O53" s="10">
        <f>Tabella8[[#This Row],[Lombardy fit]]*NOT(ISBLANK(Tabella8[[#This Row],[Lombardy]]))</f>
        <v>10021.782129825457</v>
      </c>
      <c r="P53" s="10">
        <f>Tabella8[[#This Row],[Lombardy fit]]+CIr</f>
        <v>10241.579238910452</v>
      </c>
      <c r="Q53" s="10">
        <f>MAX(Tabella8[[#This Row],[Lombardy fit]]-CIr,0)</f>
        <v>9801.9850207404616</v>
      </c>
      <c r="R53" s="10">
        <f>Tabella8[[#This Row],[Italy cumulative]]-Tabella8[[#This Row],[Lombardy]]</f>
        <v>8257</v>
      </c>
      <c r="S53" s="10">
        <f>Tabella8[[#This Row],[rest of Italy ]]*NOT(ISBLANK(Tabella8[[#This Row],[rest of Italy ]]))</f>
        <v>8257</v>
      </c>
      <c r="T53" s="100">
        <f>Ko*_xlfn.LOGNORM.DIST(Tabella8[[#This Row],[Day]],mu_o,sigma_o,TRUE)</f>
        <v>8371.3851645969353</v>
      </c>
      <c r="U53" s="26">
        <f>Tabella8[[#This Row],[rest of Italy fit]]*NOT(ISBLANK(Tabella8[[#This Row],[rest of Italy ]]))</f>
        <v>8371.3851645969353</v>
      </c>
      <c r="V53" s="10">
        <f>Tabella8[[#This Row],[rest of Italy fit]]+CIo</f>
        <v>8509.8708783716756</v>
      </c>
      <c r="W53" s="10">
        <f>MAX(Tabella8[[#This Row],[rest of Italy fit]]-CIo,0)</f>
        <v>8232.8994508221949</v>
      </c>
      <c r="AT53" s="94"/>
      <c r="AU53" s="94"/>
      <c r="AW53" s="36"/>
      <c r="AX53" s="36"/>
      <c r="AZ53" s="97"/>
      <c r="BA53" s="97"/>
    </row>
    <row r="54" spans="2:374" x14ac:dyDescent="0.3">
      <c r="B54" s="9">
        <v>43931</v>
      </c>
      <c r="C54" s="4">
        <f t="shared" si="1"/>
        <v>47</v>
      </c>
      <c r="D54" s="10">
        <f>'dpc-covid19-ita-andamento-naz'!K48</f>
        <v>18849</v>
      </c>
      <c r="E54" s="10">
        <f>Tabella8[[#This Row],[Italy cumulative]]*NOT(ISBLANK(Tabella8[[#This Row],[Italy cumulative]]))</f>
        <v>18849</v>
      </c>
      <c r="F54" s="10">
        <f>Tabella8[[#This Row],[Lombardy fit]]+Tabella8[[#This Row],[rest of Italy fit]]</f>
        <v>19005.572764443521</v>
      </c>
      <c r="G54" s="10">
        <f>Tabella8[[#This Row],[Italy sum of regions]]*NOT(ISBLANK(Tabella8[[#This Row],[Italy cumulative]]))</f>
        <v>19005.572764443521</v>
      </c>
      <c r="H54" s="98">
        <f>Kt*_xlfn.LOGNORM.DIST(Tabella8[[#This Row],[Day]],mu_t,sigma_t,TRUE)</f>
        <v>19218.305054705084</v>
      </c>
      <c r="I54" s="10">
        <f>Tabella8[[#This Row],[Italy fit]]*NOT(ISBLANK(Tabella8[[#This Row],[Italy cumulative]]))</f>
        <v>19218.305054705084</v>
      </c>
      <c r="J54" s="10">
        <f>Tabella8[[#This Row],[Italy sum of regions]]+CI</f>
        <v>19325.705798762672</v>
      </c>
      <c r="K54" s="10">
        <f>MAX(Tabella8[[#This Row],[Italy sum of regions]]-CI,0)</f>
        <v>18685.43973012437</v>
      </c>
      <c r="L54" s="79">
        <f t="shared" si="2"/>
        <v>10238</v>
      </c>
      <c r="M54" s="10">
        <f>Tabella8[[#This Row],[Lombardy]]*NOT(ISBLANK(Tabella8[[#This Row],[Lombardy]]))</f>
        <v>10238</v>
      </c>
      <c r="N54" s="99">
        <f>Kr*_xlfn.LOGNORM.DIST(Tabella8[[#This Row],[Day]],mu_r,sigma_r,TRUE)</f>
        <v>10294.011505970657</v>
      </c>
      <c r="O54" s="10">
        <f>Tabella8[[#This Row],[Lombardy fit]]*NOT(ISBLANK(Tabella8[[#This Row],[Lombardy]]))</f>
        <v>10294.011505970657</v>
      </c>
      <c r="P54" s="10">
        <f>Tabella8[[#This Row],[Lombardy fit]]+CIr</f>
        <v>10513.808615055652</v>
      </c>
      <c r="Q54" s="10">
        <f>MAX(Tabella8[[#This Row],[Lombardy fit]]-CIr,0)</f>
        <v>10074.214396885662</v>
      </c>
      <c r="R54" s="10">
        <f>Tabella8[[#This Row],[Italy cumulative]]-Tabella8[[#This Row],[Lombardy]]</f>
        <v>8611</v>
      </c>
      <c r="S54" s="10">
        <f>Tabella8[[#This Row],[rest of Italy ]]*NOT(ISBLANK(Tabella8[[#This Row],[rest of Italy ]]))</f>
        <v>8611</v>
      </c>
      <c r="T54" s="100">
        <f>Ko*_xlfn.LOGNORM.DIST(Tabella8[[#This Row],[Day]],mu_o,sigma_o,TRUE)</f>
        <v>8711.5612584728642</v>
      </c>
      <c r="U54" s="26">
        <f>Tabella8[[#This Row],[rest of Italy fit]]*NOT(ISBLANK(Tabella8[[#This Row],[rest of Italy ]]))</f>
        <v>8711.5612584728642</v>
      </c>
      <c r="V54" s="10">
        <f>Tabella8[[#This Row],[rest of Italy fit]]+CIo</f>
        <v>8850.0469722476046</v>
      </c>
      <c r="W54" s="10">
        <f>MAX(Tabella8[[#This Row],[rest of Italy fit]]-CIo,0)</f>
        <v>8573.0755446981238</v>
      </c>
      <c r="Y54" s="76" t="s">
        <v>134</v>
      </c>
      <c r="Z54" t="s">
        <v>186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94"/>
      <c r="AU54" s="94"/>
      <c r="AV54"/>
      <c r="AW54" s="36"/>
      <c r="AX54" s="36"/>
      <c r="AY54"/>
      <c r="AZ54" s="97"/>
      <c r="BA54" s="97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</row>
    <row r="55" spans="2:374" x14ac:dyDescent="0.3">
      <c r="B55" s="9">
        <v>43932</v>
      </c>
      <c r="C55" s="4">
        <f t="shared" si="1"/>
        <v>48</v>
      </c>
      <c r="D55" s="10">
        <f>'dpc-covid19-ita-andamento-naz'!K49</f>
        <v>19468</v>
      </c>
      <c r="E55" s="10">
        <f>Tabella8[[#This Row],[Italy cumulative]]*NOT(ISBLANK(Tabella8[[#This Row],[Italy cumulative]]))</f>
        <v>19468</v>
      </c>
      <c r="F55" s="10">
        <f>Tabella8[[#This Row],[Lombardy fit]]+Tabella8[[#This Row],[rest of Italy fit]]</f>
        <v>19598.806146766547</v>
      </c>
      <c r="G55" s="10">
        <f>Tabella8[[#This Row],[Italy sum of regions]]*NOT(ISBLANK(Tabella8[[#This Row],[Italy cumulative]]))</f>
        <v>19598.806146766547</v>
      </c>
      <c r="H55" s="98">
        <f>Kt*_xlfn.LOGNORM.DIST(Tabella8[[#This Row],[Day]],mu_t,sigma_t,TRUE)</f>
        <v>19715.150857592751</v>
      </c>
      <c r="I55" s="10">
        <f>Tabella8[[#This Row],[Italy fit]]*NOT(ISBLANK(Tabella8[[#This Row],[Italy cumulative]]))</f>
        <v>19715.150857592751</v>
      </c>
      <c r="J55" s="10">
        <f>Tabella8[[#This Row],[Italy sum of regions]]+CI</f>
        <v>19918.939181085698</v>
      </c>
      <c r="K55" s="10">
        <f>MAX(Tabella8[[#This Row],[Italy sum of regions]]-CI,0)</f>
        <v>19278.673112447395</v>
      </c>
      <c r="L55" s="79">
        <f t="shared" si="2"/>
        <v>10511</v>
      </c>
      <c r="M55" s="10">
        <f>Tabella8[[#This Row],[Lombardy]]*NOT(ISBLANK(Tabella8[[#This Row],[Lombardy]]))</f>
        <v>10511</v>
      </c>
      <c r="N55" s="99">
        <f>Kr*_xlfn.LOGNORM.DIST(Tabella8[[#This Row],[Day]],mu_r,sigma_r,TRUE)</f>
        <v>10554.121102729261</v>
      </c>
      <c r="O55" s="10">
        <f>Tabella8[[#This Row],[Lombardy fit]]*NOT(ISBLANK(Tabella8[[#This Row],[Lombardy]]))</f>
        <v>10554.121102729261</v>
      </c>
      <c r="P55" s="10">
        <f>Tabella8[[#This Row],[Lombardy fit]]+CIr</f>
        <v>10773.918211814256</v>
      </c>
      <c r="Q55" s="10">
        <f>MAX(Tabella8[[#This Row],[Lombardy fit]]-CIr,0)</f>
        <v>10334.323993644266</v>
      </c>
      <c r="R55" s="10">
        <f>Tabella8[[#This Row],[Italy cumulative]]-Tabella8[[#This Row],[Lombardy]]</f>
        <v>8957</v>
      </c>
      <c r="S55" s="10">
        <f>Tabella8[[#This Row],[rest of Italy ]]*NOT(ISBLANK(Tabella8[[#This Row],[rest of Italy ]]))</f>
        <v>8957</v>
      </c>
      <c r="T55" s="100">
        <f>Ko*_xlfn.LOGNORM.DIST(Tabella8[[#This Row],[Day]],mu_o,sigma_o,TRUE)</f>
        <v>9044.6850440372837</v>
      </c>
      <c r="U55" s="26">
        <f>Tabella8[[#This Row],[rest of Italy fit]]*NOT(ISBLANK(Tabella8[[#This Row],[rest of Italy ]]))</f>
        <v>9044.6850440372837</v>
      </c>
      <c r="V55" s="10">
        <f>Tabella8[[#This Row],[rest of Italy fit]]+CIo</f>
        <v>9183.170757812024</v>
      </c>
      <c r="W55" s="10">
        <f>MAX(Tabella8[[#This Row],[rest of Italy fit]]-CIo,0)</f>
        <v>8906.1993302625433</v>
      </c>
      <c r="Y55" s="77" t="s">
        <v>136</v>
      </c>
      <c r="Z55" s="137">
        <v>6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94"/>
      <c r="AU55" s="94"/>
      <c r="AV55"/>
      <c r="AW55" s="36"/>
      <c r="AX55" s="36"/>
      <c r="AY55"/>
      <c r="AZ55" s="97"/>
      <c r="BA55" s="97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</row>
    <row r="56" spans="2:374" x14ac:dyDescent="0.3">
      <c r="B56" s="9">
        <v>43933</v>
      </c>
      <c r="C56" s="4">
        <f t="shared" si="1"/>
        <v>49</v>
      </c>
      <c r="D56" s="10">
        <f>'dpc-covid19-ita-andamento-naz'!K50</f>
        <v>19899</v>
      </c>
      <c r="E56" s="10">
        <f>Tabella8[[#This Row],[Italy cumulative]]*NOT(ISBLANK(Tabella8[[#This Row],[Italy cumulative]]))</f>
        <v>19899</v>
      </c>
      <c r="F56" s="10">
        <f>Tabella8[[#This Row],[Lombardy fit]]+Tabella8[[#This Row],[rest of Italy fit]]</f>
        <v>20172.594935390069</v>
      </c>
      <c r="G56" s="10">
        <f>Tabella8[[#This Row],[Italy sum of regions]]*NOT(ISBLANK(Tabella8[[#This Row],[Italy cumulative]]))</f>
        <v>20172.594935390069</v>
      </c>
      <c r="H56" s="98">
        <f>Kt*_xlfn.LOGNORM.DIST(Tabella8[[#This Row],[Day]],mu_t,sigma_t,TRUE)</f>
        <v>20181.93768793613</v>
      </c>
      <c r="I56" s="10">
        <f>Tabella8[[#This Row],[Italy fit]]*NOT(ISBLANK(Tabella8[[#This Row],[Italy cumulative]]))</f>
        <v>20181.93768793613</v>
      </c>
      <c r="J56" s="10">
        <f>Tabella8[[#This Row],[Italy sum of regions]]+CI</f>
        <v>20492.72796970922</v>
      </c>
      <c r="K56" s="10">
        <f>MAX(Tabella8[[#This Row],[Italy sum of regions]]-CI,0)</f>
        <v>19852.461901070918</v>
      </c>
      <c r="L56" s="79">
        <f t="shared" si="2"/>
        <v>10621</v>
      </c>
      <c r="M56" s="10">
        <f>Tabella8[[#This Row],[Lombardy]]*NOT(ISBLANK(Tabella8[[#This Row],[Lombardy]]))</f>
        <v>10621</v>
      </c>
      <c r="N56" s="99">
        <f>Kr*_xlfn.LOGNORM.DIST(Tabella8[[#This Row],[Day]],mu_r,sigma_r,TRUE)</f>
        <v>10802.283595774208</v>
      </c>
      <c r="O56" s="10">
        <f>Tabella8[[#This Row],[Lombardy fit]]*NOT(ISBLANK(Tabella8[[#This Row],[Lombardy]]))</f>
        <v>10802.283595774208</v>
      </c>
      <c r="P56" s="10">
        <f>Tabella8[[#This Row],[Lombardy fit]]+CIr</f>
        <v>11022.080704859203</v>
      </c>
      <c r="Q56" s="10">
        <f>MAX(Tabella8[[#This Row],[Lombardy fit]]-CIr,0)</f>
        <v>10582.486486689213</v>
      </c>
      <c r="R56" s="10">
        <f>Tabella8[[#This Row],[Italy cumulative]]-Tabella8[[#This Row],[Lombardy]]</f>
        <v>9278</v>
      </c>
      <c r="S56" s="10">
        <f>Tabella8[[#This Row],[rest of Italy ]]*NOT(ISBLANK(Tabella8[[#This Row],[rest of Italy ]]))</f>
        <v>9278</v>
      </c>
      <c r="T56" s="100">
        <f>Ko*_xlfn.LOGNORM.DIST(Tabella8[[#This Row],[Day]],mu_o,sigma_o,TRUE)</f>
        <v>9370.3113396158606</v>
      </c>
      <c r="U56" s="26">
        <f>Tabella8[[#This Row],[rest of Italy fit]]*NOT(ISBLANK(Tabella8[[#This Row],[rest of Italy ]]))</f>
        <v>9370.3113396158606</v>
      </c>
      <c r="V56" s="10">
        <f>Tabella8[[#This Row],[rest of Italy fit]]+CIo</f>
        <v>9508.7970533906009</v>
      </c>
      <c r="W56" s="10">
        <f>MAX(Tabella8[[#This Row],[rest of Italy fit]]-CIo,0)</f>
        <v>9231.8256258411202</v>
      </c>
      <c r="Y56" s="77" t="s">
        <v>137</v>
      </c>
      <c r="Z56" s="137">
        <v>9</v>
      </c>
      <c r="AA56" s="75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94"/>
      <c r="AU56" s="94"/>
      <c r="AV56"/>
      <c r="AW56" s="36"/>
      <c r="AX56" s="36"/>
      <c r="AY56"/>
      <c r="AZ56" s="97"/>
      <c r="BA56" s="97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</row>
    <row r="57" spans="2:374" x14ac:dyDescent="0.3">
      <c r="B57" s="9">
        <v>43934</v>
      </c>
      <c r="C57" s="4">
        <f t="shared" si="1"/>
        <v>50</v>
      </c>
      <c r="D57" s="10">
        <f>'dpc-covid19-ita-andamento-naz'!K51</f>
        <v>20465</v>
      </c>
      <c r="E57" s="10">
        <f>Tabella8[[#This Row],[Italy cumulative]]*NOT(ISBLANK(Tabella8[[#This Row],[Italy cumulative]]))</f>
        <v>20465</v>
      </c>
      <c r="F57" s="10">
        <f>Tabella8[[#This Row],[Lombardy fit]]+Tabella8[[#This Row],[rest of Italy fit]]</f>
        <v>20726.793880414225</v>
      </c>
      <c r="G57" s="10">
        <f>Tabella8[[#This Row],[Italy sum of regions]]*NOT(ISBLANK(Tabella8[[#This Row],[Italy cumulative]]))</f>
        <v>20726.793880414225</v>
      </c>
      <c r="H57" s="98">
        <f>Kt*_xlfn.LOGNORM.DIST(Tabella8[[#This Row],[Day]],mu_t,sigma_t,TRUE)</f>
        <v>20619.544902063069</v>
      </c>
      <c r="I57" s="10">
        <f>Tabella8[[#This Row],[Italy fit]]*NOT(ISBLANK(Tabella8[[#This Row],[Italy cumulative]]))</f>
        <v>20619.544902063069</v>
      </c>
      <c r="J57" s="10">
        <f>Tabella8[[#This Row],[Italy sum of regions]]+CI</f>
        <v>21046.926914733376</v>
      </c>
      <c r="K57" s="10">
        <f>MAX(Tabella8[[#This Row],[Italy sum of regions]]-CI,0)</f>
        <v>20406.660846095074</v>
      </c>
      <c r="L57" s="79">
        <f t="shared" si="2"/>
        <v>10901</v>
      </c>
      <c r="M57" s="10">
        <f>Tabella8[[#This Row],[Lombardy]]*NOT(ISBLANK(Tabella8[[#This Row],[Lombardy]]))</f>
        <v>10901</v>
      </c>
      <c r="N57" s="99">
        <f>Kr*_xlfn.LOGNORM.DIST(Tabella8[[#This Row],[Day]],mu_r,sigma_r,TRUE)</f>
        <v>11038.724040751638</v>
      </c>
      <c r="O57" s="10">
        <f>Tabella8[[#This Row],[Lombardy fit]]*NOT(ISBLANK(Tabella8[[#This Row],[Lombardy]]))</f>
        <v>11038.724040751638</v>
      </c>
      <c r="P57" s="10">
        <f>Tabella8[[#This Row],[Lombardy fit]]+CIr</f>
        <v>11258.521149836633</v>
      </c>
      <c r="Q57" s="10">
        <f>MAX(Tabella8[[#This Row],[Lombardy fit]]-CIr,0)</f>
        <v>10818.926931666643</v>
      </c>
      <c r="R57" s="10">
        <f>Tabella8[[#This Row],[Italy cumulative]]-Tabella8[[#This Row],[Lombardy]]</f>
        <v>9564</v>
      </c>
      <c r="S57" s="10">
        <f>Tabella8[[#This Row],[rest of Italy ]]*NOT(ISBLANK(Tabella8[[#This Row],[rest of Italy ]]))</f>
        <v>9564</v>
      </c>
      <c r="T57" s="100">
        <f>Ko*_xlfn.LOGNORM.DIST(Tabella8[[#This Row],[Day]],mu_o,sigma_o,TRUE)</f>
        <v>9688.0698396625849</v>
      </c>
      <c r="U57" s="26">
        <f>Tabella8[[#This Row],[rest of Italy fit]]*NOT(ISBLANK(Tabella8[[#This Row],[rest of Italy ]]))</f>
        <v>9688.0698396625849</v>
      </c>
      <c r="V57" s="10">
        <f>Tabella8[[#This Row],[rest of Italy fit]]+CIo</f>
        <v>9826.5555534373252</v>
      </c>
      <c r="W57" s="10">
        <f>MAX(Tabella8[[#This Row],[rest of Italy fit]]-CIo,0)</f>
        <v>9549.5841258878445</v>
      </c>
      <c r="Y57" s="77" t="s">
        <v>138</v>
      </c>
      <c r="Z57" s="137">
        <v>9</v>
      </c>
      <c r="AA57" s="75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94"/>
      <c r="AU57" s="94"/>
      <c r="AV57"/>
      <c r="AW57" s="36"/>
      <c r="AX57" s="36"/>
      <c r="AY57"/>
      <c r="AZ57" s="97"/>
      <c r="BA57" s="9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</row>
    <row r="58" spans="2:374" x14ac:dyDescent="0.3">
      <c r="B58" s="9">
        <v>43935</v>
      </c>
      <c r="C58" s="4">
        <f t="shared" si="1"/>
        <v>51</v>
      </c>
      <c r="D58" s="10">
        <f>'dpc-covid19-ita-andamento-naz'!K52</f>
        <v>21067</v>
      </c>
      <c r="E58" s="10">
        <f>Tabella8[[#This Row],[Italy cumulative]]*NOT(ISBLANK(Tabella8[[#This Row],[Italy cumulative]]))</f>
        <v>21067</v>
      </c>
      <c r="F58" s="10">
        <f>Tabella8[[#This Row],[Lombardy fit]]+Tabella8[[#This Row],[rest of Italy fit]]</f>
        <v>21261.370577375557</v>
      </c>
      <c r="G58" s="10">
        <f>Tabella8[[#This Row],[Italy sum of regions]]*NOT(ISBLANK(Tabella8[[#This Row],[Italy cumulative]]))</f>
        <v>21261.370577375557</v>
      </c>
      <c r="H58" s="98">
        <f>Kt*_xlfn.LOGNORM.DIST(Tabella8[[#This Row],[Day]],mu_t,sigma_t,TRUE)</f>
        <v>21028.980775629043</v>
      </c>
      <c r="I58" s="10">
        <f>Tabella8[[#This Row],[Italy fit]]*NOT(ISBLANK(Tabella8[[#This Row],[Italy cumulative]]))</f>
        <v>21028.980775629043</v>
      </c>
      <c r="J58" s="10">
        <f>Tabella8[[#This Row],[Italy sum of regions]]+CI</f>
        <v>21581.503611694709</v>
      </c>
      <c r="K58" s="10">
        <f>MAX(Tabella8[[#This Row],[Italy sum of regions]]-CI,0)</f>
        <v>20941.237543056406</v>
      </c>
      <c r="L58" s="79">
        <f t="shared" si="2"/>
        <v>11142</v>
      </c>
      <c r="M58" s="10">
        <f>Tabella8[[#This Row],[Lombardy]]*NOT(ISBLANK(Tabella8[[#This Row],[Lombardy]]))</f>
        <v>11142</v>
      </c>
      <c r="N58" s="99">
        <f>Kr*_xlfn.LOGNORM.DIST(Tabella8[[#This Row],[Day]],mu_r,sigma_r,TRUE)</f>
        <v>11263.710839039619</v>
      </c>
      <c r="O58" s="10">
        <f>Tabella8[[#This Row],[Lombardy fit]]*NOT(ISBLANK(Tabella8[[#This Row],[Lombardy]]))</f>
        <v>11263.710839039619</v>
      </c>
      <c r="P58" s="10">
        <f>Tabella8[[#This Row],[Lombardy fit]]+CIr</f>
        <v>11483.507948124614</v>
      </c>
      <c r="Q58" s="10">
        <f>MAX(Tabella8[[#This Row],[Lombardy fit]]-CIr,0)</f>
        <v>11043.913729954624</v>
      </c>
      <c r="R58" s="10">
        <f>Tabella8[[#This Row],[Italy cumulative]]-Tabella8[[#This Row],[Lombardy]]</f>
        <v>9925</v>
      </c>
      <c r="S58" s="10">
        <f>Tabella8[[#This Row],[rest of Italy ]]*NOT(ISBLANK(Tabella8[[#This Row],[rest of Italy ]]))</f>
        <v>9925</v>
      </c>
      <c r="T58" s="100">
        <f>Ko*_xlfn.LOGNORM.DIST(Tabella8[[#This Row],[Day]],mu_o,sigma_o,TRUE)</f>
        <v>9997.6597383359367</v>
      </c>
      <c r="U58" s="26">
        <f>Tabella8[[#This Row],[rest of Italy fit]]*NOT(ISBLANK(Tabella8[[#This Row],[rest of Italy ]]))</f>
        <v>9997.6597383359367</v>
      </c>
      <c r="V58" s="10">
        <f>Tabella8[[#This Row],[rest of Italy fit]]+CIo</f>
        <v>10136.145452110677</v>
      </c>
      <c r="W58" s="10">
        <f>MAX(Tabella8[[#This Row],[rest of Italy fit]]-CIo,0)</f>
        <v>9859.1740245611963</v>
      </c>
      <c r="Y58" s="77" t="s">
        <v>139</v>
      </c>
      <c r="Z58" s="137">
        <v>14</v>
      </c>
      <c r="AA58" s="75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94"/>
      <c r="AU58" s="94"/>
      <c r="AV58"/>
      <c r="AW58" s="36"/>
      <c r="AX58" s="36"/>
      <c r="AY58"/>
      <c r="AZ58" s="97"/>
      <c r="BA58" s="97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</row>
    <row r="59" spans="2:374" x14ac:dyDescent="0.3">
      <c r="B59" s="9">
        <v>43936</v>
      </c>
      <c r="C59" s="4">
        <f t="shared" si="1"/>
        <v>52</v>
      </c>
      <c r="D59" s="10">
        <f>'dpc-covid19-ita-andamento-naz'!K53</f>
        <v>21645</v>
      </c>
      <c r="E59" s="10">
        <f>Tabella8[[#This Row],[Italy cumulative]]*NOT(ISBLANK(Tabella8[[#This Row],[Italy cumulative]]))</f>
        <v>21645</v>
      </c>
      <c r="F59" s="10">
        <f>Tabella8[[#This Row],[Lombardy fit]]+Tabella8[[#This Row],[rest of Italy fit]]</f>
        <v>21776.391938236928</v>
      </c>
      <c r="G59" s="10">
        <f>Tabella8[[#This Row],[Italy sum of regions]]*NOT(ISBLANK(Tabella8[[#This Row],[Italy cumulative]]))</f>
        <v>21776.391938236928</v>
      </c>
      <c r="H59" s="98">
        <f>Kt*_xlfn.LOGNORM.DIST(Tabella8[[#This Row],[Day]],mu_t,sigma_t,TRUE)</f>
        <v>21411.351313916479</v>
      </c>
      <c r="I59" s="10">
        <f>Tabella8[[#This Row],[Italy fit]]*NOT(ISBLANK(Tabella8[[#This Row],[Italy cumulative]]))</f>
        <v>21411.351313916479</v>
      </c>
      <c r="J59" s="10">
        <f>Tabella8[[#This Row],[Italy sum of regions]]+CI</f>
        <v>22096.524972556079</v>
      </c>
      <c r="K59" s="10">
        <f>MAX(Tabella8[[#This Row],[Italy sum of regions]]-CI,0)</f>
        <v>21456.258903917776</v>
      </c>
      <c r="L59" s="79">
        <f t="shared" si="2"/>
        <v>11377</v>
      </c>
      <c r="M59" s="10">
        <f>Tabella8[[#This Row],[Lombardy]]*NOT(ISBLANK(Tabella8[[#This Row],[Lombardy]]))</f>
        <v>11377</v>
      </c>
      <c r="N59" s="99">
        <f>Kr*_xlfn.LOGNORM.DIST(Tabella8[[#This Row],[Day]],mu_r,sigma_r,TRUE)</f>
        <v>11477.547605566646</v>
      </c>
      <c r="O59" s="10">
        <f>Tabella8[[#This Row],[Lombardy fit]]*NOT(ISBLANK(Tabella8[[#This Row],[Lombardy]]))</f>
        <v>11477.547605566646</v>
      </c>
      <c r="P59" s="10">
        <f>Tabella8[[#This Row],[Lombardy fit]]+CIr</f>
        <v>11697.344714651641</v>
      </c>
      <c r="Q59" s="10">
        <f>MAX(Tabella8[[#This Row],[Lombardy fit]]-CIr,0)</f>
        <v>11257.750496481651</v>
      </c>
      <c r="R59" s="10">
        <f>Tabella8[[#This Row],[Italy cumulative]]-Tabella8[[#This Row],[Lombardy]]</f>
        <v>10268</v>
      </c>
      <c r="S59" s="10">
        <f>Tabella8[[#This Row],[rest of Italy ]]*NOT(ISBLANK(Tabella8[[#This Row],[rest of Italy ]]))</f>
        <v>10268</v>
      </c>
      <c r="T59" s="100">
        <f>Ko*_xlfn.LOGNORM.DIST(Tabella8[[#This Row],[Day]],mu_o,sigma_o,TRUE)</f>
        <v>10298.84433267028</v>
      </c>
      <c r="U59" s="26">
        <f>Tabella8[[#This Row],[rest of Italy fit]]*NOT(ISBLANK(Tabella8[[#This Row],[rest of Italy ]]))</f>
        <v>10298.84433267028</v>
      </c>
      <c r="V59" s="10">
        <f>Tabella8[[#This Row],[rest of Italy fit]]+CIo</f>
        <v>10437.33004644502</v>
      </c>
      <c r="W59" s="10">
        <f>MAX(Tabella8[[#This Row],[rest of Italy fit]]-CIo,0)</f>
        <v>10160.35861889554</v>
      </c>
      <c r="Y59" s="77" t="s">
        <v>140</v>
      </c>
      <c r="Z59" s="137">
        <v>17</v>
      </c>
      <c r="AA59" s="75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s="94"/>
      <c r="AU59" s="94"/>
      <c r="AV59"/>
      <c r="AW59" s="36"/>
      <c r="AX59" s="36"/>
      <c r="AY59"/>
      <c r="AZ59" s="97"/>
      <c r="BA59" s="97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</row>
    <row r="60" spans="2:374" x14ac:dyDescent="0.3">
      <c r="B60" s="9">
        <v>43937</v>
      </c>
      <c r="C60" s="4">
        <f t="shared" si="1"/>
        <v>53</v>
      </c>
      <c r="D60" s="10">
        <f>'dpc-covid19-ita-andamento-naz'!K54</f>
        <v>22170</v>
      </c>
      <c r="E60" s="10">
        <f>Tabella8[[#This Row],[Italy cumulative]]*NOT(ISBLANK(Tabella8[[#This Row],[Italy cumulative]]))</f>
        <v>22170</v>
      </c>
      <c r="F60" s="10">
        <f>Tabella8[[#This Row],[Lombardy fit]]+Tabella8[[#This Row],[rest of Italy fit]]</f>
        <v>22272.011588425979</v>
      </c>
      <c r="G60" s="10">
        <f>Tabella8[[#This Row],[Italy sum of regions]]*NOT(ISBLANK(Tabella8[[#This Row],[Italy cumulative]]))</f>
        <v>22272.011588425979</v>
      </c>
      <c r="H60" s="98">
        <f>Kt*_xlfn.LOGNORM.DIST(Tabella8[[#This Row],[Day]],mu_t,sigma_t,TRUE)</f>
        <v>21767.832842793458</v>
      </c>
      <c r="I60" s="10">
        <f>Tabella8[[#This Row],[Italy fit]]*NOT(ISBLANK(Tabella8[[#This Row],[Italy cumulative]]))</f>
        <v>21767.832842793458</v>
      </c>
      <c r="J60" s="10">
        <f>Tabella8[[#This Row],[Italy sum of regions]]+CI</f>
        <v>22592.144622745131</v>
      </c>
      <c r="K60" s="10">
        <f>MAX(Tabella8[[#This Row],[Italy sum of regions]]-CI,0)</f>
        <v>21951.878554106828</v>
      </c>
      <c r="L60" s="79">
        <f t="shared" si="2"/>
        <v>11608</v>
      </c>
      <c r="M60" s="10">
        <f>Tabella8[[#This Row],[Lombardy]]*NOT(ISBLANK(Tabella8[[#This Row],[Lombardy]]))</f>
        <v>11608</v>
      </c>
      <c r="N60" s="99">
        <f>Kr*_xlfn.LOGNORM.DIST(Tabella8[[#This Row],[Day]],mu_r,sigma_r,TRUE)</f>
        <v>11680.565902507202</v>
      </c>
      <c r="O60" s="10">
        <f>Tabella8[[#This Row],[Lombardy fit]]*NOT(ISBLANK(Tabella8[[#This Row],[Lombardy]]))</f>
        <v>11680.565902507202</v>
      </c>
      <c r="P60" s="10">
        <f>Tabella8[[#This Row],[Lombardy fit]]+CIr</f>
        <v>11900.363011592197</v>
      </c>
      <c r="Q60" s="10">
        <f>MAX(Tabella8[[#This Row],[Lombardy fit]]-CIr,0)</f>
        <v>11460.768793422207</v>
      </c>
      <c r="R60" s="10">
        <f>Tabella8[[#This Row],[Italy cumulative]]-Tabella8[[#This Row],[Lombardy]]</f>
        <v>10562</v>
      </c>
      <c r="S60" s="10">
        <f>Tabella8[[#This Row],[rest of Italy ]]*NOT(ISBLANK(Tabella8[[#This Row],[rest of Italy ]]))</f>
        <v>10562</v>
      </c>
      <c r="T60" s="100">
        <f>Ko*_xlfn.LOGNORM.DIST(Tabella8[[#This Row],[Day]],mu_o,sigma_o,TRUE)</f>
        <v>10591.445685918776</v>
      </c>
      <c r="U60" s="26">
        <f>Tabella8[[#This Row],[rest of Italy fit]]*NOT(ISBLANK(Tabella8[[#This Row],[rest of Italy ]]))</f>
        <v>10591.445685918776</v>
      </c>
      <c r="V60" s="10">
        <f>Tabella8[[#This Row],[rest of Italy fit]]+CIo</f>
        <v>10729.931399693516</v>
      </c>
      <c r="W60" s="10">
        <f>MAX(Tabella8[[#This Row],[rest of Italy fit]]-CIo,0)</f>
        <v>10452.959972144035</v>
      </c>
      <c r="Y60" s="77" t="s">
        <v>141</v>
      </c>
      <c r="Z60" s="137">
        <v>23</v>
      </c>
      <c r="AA60" s="75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94"/>
      <c r="AU60" s="94"/>
      <c r="AV60"/>
      <c r="AW60" s="36"/>
      <c r="AX60" s="36"/>
      <c r="AY60"/>
      <c r="AZ60" s="97"/>
      <c r="BA60" s="97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</row>
    <row r="61" spans="2:374" x14ac:dyDescent="0.3">
      <c r="B61" s="9">
        <v>43938</v>
      </c>
      <c r="C61" s="4">
        <f t="shared" si="1"/>
        <v>54</v>
      </c>
      <c r="D61" s="10">
        <f>'dpc-covid19-ita-andamento-naz'!K55</f>
        <v>22745</v>
      </c>
      <c r="E61" s="10">
        <f>Tabella8[[#This Row],[Italy cumulative]]*NOT(ISBLANK(Tabella8[[#This Row],[Italy cumulative]]))</f>
        <v>22745</v>
      </c>
      <c r="F61" s="10">
        <f>Tabella8[[#This Row],[Lombardy fit]]+Tabella8[[#This Row],[rest of Italy fit]]</f>
        <v>22748.458208194224</v>
      </c>
      <c r="G61" s="10">
        <f>Tabella8[[#This Row],[Italy sum of regions]]*NOT(ISBLANK(Tabella8[[#This Row],[Italy cumulative]]))</f>
        <v>22748.458208194224</v>
      </c>
      <c r="H61" s="98">
        <f>Kt*_xlfn.LOGNORM.DIST(Tabella8[[#This Row],[Day]],mu_t,sigma_t,TRUE)</f>
        <v>22099.648203612731</v>
      </c>
      <c r="I61" s="10">
        <f>Tabella8[[#This Row],[Italy fit]]*NOT(ISBLANK(Tabella8[[#This Row],[Italy cumulative]]))</f>
        <v>22099.648203612731</v>
      </c>
      <c r="J61" s="10">
        <f>Tabella8[[#This Row],[Italy sum of regions]]+CI</f>
        <v>23068.591242513376</v>
      </c>
      <c r="K61" s="10">
        <f>MAX(Tabella8[[#This Row],[Italy sum of regions]]-CI,0)</f>
        <v>22428.325173875073</v>
      </c>
      <c r="L61" s="79">
        <f t="shared" si="2"/>
        <v>11851</v>
      </c>
      <c r="M61" s="10">
        <f>Tabella8[[#This Row],[Lombardy]]*NOT(ISBLANK(Tabella8[[#This Row],[Lombardy]]))</f>
        <v>11851</v>
      </c>
      <c r="N61" s="99">
        <f>Kr*_xlfn.LOGNORM.DIST(Tabella8[[#This Row],[Day]],mu_r,sigma_r,TRUE)</f>
        <v>11873.118793000795</v>
      </c>
      <c r="O61" s="10">
        <f>Tabella8[[#This Row],[Lombardy fit]]*NOT(ISBLANK(Tabella8[[#This Row],[Lombardy]]))</f>
        <v>11873.118793000795</v>
      </c>
      <c r="P61" s="10">
        <f>Tabella8[[#This Row],[Lombardy fit]]+CIr</f>
        <v>12092.91590208579</v>
      </c>
      <c r="Q61" s="10">
        <f>MAX(Tabella8[[#This Row],[Lombardy fit]]-CIr,0)</f>
        <v>11653.321683915799</v>
      </c>
      <c r="R61" s="10">
        <f>Tabella8[[#This Row],[Italy cumulative]]-Tabella8[[#This Row],[Lombardy]]</f>
        <v>10894</v>
      </c>
      <c r="S61" s="10">
        <f>Tabella8[[#This Row],[rest of Italy ]]*NOT(ISBLANK(Tabella8[[#This Row],[rest of Italy ]]))</f>
        <v>10894</v>
      </c>
      <c r="T61" s="100">
        <f>Ko*_xlfn.LOGNORM.DIST(Tabella8[[#This Row],[Day]],mu_o,sigma_o,TRUE)</f>
        <v>10875.33941519343</v>
      </c>
      <c r="U61" s="26">
        <f>Tabella8[[#This Row],[rest of Italy fit]]*NOT(ISBLANK(Tabella8[[#This Row],[rest of Italy ]]))</f>
        <v>10875.33941519343</v>
      </c>
      <c r="V61" s="10">
        <f>Tabella8[[#This Row],[rest of Italy fit]]+CIo</f>
        <v>11013.82512896817</v>
      </c>
      <c r="W61" s="10">
        <f>MAX(Tabella8[[#This Row],[rest of Italy fit]]-CIo,0)</f>
        <v>10736.85370141869</v>
      </c>
      <c r="Y61" s="77" t="s">
        <v>142</v>
      </c>
      <c r="Z61" s="137">
        <v>24</v>
      </c>
      <c r="AA61" s="75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94"/>
      <c r="AU61" s="94"/>
      <c r="AV61"/>
      <c r="AW61" s="36"/>
      <c r="AX61" s="36"/>
      <c r="AY61"/>
      <c r="AZ61" s="97"/>
      <c r="BA61" s="97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</row>
    <row r="62" spans="2:374" x14ac:dyDescent="0.3">
      <c r="B62" s="9">
        <v>43939</v>
      </c>
      <c r="C62" s="4">
        <f t="shared" si="1"/>
        <v>55</v>
      </c>
      <c r="D62" s="10">
        <f>'dpc-covid19-ita-andamento-naz'!K56</f>
        <v>23227</v>
      </c>
      <c r="E62" s="10">
        <f>Tabella8[[#This Row],[Italy cumulative]]*NOT(ISBLANK(Tabella8[[#This Row],[Italy cumulative]]))</f>
        <v>23227</v>
      </c>
      <c r="F62" s="10">
        <f>Tabella8[[#This Row],[Lombardy fit]]+Tabella8[[#This Row],[rest of Italy fit]]</f>
        <v>23206.024815986355</v>
      </c>
      <c r="G62" s="10">
        <f>Tabella8[[#This Row],[Italy sum of regions]]*NOT(ISBLANK(Tabella8[[#This Row],[Italy cumulative]]))</f>
        <v>23206.024815986355</v>
      </c>
      <c r="H62" s="98">
        <f>Kt*_xlfn.LOGNORM.DIST(Tabella8[[#This Row],[Day]],mu_t,sigma_t,TRUE)</f>
        <v>22408.04632330544</v>
      </c>
      <c r="I62" s="10">
        <f>Tabella8[[#This Row],[Italy fit]]*NOT(ISBLANK(Tabella8[[#This Row],[Italy cumulative]]))</f>
        <v>22408.04632330544</v>
      </c>
      <c r="J62" s="10">
        <f>Tabella8[[#This Row],[Italy sum of regions]]+CI</f>
        <v>23526.157850305506</v>
      </c>
      <c r="K62" s="10">
        <f>MAX(Tabella8[[#This Row],[Italy sum of regions]]-CI,0)</f>
        <v>22885.891781667204</v>
      </c>
      <c r="L62" s="79">
        <f t="shared" si="2"/>
        <v>12050</v>
      </c>
      <c r="M62" s="10">
        <f>Tabella8[[#This Row],[Lombardy]]*NOT(ISBLANK(Tabella8[[#This Row],[Lombardy]]))</f>
        <v>12050</v>
      </c>
      <c r="N62" s="99">
        <f>Kr*_xlfn.LOGNORM.DIST(Tabella8[[#This Row],[Day]],mu_r,sigma_r,TRUE)</f>
        <v>12055.575162738782</v>
      </c>
      <c r="O62" s="10">
        <f>Tabella8[[#This Row],[Lombardy fit]]*NOT(ISBLANK(Tabella8[[#This Row],[Lombardy]]))</f>
        <v>12055.575162738782</v>
      </c>
      <c r="P62" s="10">
        <f>Tabella8[[#This Row],[Lombardy fit]]+CIr</f>
        <v>12275.372271823777</v>
      </c>
      <c r="Q62" s="10">
        <f>MAX(Tabella8[[#This Row],[Lombardy fit]]-CIr,0)</f>
        <v>11835.778053653787</v>
      </c>
      <c r="R62" s="10">
        <f>Tabella8[[#This Row],[Italy cumulative]]-Tabella8[[#This Row],[Lombardy]]</f>
        <v>11177</v>
      </c>
      <c r="S62" s="10">
        <f>Tabella8[[#This Row],[rest of Italy ]]*NOT(ISBLANK(Tabella8[[#This Row],[rest of Italy ]]))</f>
        <v>11177</v>
      </c>
      <c r="T62" s="100">
        <f>Ko*_xlfn.LOGNORM.DIST(Tabella8[[#This Row],[Day]],mu_o,sigma_o,TRUE)</f>
        <v>11150.449653247575</v>
      </c>
      <c r="U62" s="26">
        <f>Tabella8[[#This Row],[rest of Italy fit]]*NOT(ISBLANK(Tabella8[[#This Row],[rest of Italy ]]))</f>
        <v>11150.449653247575</v>
      </c>
      <c r="V62" s="10">
        <f>Tabella8[[#This Row],[rest of Italy fit]]+CIo</f>
        <v>11288.935367022315</v>
      </c>
      <c r="W62" s="10">
        <f>MAX(Tabella8[[#This Row],[rest of Italy fit]]-CIo,0)</f>
        <v>11011.963939472835</v>
      </c>
      <c r="Y62" s="77" t="s">
        <v>143</v>
      </c>
      <c r="Z62" s="137">
        <v>38</v>
      </c>
      <c r="AA62" s="75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94"/>
      <c r="AU62" s="94"/>
      <c r="AV62"/>
      <c r="AW62" s="36"/>
      <c r="AX62" s="36"/>
      <c r="AY62"/>
      <c r="AZ62" s="97"/>
      <c r="BA62" s="97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</row>
    <row r="63" spans="2:374" x14ac:dyDescent="0.3">
      <c r="B63" s="9">
        <v>43940</v>
      </c>
      <c r="C63" s="4">
        <f t="shared" si="1"/>
        <v>56</v>
      </c>
      <c r="D63" s="10">
        <f>'dpc-covid19-ita-andamento-naz'!K57</f>
        <v>23660</v>
      </c>
      <c r="E63" s="10">
        <f>Tabella8[[#This Row],[Italy cumulative]]*NOT(ISBLANK(Tabella8[[#This Row],[Italy cumulative]]))</f>
        <v>23660</v>
      </c>
      <c r="F63" s="10">
        <f>Tabella8[[#This Row],[Lombardy fit]]+Tabella8[[#This Row],[rest of Italy fit]]</f>
        <v>23645.058975616743</v>
      </c>
      <c r="G63" s="10">
        <f>Tabella8[[#This Row],[Italy sum of regions]]*NOT(ISBLANK(Tabella8[[#This Row],[Italy cumulative]]))</f>
        <v>23645.058975616743</v>
      </c>
      <c r="H63" s="98">
        <f>Kt*_xlfn.LOGNORM.DIST(Tabella8[[#This Row],[Day]],mu_t,sigma_t,TRUE)</f>
        <v>22694.28489846551</v>
      </c>
      <c r="I63" s="10">
        <f>Tabella8[[#This Row],[Italy fit]]*NOT(ISBLANK(Tabella8[[#This Row],[Italy cumulative]]))</f>
        <v>22694.28489846551</v>
      </c>
      <c r="J63" s="10">
        <f>Tabella8[[#This Row],[Italy sum of regions]]+CI</f>
        <v>23965.192009935894</v>
      </c>
      <c r="K63" s="10">
        <f>MAX(Tabella8[[#This Row],[Italy sum of regions]]-CI,0)</f>
        <v>23324.925941297592</v>
      </c>
      <c r="L63" s="79">
        <f t="shared" si="2"/>
        <v>12213</v>
      </c>
      <c r="M63" s="10">
        <f>Tabella8[[#This Row],[Lombardy]]*NOT(ISBLANK(Tabella8[[#This Row],[Lombardy]]))</f>
        <v>12213</v>
      </c>
      <c r="N63" s="99">
        <f>Kr*_xlfn.LOGNORM.DIST(Tabella8[[#This Row],[Day]],mu_r,sigma_r,TRUE)</f>
        <v>12228.314753638502</v>
      </c>
      <c r="O63" s="10">
        <f>Tabella8[[#This Row],[Lombardy fit]]*NOT(ISBLANK(Tabella8[[#This Row],[Lombardy]]))</f>
        <v>12228.314753638502</v>
      </c>
      <c r="P63" s="10">
        <f>Tabella8[[#This Row],[Lombardy fit]]+CIr</f>
        <v>12448.111862723497</v>
      </c>
      <c r="Q63" s="10">
        <f>MAX(Tabella8[[#This Row],[Lombardy fit]]-CIr,0)</f>
        <v>12008.517644553507</v>
      </c>
      <c r="R63" s="10">
        <f>Tabella8[[#This Row],[Italy cumulative]]-Tabella8[[#This Row],[Lombardy]]</f>
        <v>11447</v>
      </c>
      <c r="S63" s="10">
        <f>Tabella8[[#This Row],[rest of Italy ]]*NOT(ISBLANK(Tabella8[[#This Row],[rest of Italy ]]))</f>
        <v>11447</v>
      </c>
      <c r="T63" s="100">
        <f>Ko*_xlfn.LOGNORM.DIST(Tabella8[[#This Row],[Day]],mu_o,sigma_o,TRUE)</f>
        <v>11416.744221978241</v>
      </c>
      <c r="U63" s="26">
        <f>Tabella8[[#This Row],[rest of Italy fit]]*NOT(ISBLANK(Tabella8[[#This Row],[rest of Italy ]]))</f>
        <v>11416.744221978241</v>
      </c>
      <c r="V63" s="10">
        <f>Tabella8[[#This Row],[rest of Italy fit]]+CIo</f>
        <v>11555.229935752981</v>
      </c>
      <c r="W63" s="10">
        <f>MAX(Tabella8[[#This Row],[rest of Italy fit]]-CIo,0)</f>
        <v>11278.2585082035</v>
      </c>
      <c r="Y63" s="77" t="s">
        <v>144</v>
      </c>
      <c r="Z63" s="137">
        <v>55</v>
      </c>
      <c r="AA63" s="75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94"/>
      <c r="AU63" s="94"/>
      <c r="AV63"/>
      <c r="AW63" s="36"/>
      <c r="AX63" s="36"/>
      <c r="AY63"/>
      <c r="AZ63" s="97"/>
      <c r="BA63" s="97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</row>
    <row r="64" spans="2:374" x14ac:dyDescent="0.3">
      <c r="B64" s="9">
        <v>43941</v>
      </c>
      <c r="C64" s="4">
        <f t="shared" si="1"/>
        <v>57</v>
      </c>
      <c r="D64" s="10">
        <f>'dpc-covid19-ita-andamento-naz'!K58</f>
        <v>24114</v>
      </c>
      <c r="E64" s="10">
        <f>Tabella8[[#This Row],[Italy cumulative]]*NOT(ISBLANK(Tabella8[[#This Row],[Italy cumulative]]))</f>
        <v>24114</v>
      </c>
      <c r="F64" s="10">
        <f>Tabella8[[#This Row],[Lombardy fit]]+Tabella8[[#This Row],[rest of Italy fit]]</f>
        <v>24065.953897086321</v>
      </c>
      <c r="G64" s="10">
        <f>Tabella8[[#This Row],[Italy sum of regions]]*NOT(ISBLANK(Tabella8[[#This Row],[Italy cumulative]]))</f>
        <v>24065.953897086321</v>
      </c>
      <c r="H64" s="98">
        <f>Kt*_xlfn.LOGNORM.DIST(Tabella8[[#This Row],[Day]],mu_t,sigma_t,TRUE)</f>
        <v>22959.615915228875</v>
      </c>
      <c r="I64" s="10">
        <f>Tabella8[[#This Row],[Italy fit]]*NOT(ISBLANK(Tabella8[[#This Row],[Italy cumulative]]))</f>
        <v>22959.615915228875</v>
      </c>
      <c r="J64" s="10">
        <f>Tabella8[[#This Row],[Italy sum of regions]]+CI</f>
        <v>24386.086931405473</v>
      </c>
      <c r="K64" s="10">
        <f>MAX(Tabella8[[#This Row],[Italy sum of regions]]-CI,0)</f>
        <v>23745.82086276717</v>
      </c>
      <c r="L64" s="79">
        <f t="shared" si="2"/>
        <v>12376</v>
      </c>
      <c r="M64" s="10">
        <f>Tabella8[[#This Row],[Lombardy]]*NOT(ISBLANK(Tabella8[[#This Row],[Lombardy]]))</f>
        <v>12376</v>
      </c>
      <c r="N64" s="99">
        <f>Kr*_xlfn.LOGNORM.DIST(Tabella8[[#This Row],[Day]],mu_r,sigma_r,TRUE)</f>
        <v>12391.723852291871</v>
      </c>
      <c r="O64" s="10">
        <f>Tabella8[[#This Row],[Lombardy fit]]*NOT(ISBLANK(Tabella8[[#This Row],[Lombardy]]))</f>
        <v>12391.723852291871</v>
      </c>
      <c r="P64" s="10">
        <f>Tabella8[[#This Row],[Lombardy fit]]+CIr</f>
        <v>12611.520961376866</v>
      </c>
      <c r="Q64" s="10">
        <f>MAX(Tabella8[[#This Row],[Lombardy fit]]-CIr,0)</f>
        <v>12171.926743206875</v>
      </c>
      <c r="R64" s="10">
        <f>Tabella8[[#This Row],[Italy cumulative]]-Tabella8[[#This Row],[Lombardy]]</f>
        <v>11738</v>
      </c>
      <c r="S64" s="10">
        <f>Tabella8[[#This Row],[rest of Italy ]]*NOT(ISBLANK(Tabella8[[#This Row],[rest of Italy ]]))</f>
        <v>11738</v>
      </c>
      <c r="T64" s="100">
        <f>Ko*_xlfn.LOGNORM.DIST(Tabella8[[#This Row],[Day]],mu_o,sigma_o,TRUE)</f>
        <v>11674.230044794451</v>
      </c>
      <c r="U64" s="26">
        <f>Tabella8[[#This Row],[rest of Italy fit]]*NOT(ISBLANK(Tabella8[[#This Row],[rest of Italy ]]))</f>
        <v>11674.230044794451</v>
      </c>
      <c r="V64" s="10">
        <f>Tabella8[[#This Row],[rest of Italy fit]]+CIo</f>
        <v>11812.715758569191</v>
      </c>
      <c r="W64" s="10">
        <f>MAX(Tabella8[[#This Row],[rest of Italy fit]]-CIo,0)</f>
        <v>11535.74433101971</v>
      </c>
      <c r="Y64" s="77" t="s">
        <v>145</v>
      </c>
      <c r="Z64" s="137">
        <v>73</v>
      </c>
      <c r="AA64" s="75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s="94"/>
      <c r="AU64" s="94"/>
      <c r="AV64" s="111"/>
      <c r="AW64" s="36"/>
      <c r="AX64" s="36"/>
      <c r="AY64" s="111"/>
      <c r="AZ64" s="97"/>
      <c r="BA64" s="97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</row>
    <row r="65" spans="2:374" x14ac:dyDescent="0.3">
      <c r="B65" s="9">
        <v>43942</v>
      </c>
      <c r="C65" s="4">
        <f t="shared" si="1"/>
        <v>58</v>
      </c>
      <c r="D65" s="10">
        <f>'dpc-covid19-ita-andamento-naz'!K59</f>
        <v>24648</v>
      </c>
      <c r="E65" s="10">
        <f>Tabella8[[#This Row],[Italy cumulative]]*NOT(ISBLANK(Tabella8[[#This Row],[Italy cumulative]]))</f>
        <v>24648</v>
      </c>
      <c r="F65" s="10">
        <f>Tabella8[[#This Row],[Lombardy fit]]+Tabella8[[#This Row],[rest of Italy fit]]</f>
        <v>24469.140392167643</v>
      </c>
      <c r="G65" s="10">
        <f>Tabella8[[#This Row],[Italy sum of regions]]*NOT(ISBLANK(Tabella8[[#This Row],[Italy cumulative]]))</f>
        <v>24469.140392167643</v>
      </c>
      <c r="H65" s="98">
        <f>Kt*_xlfn.LOGNORM.DIST(Tabella8[[#This Row],[Day]],mu_t,sigma_t,TRUE)</f>
        <v>23205.273721700763</v>
      </c>
      <c r="I65" s="10">
        <f>Tabella8[[#This Row],[Italy fit]]*NOT(ISBLANK(Tabella8[[#This Row],[Italy cumulative]]))</f>
        <v>23205.273721700763</v>
      </c>
      <c r="J65" s="10">
        <f>Tabella8[[#This Row],[Italy sum of regions]]+CI</f>
        <v>24789.273426486794</v>
      </c>
      <c r="K65" s="10">
        <f>MAX(Tabella8[[#This Row],[Italy sum of regions]]-CI,0)</f>
        <v>24149.007357848492</v>
      </c>
      <c r="L65" s="79">
        <f t="shared" si="2"/>
        <v>12579</v>
      </c>
      <c r="M65" s="10">
        <f>Tabella8[[#This Row],[Lombardy]]*NOT(ISBLANK(Tabella8[[#This Row],[Lombardy]]))</f>
        <v>12579</v>
      </c>
      <c r="N65" s="99">
        <f>Kr*_xlfn.LOGNORM.DIST(Tabella8[[#This Row],[Day]],mu_r,sigma_r,TRUE)</f>
        <v>12546.191575947807</v>
      </c>
      <c r="O65" s="10">
        <f>Tabella8[[#This Row],[Lombardy fit]]*NOT(ISBLANK(Tabella8[[#This Row],[Lombardy]]))</f>
        <v>12546.191575947807</v>
      </c>
      <c r="P65" s="10">
        <f>Tabella8[[#This Row],[Lombardy fit]]+CIr</f>
        <v>12765.988685032802</v>
      </c>
      <c r="Q65" s="10">
        <f>MAX(Tabella8[[#This Row],[Lombardy fit]]-CIr,0)</f>
        <v>12326.394466862812</v>
      </c>
      <c r="R65" s="10">
        <f>Tabella8[[#This Row],[Italy cumulative]]-Tabella8[[#This Row],[Lombardy]]</f>
        <v>12069</v>
      </c>
      <c r="S65" s="10">
        <f>Tabella8[[#This Row],[rest of Italy ]]*NOT(ISBLANK(Tabella8[[#This Row],[rest of Italy ]]))</f>
        <v>12069</v>
      </c>
      <c r="T65" s="100">
        <f>Ko*_xlfn.LOGNORM.DIST(Tabella8[[#This Row],[Day]],mu_o,sigma_o,TRUE)</f>
        <v>11922.948816219836</v>
      </c>
      <c r="U65" s="26">
        <f>Tabella8[[#This Row],[rest of Italy fit]]*NOT(ISBLANK(Tabella8[[#This Row],[rest of Italy ]]))</f>
        <v>11922.948816219836</v>
      </c>
      <c r="V65" s="10">
        <f>Tabella8[[#This Row],[rest of Italy fit]]+CIo</f>
        <v>12061.434529994576</v>
      </c>
      <c r="W65" s="10">
        <f>MAX(Tabella8[[#This Row],[rest of Italy fit]]-CIo,0)</f>
        <v>11784.463102445096</v>
      </c>
      <c r="Y65" s="77" t="s">
        <v>146</v>
      </c>
      <c r="Z65" s="137">
        <v>98</v>
      </c>
      <c r="AA65" s="7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94"/>
      <c r="AU65" s="94"/>
      <c r="AV65" s="111"/>
      <c r="AW65" s="36"/>
      <c r="AX65" s="36"/>
      <c r="AY65" s="111"/>
      <c r="AZ65" s="97"/>
      <c r="BA65" s="97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</row>
    <row r="66" spans="2:374" x14ac:dyDescent="0.3">
      <c r="B66" s="9">
        <v>43943</v>
      </c>
      <c r="C66" s="4">
        <f t="shared" si="1"/>
        <v>59</v>
      </c>
      <c r="D66" s="10">
        <f>'dpc-covid19-ita-andamento-naz'!K60</f>
        <v>25085</v>
      </c>
      <c r="E66" s="10">
        <f>Tabella8[[#This Row],[Italy cumulative]]*NOT(ISBLANK(Tabella8[[#This Row],[Italy cumulative]]))</f>
        <v>25085</v>
      </c>
      <c r="F66" s="10">
        <f>Tabella8[[#This Row],[Lombardy fit]]+Tabella8[[#This Row],[rest of Italy fit]]</f>
        <v>24855.079639854215</v>
      </c>
      <c r="G66" s="10">
        <f>Tabella8[[#This Row],[Italy sum of regions]]*NOT(ISBLANK(Tabella8[[#This Row],[Italy cumulative]]))</f>
        <v>24855.079639854215</v>
      </c>
      <c r="H66" s="98">
        <f>Kt*_xlfn.LOGNORM.DIST(Tabella8[[#This Row],[Day]],mu_t,sigma_t,TRUE)</f>
        <v>23432.465373599523</v>
      </c>
      <c r="I66" s="10">
        <f>Tabella8[[#This Row],[Italy fit]]*NOT(ISBLANK(Tabella8[[#This Row],[Italy cumulative]]))</f>
        <v>23432.465373599523</v>
      </c>
      <c r="J66" s="10">
        <f>Tabella8[[#This Row],[Italy sum of regions]]+CI</f>
        <v>25175.212674173366</v>
      </c>
      <c r="K66" s="10">
        <f>MAX(Tabella8[[#This Row],[Italy sum of regions]]-CI,0)</f>
        <v>24534.946605535064</v>
      </c>
      <c r="L66" s="79">
        <f t="shared" si="2"/>
        <v>12740</v>
      </c>
      <c r="M66" s="10">
        <f>Tabella8[[#This Row],[Lombardy]]*NOT(ISBLANK(Tabella8[[#This Row],[Lombardy]]))</f>
        <v>12740</v>
      </c>
      <c r="N66" s="99">
        <f>Kr*_xlfn.LOGNORM.DIST(Tabella8[[#This Row],[Day]],mu_r,sigma_r,TRUE)</f>
        <v>12692.106700060776</v>
      </c>
      <c r="O66" s="10">
        <f>Tabella8[[#This Row],[Lombardy fit]]*NOT(ISBLANK(Tabella8[[#This Row],[Lombardy]]))</f>
        <v>12692.106700060776</v>
      </c>
      <c r="P66" s="10">
        <f>Tabella8[[#This Row],[Lombardy fit]]+CIr</f>
        <v>12911.903809145771</v>
      </c>
      <c r="Q66" s="10">
        <f>MAX(Tabella8[[#This Row],[Lombardy fit]]-CIr,0)</f>
        <v>12472.309590975781</v>
      </c>
      <c r="R66" s="10">
        <f>Tabella8[[#This Row],[Italy cumulative]]-Tabella8[[#This Row],[Lombardy]]</f>
        <v>12345</v>
      </c>
      <c r="S66" s="10">
        <f>Tabella8[[#This Row],[rest of Italy ]]*NOT(ISBLANK(Tabella8[[#This Row],[rest of Italy ]]))</f>
        <v>12345</v>
      </c>
      <c r="T66" s="100">
        <f>Ko*_xlfn.LOGNORM.DIST(Tabella8[[#This Row],[Day]],mu_o,sigma_o,TRUE)</f>
        <v>12162.972939793439</v>
      </c>
      <c r="U66" s="26">
        <f>Tabella8[[#This Row],[rest of Italy fit]]*NOT(ISBLANK(Tabella8[[#This Row],[rest of Italy ]]))</f>
        <v>12162.972939793439</v>
      </c>
      <c r="V66" s="10">
        <f>Tabella8[[#This Row],[rest of Italy fit]]+CIo</f>
        <v>12301.458653568179</v>
      </c>
      <c r="W66" s="10">
        <f>MAX(Tabella8[[#This Row],[rest of Italy fit]]-CIo,0)</f>
        <v>12024.487226018698</v>
      </c>
      <c r="Y66" s="77" t="s">
        <v>147</v>
      </c>
      <c r="Z66" s="137">
        <v>135</v>
      </c>
      <c r="AA66" s="75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94"/>
      <c r="AU66" s="94"/>
      <c r="AV66" s="111"/>
      <c r="AW66" s="36"/>
      <c r="AX66" s="36"/>
      <c r="AY66" s="111"/>
      <c r="AZ66" s="97"/>
      <c r="BA66" s="97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</row>
    <row r="67" spans="2:374" x14ac:dyDescent="0.3">
      <c r="B67" s="9">
        <v>43944</v>
      </c>
      <c r="C67" s="4">
        <f t="shared" si="1"/>
        <v>60</v>
      </c>
      <c r="D67" s="10"/>
      <c r="E67" s="10">
        <f>Tabella8[[#This Row],[Italy cumulative]]*NOT(ISBLANK(Tabella8[[#This Row],[Italy cumulative]]))</f>
        <v>0</v>
      </c>
      <c r="F67" s="10">
        <f>Tabella8[[#This Row],[Lombardy fit]]+Tabella8[[#This Row],[rest of Italy fit]]</f>
        <v>25224.256712908762</v>
      </c>
      <c r="G67" s="10">
        <f>Tabella8[[#This Row],[Italy sum of regions]]*NOT(ISBLANK(Tabella8[[#This Row],[Italy cumulative]]))</f>
        <v>0</v>
      </c>
      <c r="H67" s="98">
        <f>Kt*_xlfn.LOGNORM.DIST(Tabella8[[#This Row],[Day]],mu_t,sigma_t,TRUE)</f>
        <v>23642.362984203788</v>
      </c>
      <c r="I67" s="10">
        <f>Tabella8[[#This Row],[Italy fit]]*NOT(ISBLANK(Tabella8[[#This Row],[Italy cumulative]]))</f>
        <v>0</v>
      </c>
      <c r="J67" s="10"/>
      <c r="K67" s="10"/>
      <c r="L67" s="80"/>
      <c r="M67" s="10">
        <f>Tabella8[[#This Row],[Lombardy]]*NOT(ISBLANK(Tabella8[[#This Row],[Lombardy]]))</f>
        <v>0</v>
      </c>
      <c r="N67" s="99">
        <f>Kr*_xlfn.LOGNORM.DIST(Tabella8[[#This Row],[Day]],mu_r,sigma_r,TRUE)</f>
        <v>12829.854973582547</v>
      </c>
      <c r="O67" s="10">
        <f>Tabella8[[#This Row],[Lombardy fit]]*NOT(ISBLANK(Tabella8[[#This Row],[Lombardy]]))</f>
        <v>0</v>
      </c>
      <c r="S67" s="10">
        <f>Tabella8[[#This Row],[rest of Italy ]]*NOT(ISBLANK(Tabella8[[#This Row],[rest of Italy ]]))</f>
        <v>0</v>
      </c>
      <c r="T67" s="100">
        <f>Ko*_xlfn.LOGNORM.DIST(Tabella8[[#This Row],[Day]],mu_o,sigma_o,TRUE)</f>
        <v>12394.401739326213</v>
      </c>
      <c r="U67" s="26">
        <f>Tabella8[[#This Row],[rest of Italy fit]]*NOT(ISBLANK(Tabella8[[#This Row],[rest of Italy ]]))</f>
        <v>0</v>
      </c>
      <c r="Y67" s="77" t="s">
        <v>148</v>
      </c>
      <c r="Z67" s="137">
        <v>154</v>
      </c>
      <c r="AA67" s="75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94"/>
      <c r="AU67" s="94"/>
      <c r="AV67" s="111"/>
      <c r="AW67" s="36"/>
      <c r="AX67" s="36"/>
      <c r="AY67" s="111"/>
      <c r="AZ67" s="97"/>
      <c r="BA67" s="9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</row>
    <row r="68" spans="2:374" x14ac:dyDescent="0.3">
      <c r="B68" s="9">
        <v>43945</v>
      </c>
      <c r="C68" s="4">
        <f t="shared" si="1"/>
        <v>61</v>
      </c>
      <c r="D68" s="10"/>
      <c r="E68" s="10">
        <f>Tabella8[[#This Row],[Italy cumulative]]*NOT(ISBLANK(Tabella8[[#This Row],[Italy cumulative]]))</f>
        <v>0</v>
      </c>
      <c r="F68" s="10">
        <f>Tabella8[[#This Row],[Lombardy fit]]+Tabella8[[#This Row],[rest of Italy fit]]</f>
        <v>25577.174814623097</v>
      </c>
      <c r="G68" s="10">
        <f>Tabella8[[#This Row],[Italy sum of regions]]*NOT(ISBLANK(Tabella8[[#This Row],[Italy cumulative]]))</f>
        <v>0</v>
      </c>
      <c r="H68" s="98">
        <f>Kt*_xlfn.LOGNORM.DIST(Tabella8[[#This Row],[Day]],mu_t,sigma_t,TRUE)</f>
        <v>23836.097824605622</v>
      </c>
      <c r="I68" s="10">
        <f>Tabella8[[#This Row],[Italy fit]]*NOT(ISBLANK(Tabella8[[#This Row],[Italy cumulative]]))</f>
        <v>0</v>
      </c>
      <c r="J68" s="10"/>
      <c r="K68" s="10"/>
      <c r="L68" s="80"/>
      <c r="M68" s="10">
        <f>Tabella8[[#This Row],[Lombardy]]*NOT(ISBLANK(Tabella8[[#This Row],[Lombardy]]))</f>
        <v>0</v>
      </c>
      <c r="N68" s="99">
        <f>Kr*_xlfn.LOGNORM.DIST(Tabella8[[#This Row],[Day]],mu_r,sigma_r,TRUE)</f>
        <v>12959.816870924551</v>
      </c>
      <c r="O68" s="10">
        <f>Tabella8[[#This Row],[Lombardy fit]]*NOT(ISBLANK(Tabella8[[#This Row],[Lombardy]]))</f>
        <v>0</v>
      </c>
      <c r="S68" s="10">
        <f>Tabella8[[#This Row],[rest of Italy ]]*NOT(ISBLANK(Tabella8[[#This Row],[rest of Italy ]]))</f>
        <v>0</v>
      </c>
      <c r="T68" s="100">
        <f>Ko*_xlfn.LOGNORM.DIST(Tabella8[[#This Row],[Day]],mu_o,sigma_o,TRUE)</f>
        <v>12617.357943698547</v>
      </c>
      <c r="U68" s="26">
        <f>Tabella8[[#This Row],[rest of Italy fit]]*NOT(ISBLANK(Tabella8[[#This Row],[rest of Italy ]]))</f>
        <v>0</v>
      </c>
      <c r="Y68" s="77" t="s">
        <v>149</v>
      </c>
      <c r="Z68" s="137">
        <v>267</v>
      </c>
      <c r="AA68" s="75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s="94"/>
      <c r="AU68" s="94"/>
      <c r="AV68" s="111"/>
      <c r="AW68" s="36"/>
      <c r="AX68" s="36"/>
      <c r="AY68" s="111"/>
      <c r="AZ68" s="97"/>
      <c r="BA68" s="97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</row>
    <row r="69" spans="2:374" x14ac:dyDescent="0.3">
      <c r="B69" s="9">
        <v>43946</v>
      </c>
      <c r="C69" s="4">
        <f t="shared" si="1"/>
        <v>62</v>
      </c>
      <c r="D69" s="10"/>
      <c r="E69" s="10">
        <f>Tabella8[[#This Row],[Italy cumulative]]*NOT(ISBLANK(Tabella8[[#This Row],[Italy cumulative]]))</f>
        <v>0</v>
      </c>
      <c r="F69" s="10">
        <f>Tabella8[[#This Row],[Lombardy fit]]+Tabella8[[#This Row],[rest of Italy fit]]</f>
        <v>25914.35017415465</v>
      </c>
      <c r="G69" s="10">
        <f>Tabella8[[#This Row],[Italy sum of regions]]*NOT(ISBLANK(Tabella8[[#This Row],[Italy cumulative]]))</f>
        <v>0</v>
      </c>
      <c r="H69" s="98">
        <f>Kt*_xlfn.LOGNORM.DIST(Tabella8[[#This Row],[Day]],mu_t,sigma_t,TRUE)</f>
        <v>24014.755938081678</v>
      </c>
      <c r="I69" s="10">
        <f>Tabella8[[#This Row],[Italy fit]]*NOT(ISBLANK(Tabella8[[#This Row],[Italy cumulative]]))</f>
        <v>0</v>
      </c>
      <c r="J69" s="10"/>
      <c r="K69" s="10"/>
      <c r="L69" s="80"/>
      <c r="M69" s="10">
        <f>Tabella8[[#This Row],[Lombardy]]*NOT(ISBLANK(Tabella8[[#This Row],[Lombardy]]))</f>
        <v>0</v>
      </c>
      <c r="N69" s="99">
        <f>Kr*_xlfn.LOGNORM.DIST(Tabella8[[#This Row],[Day]],mu_r,sigma_r,TRUE)</f>
        <v>13082.365732661745</v>
      </c>
      <c r="O69" s="10">
        <f>Tabella8[[#This Row],[Lombardy fit]]*NOT(ISBLANK(Tabella8[[#This Row],[Lombardy]]))</f>
        <v>0</v>
      </c>
      <c r="S69" s="10">
        <f>Tabella8[[#This Row],[rest of Italy ]]*NOT(ISBLANK(Tabella8[[#This Row],[rest of Italy ]]))</f>
        <v>0</v>
      </c>
      <c r="T69" s="100">
        <f>Ko*_xlfn.LOGNORM.DIST(Tabella8[[#This Row],[Day]],mu_o,sigma_o,TRUE)</f>
        <v>12831.984441492903</v>
      </c>
      <c r="U69" s="26">
        <f>Tabella8[[#This Row],[rest of Italy fit]]*NOT(ISBLANK(Tabella8[[#This Row],[rest of Italy ]]))</f>
        <v>0</v>
      </c>
      <c r="Y69" s="77" t="s">
        <v>150</v>
      </c>
      <c r="Z69" s="137">
        <v>333</v>
      </c>
      <c r="AA69" s="75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s="94"/>
      <c r="AU69" s="94"/>
      <c r="AV69" s="111"/>
      <c r="AW69" s="36"/>
      <c r="AX69" s="36"/>
      <c r="AY69" s="111"/>
      <c r="AZ69" s="97"/>
      <c r="BA69" s="97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</row>
    <row r="70" spans="2:374" x14ac:dyDescent="0.3">
      <c r="B70" s="9">
        <v>43947</v>
      </c>
      <c r="C70" s="4">
        <f t="shared" si="1"/>
        <v>63</v>
      </c>
      <c r="D70" s="10"/>
      <c r="E70" s="10">
        <f>Tabella8[[#This Row],[Italy cumulative]]*NOT(ISBLANK(Tabella8[[#This Row],[Italy cumulative]]))</f>
        <v>0</v>
      </c>
      <c r="F70" s="10">
        <f>Tabella8[[#This Row],[Lombardy fit]]+Tabella8[[#This Row],[rest of Italy fit]]</f>
        <v>26236.307549127567</v>
      </c>
      <c r="G70" s="10">
        <f>Tabella8[[#This Row],[Italy sum of regions]]*NOT(ISBLANK(Tabella8[[#This Row],[Italy cumulative]]))</f>
        <v>0</v>
      </c>
      <c r="H70" s="98">
        <f>Kt*_xlfn.LOGNORM.DIST(Tabella8[[#This Row],[Day]],mu_t,sigma_t,TRUE)</f>
        <v>24179.375051840354</v>
      </c>
      <c r="I70" s="10">
        <f>Tabella8[[#This Row],[Italy fit]]*NOT(ISBLANK(Tabella8[[#This Row],[Italy cumulative]]))</f>
        <v>0</v>
      </c>
      <c r="J70" s="10"/>
      <c r="K70" s="10"/>
      <c r="L70" s="80"/>
      <c r="M70" s="10">
        <f>Tabella8[[#This Row],[Lombardy]]*NOT(ISBLANK(Tabella8[[#This Row],[Lombardy]]))</f>
        <v>0</v>
      </c>
      <c r="N70" s="99">
        <f>Kr*_xlfn.LOGNORM.DIST(Tabella8[[#This Row],[Day]],mu_r,sigma_r,TRUE)</f>
        <v>13197.866250419376</v>
      </c>
      <c r="O70" s="10">
        <f>Tabella8[[#This Row],[Lombardy fit]]*NOT(ISBLANK(Tabella8[[#This Row],[Lombardy]]))</f>
        <v>0</v>
      </c>
      <c r="S70" s="10">
        <f>Tabella8[[#This Row],[rest of Italy ]]*NOT(ISBLANK(Tabella8[[#This Row],[rest of Italy ]]))</f>
        <v>0</v>
      </c>
      <c r="T70" s="100">
        <f>Ko*_xlfn.LOGNORM.DIST(Tabella8[[#This Row],[Day]],mu_o,sigma_o,TRUE)</f>
        <v>13038.441298708191</v>
      </c>
      <c r="U70" s="26">
        <f>Tabella8[[#This Row],[rest of Italy fit]]*NOT(ISBLANK(Tabella8[[#This Row],[rest of Italy ]]))</f>
        <v>0</v>
      </c>
      <c r="Y70" s="77" t="s">
        <v>151</v>
      </c>
      <c r="Z70" s="137">
        <v>468</v>
      </c>
      <c r="AA70" s="75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s="94"/>
      <c r="AU70" s="94"/>
      <c r="AV70" s="111"/>
      <c r="AW70" s="36"/>
      <c r="AX70" s="36"/>
      <c r="AY70" s="111"/>
      <c r="AZ70" s="97"/>
      <c r="BA70" s="97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</row>
    <row r="71" spans="2:374" x14ac:dyDescent="0.3">
      <c r="B71" s="9">
        <v>43948</v>
      </c>
      <c r="C71" s="4">
        <f t="shared" si="1"/>
        <v>64</v>
      </c>
      <c r="D71" s="10"/>
      <c r="E71" s="10">
        <f>Tabella8[[#This Row],[Italy cumulative]]*NOT(ISBLANK(Tabella8[[#This Row],[Italy cumulative]]))</f>
        <v>0</v>
      </c>
      <c r="F71" s="10">
        <f>Tabella8[[#This Row],[Lombardy fit]]+Tabella8[[#This Row],[rest of Italy fit]]</f>
        <v>26543.57628532243</v>
      </c>
      <c r="G71" s="10">
        <f>Tabella8[[#This Row],[Italy sum of regions]]*NOT(ISBLANK(Tabella8[[#This Row],[Italy cumulative]]))</f>
        <v>0</v>
      </c>
      <c r="H71" s="98">
        <f>Kt*_xlfn.LOGNORM.DIST(Tabella8[[#This Row],[Day]],mu_t,sigma_t,TRUE)</f>
        <v>24330.942589516031</v>
      </c>
      <c r="I71" s="10">
        <f>Tabella8[[#This Row],[Italy fit]]*NOT(ISBLANK(Tabella8[[#This Row],[Italy cumulative]]))</f>
        <v>0</v>
      </c>
      <c r="J71" s="10"/>
      <c r="K71" s="10"/>
      <c r="L71" s="80"/>
      <c r="M71" s="10">
        <f>Tabella8[[#This Row],[Lombardy]]*NOT(ISBLANK(Tabella8[[#This Row],[Lombardy]]))</f>
        <v>0</v>
      </c>
      <c r="N71" s="99">
        <f>Kr*_xlfn.LOGNORM.DIST(Tabella8[[#This Row],[Day]],mu_r,sigma_r,TRUE)</f>
        <v>13306.673254850923</v>
      </c>
      <c r="O71" s="10">
        <f>Tabella8[[#This Row],[Lombardy fit]]*NOT(ISBLANK(Tabella8[[#This Row],[Lombardy]]))</f>
        <v>0</v>
      </c>
      <c r="S71" s="10">
        <f>Tabella8[[#This Row],[rest of Italy ]]*NOT(ISBLANK(Tabella8[[#This Row],[rest of Italy ]]))</f>
        <v>0</v>
      </c>
      <c r="T71" s="100">
        <f>Ko*_xlfn.LOGNORM.DIST(Tabella8[[#This Row],[Day]],mu_o,sigma_o,TRUE)</f>
        <v>13236.903030471507</v>
      </c>
      <c r="U71" s="26">
        <f>Tabella8[[#This Row],[rest of Italy fit]]*NOT(ISBLANK(Tabella8[[#This Row],[rest of Italy ]]))</f>
        <v>0</v>
      </c>
      <c r="Y71" s="77" t="s">
        <v>152</v>
      </c>
      <c r="Z71" s="137">
        <v>617</v>
      </c>
      <c r="AA71" s="75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s="94"/>
      <c r="AU71" s="94"/>
      <c r="AV71" s="111"/>
      <c r="AW71" s="36"/>
      <c r="AX71" s="36"/>
      <c r="AY71" s="111"/>
      <c r="AZ71" s="97"/>
      <c r="BA71" s="97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</row>
    <row r="72" spans="2:374" x14ac:dyDescent="0.3">
      <c r="B72" s="9">
        <v>43949</v>
      </c>
      <c r="C72" s="4">
        <f t="shared" si="1"/>
        <v>65</v>
      </c>
      <c r="D72" s="10"/>
      <c r="E72" s="10">
        <f>Tabella8[[#This Row],[Italy cumulative]]*NOT(ISBLANK(Tabella8[[#This Row],[Italy cumulative]]))</f>
        <v>0</v>
      </c>
      <c r="F72" s="10">
        <f>Tabella8[[#This Row],[Lombardy fit]]+Tabella8[[#This Row],[rest of Italy fit]]</f>
        <v>26836.686885019892</v>
      </c>
      <c r="G72" s="10">
        <f>Tabella8[[#This Row],[Italy sum of regions]]*NOT(ISBLANK(Tabella8[[#This Row],[Italy cumulative]]))</f>
        <v>0</v>
      </c>
      <c r="H72" s="98">
        <f>Kt*_xlfn.LOGNORM.DIST(Tabella8[[#This Row],[Day]],mu_t,sigma_t,TRUE)</f>
        <v>24470.394607838731</v>
      </c>
      <c r="I72" s="10">
        <f>Tabella8[[#This Row],[Italy fit]]*NOT(ISBLANK(Tabella8[[#This Row],[Italy cumulative]]))</f>
        <v>0</v>
      </c>
      <c r="J72" s="10"/>
      <c r="K72" s="10"/>
      <c r="L72" s="80"/>
      <c r="M72" s="10">
        <f>Tabella8[[#This Row],[Lombardy]]*NOT(ISBLANK(Tabella8[[#This Row],[Lombardy]]))</f>
        <v>0</v>
      </c>
      <c r="N72" s="99">
        <f>Kr*_xlfn.LOGNORM.DIST(Tabella8[[#This Row],[Day]],mu_r,sigma_r,TRUE)</f>
        <v>13409.130769081425</v>
      </c>
      <c r="O72" s="10">
        <f>Tabella8[[#This Row],[Lombardy fit]]*NOT(ISBLANK(Tabella8[[#This Row],[Lombardy]]))</f>
        <v>0</v>
      </c>
      <c r="S72" s="10">
        <f>Tabella8[[#This Row],[rest of Italy ]]*NOT(ISBLANK(Tabella8[[#This Row],[rest of Italy ]]))</f>
        <v>0</v>
      </c>
      <c r="T72" s="100">
        <f>Ko*_xlfn.LOGNORM.DIST(Tabella8[[#This Row],[Day]],mu_o,sigma_o,TRUE)</f>
        <v>13427.556115938467</v>
      </c>
      <c r="U72" s="26">
        <f>Tabella8[[#This Row],[rest of Italy fit]]*NOT(ISBLANK(Tabella8[[#This Row],[rest of Italy ]]))</f>
        <v>0</v>
      </c>
      <c r="Y72" s="77" t="s">
        <v>153</v>
      </c>
      <c r="Z72" s="137">
        <v>744</v>
      </c>
      <c r="AA72" s="75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 s="94"/>
      <c r="AU72" s="94"/>
      <c r="AV72" s="111"/>
      <c r="AW72" s="36"/>
      <c r="AX72" s="36"/>
      <c r="AY72" s="111"/>
      <c r="AZ72" s="97"/>
      <c r="BA72" s="97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</row>
    <row r="73" spans="2:374" x14ac:dyDescent="0.3">
      <c r="B73" s="9">
        <v>43950</v>
      </c>
      <c r="C73" s="4">
        <f t="shared" si="1"/>
        <v>66</v>
      </c>
      <c r="D73" s="10"/>
      <c r="E73" s="10">
        <f>Tabella8[[#This Row],[Italy cumulative]]*NOT(ISBLANK(Tabella8[[#This Row],[Italy cumulative]]))</f>
        <v>0</v>
      </c>
      <c r="F73" s="10">
        <f>Tabella8[[#This Row],[Lombardy fit]]+Tabella8[[#This Row],[rest of Italy fit]]</f>
        <v>27116.168037737014</v>
      </c>
      <c r="G73" s="10">
        <f>Tabella8[[#This Row],[Italy sum of regions]]*NOT(ISBLANK(Tabella8[[#This Row],[Italy cumulative]]))</f>
        <v>0</v>
      </c>
      <c r="H73" s="98">
        <f>Kt*_xlfn.LOGNORM.DIST(Tabella8[[#This Row],[Day]],mu_t,sigma_t,TRUE)</f>
        <v>24598.61550038015</v>
      </c>
      <c r="I73" s="10">
        <f>Tabella8[[#This Row],[Italy fit]]*NOT(ISBLANK(Tabella8[[#This Row],[Italy cumulative]]))</f>
        <v>0</v>
      </c>
      <c r="J73" s="10"/>
      <c r="K73" s="10"/>
      <c r="L73" s="80"/>
      <c r="M73" s="10">
        <f>Tabella8[[#This Row],[Lombardy]]*NOT(ISBLANK(Tabella8[[#This Row],[Lombardy]]))</f>
        <v>0</v>
      </c>
      <c r="N73" s="99">
        <f>Kr*_xlfn.LOGNORM.DIST(Tabella8[[#This Row],[Day]],mu_r,sigma_r,TRUE)</f>
        <v>13505.571293381416</v>
      </c>
      <c r="O73" s="10">
        <f>Tabella8[[#This Row],[Lombardy fit]]*NOT(ISBLANK(Tabella8[[#This Row],[Lombardy]]))</f>
        <v>0</v>
      </c>
      <c r="S73" s="10">
        <f>Tabella8[[#This Row],[rest of Italy ]]*NOT(ISBLANK(Tabella8[[#This Row],[rest of Italy ]]))</f>
        <v>0</v>
      </c>
      <c r="T73" s="100">
        <f>Ko*_xlfn.LOGNORM.DIST(Tabella8[[#This Row],[Day]],mu_o,sigma_o,TRUE)</f>
        <v>13610.596744355598</v>
      </c>
      <c r="U73" s="26">
        <f>Tabella8[[#This Row],[rest of Italy fit]]*NOT(ISBLANK(Tabella8[[#This Row],[rest of Italy ]]))</f>
        <v>0</v>
      </c>
      <c r="Y73" s="77" t="s">
        <v>154</v>
      </c>
      <c r="Z73" s="137">
        <v>890</v>
      </c>
      <c r="AA73" s="75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s="94"/>
      <c r="AU73" s="94"/>
      <c r="AV73" s="111"/>
      <c r="AW73" s="36"/>
      <c r="AX73" s="36"/>
      <c r="AY73" s="111"/>
      <c r="AZ73" s="97"/>
      <c r="BA73" s="97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</row>
    <row r="74" spans="2:374" x14ac:dyDescent="0.3">
      <c r="B74" s="9">
        <v>43951</v>
      </c>
      <c r="C74" s="4">
        <f t="shared" ref="C74:C130" si="3">C73+1</f>
        <v>67</v>
      </c>
      <c r="D74" s="10"/>
      <c r="E74" s="10">
        <f>Tabella8[[#This Row],[Italy cumulative]]*NOT(ISBLANK(Tabella8[[#This Row],[Italy cumulative]]))</f>
        <v>0</v>
      </c>
      <c r="F74" s="10">
        <f>Tabella8[[#This Row],[Lombardy fit]]+Tabella8[[#This Row],[rest of Italy fit]]</f>
        <v>27382.544069561569</v>
      </c>
      <c r="G74" s="10">
        <f>Tabella8[[#This Row],[Italy sum of regions]]*NOT(ISBLANK(Tabella8[[#This Row],[Italy cumulative]]))</f>
        <v>0</v>
      </c>
      <c r="H74" s="98">
        <f>Kt*_xlfn.LOGNORM.DIST(Tabella8[[#This Row],[Day]],mu_t,sigma_t,TRUE)</f>
        <v>24716.438329798169</v>
      </c>
      <c r="I74" s="10">
        <f>Tabella8[[#This Row],[Italy fit]]*NOT(ISBLANK(Tabella8[[#This Row],[Italy cumulative]]))</f>
        <v>0</v>
      </c>
      <c r="J74" s="10"/>
      <c r="K74" s="10"/>
      <c r="L74" s="80"/>
      <c r="M74" s="10">
        <f>Tabella8[[#This Row],[Lombardy]]*NOT(ISBLANK(Tabella8[[#This Row],[Lombardy]]))</f>
        <v>0</v>
      </c>
      <c r="N74" s="99">
        <f>Kr*_xlfn.LOGNORM.DIST(Tabella8[[#This Row],[Day]],mu_r,sigma_r,TRUE)</f>
        <v>13596.315290100261</v>
      </c>
      <c r="O74" s="10">
        <f>Tabella8[[#This Row],[Lombardy fit]]*NOT(ISBLANK(Tabella8[[#This Row],[Lombardy]]))</f>
        <v>0</v>
      </c>
      <c r="S74" s="10">
        <f>Tabella8[[#This Row],[rest of Italy ]]*NOT(ISBLANK(Tabella8[[#This Row],[rest of Italy ]]))</f>
        <v>0</v>
      </c>
      <c r="T74" s="100">
        <f>Ko*_xlfn.LOGNORM.DIST(Tabella8[[#This Row],[Day]],mu_o,sigma_o,TRUE)</f>
        <v>13786.228779461306</v>
      </c>
      <c r="U74" s="26">
        <f>Tabella8[[#This Row],[rest of Italy fit]]*NOT(ISBLANK(Tabella8[[#This Row],[rest of Italy ]]))</f>
        <v>0</v>
      </c>
      <c r="Y74" s="77" t="s">
        <v>155</v>
      </c>
      <c r="Z74" s="137">
        <v>966</v>
      </c>
      <c r="AA74" s="75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s="94"/>
      <c r="AU74" s="94"/>
      <c r="AV74" s="111"/>
      <c r="AW74" s="36"/>
      <c r="AX74" s="36"/>
      <c r="AY74" s="111"/>
      <c r="AZ74" s="97"/>
      <c r="BA74" s="97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</row>
    <row r="75" spans="2:374" x14ac:dyDescent="0.3">
      <c r="B75" s="9">
        <v>43952</v>
      </c>
      <c r="C75" s="4">
        <f t="shared" si="3"/>
        <v>68</v>
      </c>
      <c r="D75" s="10"/>
      <c r="E75" s="10">
        <f>Tabella8[[#This Row],[Italy cumulative]]*NOT(ISBLANK(Tabella8[[#This Row],[Italy cumulative]]))</f>
        <v>0</v>
      </c>
      <c r="F75" s="10">
        <f>Tabella8[[#This Row],[Lombardy fit]]+Tabella8[[#This Row],[rest of Italy fit]]</f>
        <v>27636.332769937078</v>
      </c>
      <c r="G75" s="10">
        <f>Tabella8[[#This Row],[Italy sum of regions]]*NOT(ISBLANK(Tabella8[[#This Row],[Italy cumulative]]))</f>
        <v>0</v>
      </c>
      <c r="H75" s="98">
        <f>Kt*_xlfn.LOGNORM.DIST(Tabella8[[#This Row],[Day]],mu_t,sigma_t,TRUE)</f>
        <v>24824.645667329863</v>
      </c>
      <c r="I75" s="10">
        <f>Tabella8[[#This Row],[Italy fit]]*NOT(ISBLANK(Tabella8[[#This Row],[Italy cumulative]]))</f>
        <v>0</v>
      </c>
      <c r="J75" s="10"/>
      <c r="K75" s="10"/>
      <c r="L75" s="80"/>
      <c r="M75" s="10">
        <f>Tabella8[[#This Row],[Lombardy]]*NOT(ISBLANK(Tabella8[[#This Row],[Lombardy]]))</f>
        <v>0</v>
      </c>
      <c r="N75" s="99">
        <f>Kr*_xlfn.LOGNORM.DIST(Tabella8[[#This Row],[Day]],mu_r,sigma_r,TRUE)</f>
        <v>13681.670840987223</v>
      </c>
      <c r="O75" s="10">
        <f>Tabella8[[#This Row],[Lombardy fit]]*NOT(ISBLANK(Tabella8[[#This Row],[Lombardy]]))</f>
        <v>0</v>
      </c>
      <c r="S75" s="10">
        <f>Tabella8[[#This Row],[rest of Italy ]]*NOT(ISBLANK(Tabella8[[#This Row],[rest of Italy ]]))</f>
        <v>0</v>
      </c>
      <c r="T75" s="100">
        <f>Ko*_xlfn.LOGNORM.DIST(Tabella8[[#This Row],[Day]],mu_o,sigma_o,TRUE)</f>
        <v>13954.661928949854</v>
      </c>
      <c r="U75" s="26">
        <f>Tabella8[[#This Row],[rest of Italy fit]]*NOT(ISBLANK(Tabella8[[#This Row],[rest of Italy ]]))</f>
        <v>0</v>
      </c>
      <c r="Y75" s="77" t="s">
        <v>156</v>
      </c>
      <c r="Z75" s="137">
        <v>1218</v>
      </c>
      <c r="AA75" s="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s="94"/>
      <c r="AU75" s="94"/>
      <c r="AV75" s="111"/>
      <c r="AW75" s="36"/>
      <c r="AX75" s="36"/>
      <c r="AY75" s="111"/>
      <c r="AZ75" s="97"/>
      <c r="BA75" s="97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</row>
    <row r="76" spans="2:374" x14ac:dyDescent="0.3">
      <c r="B76" s="9">
        <v>43953</v>
      </c>
      <c r="C76" s="4">
        <f t="shared" si="3"/>
        <v>69</v>
      </c>
      <c r="D76" s="10"/>
      <c r="E76" s="10">
        <f>Tabella8[[#This Row],[Italy cumulative]]*NOT(ISBLANK(Tabella8[[#This Row],[Italy cumulative]]))</f>
        <v>0</v>
      </c>
      <c r="F76" s="10">
        <f>Tabella8[[#This Row],[Lombardy fit]]+Tabella8[[#This Row],[rest of Italy fit]]</f>
        <v>27878.043557491837</v>
      </c>
      <c r="G76" s="10">
        <f>Tabella8[[#This Row],[Italy sum of regions]]*NOT(ISBLANK(Tabella8[[#This Row],[Italy cumulative]]))</f>
        <v>0</v>
      </c>
      <c r="H76" s="98">
        <f>Kt*_xlfn.LOGNORM.DIST(Tabella8[[#This Row],[Day]],mu_t,sigma_t,TRUE)</f>
        <v>24923.970834275813</v>
      </c>
      <c r="I76" s="10">
        <f>Tabella8[[#This Row],[Italy fit]]*NOT(ISBLANK(Tabella8[[#This Row],[Italy cumulative]]))</f>
        <v>0</v>
      </c>
      <c r="J76" s="10"/>
      <c r="K76" s="10"/>
      <c r="L76" s="80"/>
      <c r="M76" s="10">
        <f>Tabella8[[#This Row],[Lombardy]]*NOT(ISBLANK(Tabella8[[#This Row],[Lombardy]]))</f>
        <v>0</v>
      </c>
      <c r="N76" s="99">
        <f>Kr*_xlfn.LOGNORM.DIST(Tabella8[[#This Row],[Day]],mu_r,sigma_r,TRUE)</f>
        <v>13761.933451940688</v>
      </c>
      <c r="O76" s="10">
        <f>Tabella8[[#This Row],[Lombardy fit]]*NOT(ISBLANK(Tabella8[[#This Row],[Lombardy]]))</f>
        <v>0</v>
      </c>
      <c r="S76" s="10">
        <f>Tabella8[[#This Row],[rest of Italy ]]*NOT(ISBLANK(Tabella8[[#This Row],[rest of Italy ]]))</f>
        <v>0</v>
      </c>
      <c r="T76" s="100">
        <f>Ko*_xlfn.LOGNORM.DIST(Tabella8[[#This Row],[Day]],mu_o,sigma_o,TRUE)</f>
        <v>14116.110105551152</v>
      </c>
      <c r="U76" s="26">
        <f>Tabella8[[#This Row],[rest of Italy fit]]*NOT(ISBLANK(Tabella8[[#This Row],[rest of Italy ]]))</f>
        <v>0</v>
      </c>
      <c r="Y76" s="77" t="s">
        <v>157</v>
      </c>
      <c r="Z76" s="137">
        <v>1420</v>
      </c>
      <c r="AA76" s="75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s="94"/>
      <c r="AU76" s="94"/>
      <c r="AV76" s="111"/>
      <c r="AW76" s="36"/>
      <c r="AX76" s="36"/>
      <c r="AY76" s="111"/>
      <c r="AZ76" s="97"/>
      <c r="BA76" s="97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</row>
    <row r="77" spans="2:374" x14ac:dyDescent="0.3">
      <c r="B77" s="9">
        <v>43954</v>
      </c>
      <c r="C77" s="4">
        <f t="shared" si="3"/>
        <v>70</v>
      </c>
      <c r="D77" s="10"/>
      <c r="E77" s="10">
        <f>Tabella8[[#This Row],[Italy cumulative]]*NOT(ISBLANK(Tabella8[[#This Row],[Italy cumulative]]))</f>
        <v>0</v>
      </c>
      <c r="F77" s="10">
        <f>Tabella8[[#This Row],[Lombardy fit]]+Tabella8[[#This Row],[rest of Italy fit]]</f>
        <v>28108.175949268552</v>
      </c>
      <c r="G77" s="10">
        <f>Tabella8[[#This Row],[Italy sum of regions]]*NOT(ISBLANK(Tabella8[[#This Row],[Italy cumulative]]))</f>
        <v>0</v>
      </c>
      <c r="H77" s="98">
        <f>Kt*_xlfn.LOGNORM.DIST(Tabella8[[#This Row],[Day]],mu_t,sigma_t,TRUE)</f>
        <v>25015.099454808984</v>
      </c>
      <c r="I77" s="10">
        <f>Tabella8[[#This Row],[Italy fit]]*NOT(ISBLANK(Tabella8[[#This Row],[Italy cumulative]]))</f>
        <v>0</v>
      </c>
      <c r="J77" s="10"/>
      <c r="K77" s="10"/>
      <c r="L77" s="80"/>
      <c r="M77" s="10">
        <f>Tabella8[[#This Row],[Lombardy]]*NOT(ISBLANK(Tabella8[[#This Row],[Lombardy]]))</f>
        <v>0</v>
      </c>
      <c r="N77" s="99">
        <f>Kr*_xlfn.LOGNORM.DIST(Tabella8[[#This Row],[Day]],mu_r,sigma_r,TRUE)</f>
        <v>13837.385982936858</v>
      </c>
      <c r="O77" s="10">
        <f>Tabella8[[#This Row],[Lombardy fit]]*NOT(ISBLANK(Tabella8[[#This Row],[Lombardy]]))</f>
        <v>0</v>
      </c>
      <c r="S77" s="10">
        <f>Tabella8[[#This Row],[rest of Italy ]]*NOT(ISBLANK(Tabella8[[#This Row],[rest of Italy ]]))</f>
        <v>0</v>
      </c>
      <c r="T77" s="100">
        <f>Ko*_xlfn.LOGNORM.DIST(Tabella8[[#This Row],[Day]],mu_o,sigma_o,TRUE)</f>
        <v>14270.789966331697</v>
      </c>
      <c r="U77" s="26">
        <f>Tabella8[[#This Row],[rest of Italy fit]]*NOT(ISBLANK(Tabella8[[#This Row],[rest of Italy ]]))</f>
        <v>0</v>
      </c>
      <c r="Y77" s="77" t="s">
        <v>158</v>
      </c>
      <c r="Z77" s="137">
        <v>1640</v>
      </c>
      <c r="AA77" s="75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94"/>
      <c r="AU77" s="94"/>
      <c r="AV77" s="111"/>
      <c r="AW77" s="36"/>
      <c r="AX77" s="36"/>
      <c r="AY77" s="111"/>
      <c r="AZ77" s="97"/>
      <c r="BA77" s="9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</row>
    <row r="78" spans="2:374" x14ac:dyDescent="0.3">
      <c r="B78" s="9">
        <v>43955</v>
      </c>
      <c r="C78" s="4">
        <f t="shared" si="3"/>
        <v>71</v>
      </c>
      <c r="D78" s="10"/>
      <c r="E78" s="10">
        <f>Tabella8[[#This Row],[Italy cumulative]]*NOT(ISBLANK(Tabella8[[#This Row],[Italy cumulative]]))</f>
        <v>0</v>
      </c>
      <c r="F78" s="10">
        <f>Tabella8[[#This Row],[Lombardy fit]]+Tabella8[[#This Row],[rest of Italy fit]]</f>
        <v>28327.218300444489</v>
      </c>
      <c r="G78" s="10">
        <f>Tabella8[[#This Row],[Italy sum of regions]]*NOT(ISBLANK(Tabella8[[#This Row],[Italy cumulative]]))</f>
        <v>0</v>
      </c>
      <c r="H78" s="98">
        <f>Kt*_xlfn.LOGNORM.DIST(Tabella8[[#This Row],[Day]],mu_t,sigma_t,TRUE)</f>
        <v>25098.671242619148</v>
      </c>
      <c r="I78" s="10">
        <f>Tabella8[[#This Row],[Italy fit]]*NOT(ISBLANK(Tabella8[[#This Row],[Italy cumulative]]))</f>
        <v>0</v>
      </c>
      <c r="J78" s="10"/>
      <c r="K78" s="10"/>
      <c r="L78" s="80"/>
      <c r="M78" s="10">
        <f>Tabella8[[#This Row],[Lombardy]]*NOT(ISBLANK(Tabella8[[#This Row],[Lombardy]]))</f>
        <v>0</v>
      </c>
      <c r="N78" s="99">
        <f>Kr*_xlfn.LOGNORM.DIST(Tabella8[[#This Row],[Day]],mu_r,sigma_r,TRUE)</f>
        <v>13908.298683393336</v>
      </c>
      <c r="O78" s="10">
        <f>Tabella8[[#This Row],[Lombardy fit]]*NOT(ISBLANK(Tabella8[[#This Row],[Lombardy]]))</f>
        <v>0</v>
      </c>
      <c r="S78" s="10">
        <f>Tabella8[[#This Row],[rest of Italy ]]*NOT(ISBLANK(Tabella8[[#This Row],[rest of Italy ]]))</f>
        <v>0</v>
      </c>
      <c r="T78" s="100">
        <f>Ko*_xlfn.LOGNORM.DIST(Tabella8[[#This Row],[Day]],mu_o,sigma_o,TRUE)</f>
        <v>14418.919617051155</v>
      </c>
      <c r="U78" s="26">
        <f>Tabella8[[#This Row],[rest of Italy fit]]*NOT(ISBLANK(Tabella8[[#This Row],[rest of Italy ]]))</f>
        <v>0</v>
      </c>
      <c r="Y78" s="77" t="s">
        <v>159</v>
      </c>
      <c r="Z78" s="137">
        <v>1959</v>
      </c>
      <c r="AA78" s="75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 s="94"/>
      <c r="AU78" s="94"/>
      <c r="AV78" s="111"/>
      <c r="AW78" s="36"/>
      <c r="AX78" s="36"/>
      <c r="AY78" s="111"/>
      <c r="AZ78" s="97"/>
      <c r="BA78" s="97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</row>
    <row r="79" spans="2:374" x14ac:dyDescent="0.3">
      <c r="B79" s="9">
        <v>43956</v>
      </c>
      <c r="C79" s="4">
        <f t="shared" si="3"/>
        <v>72</v>
      </c>
      <c r="E79" s="10">
        <f>Tabella8[[#This Row],[Italy cumulative]]*NOT(ISBLANK(Tabella8[[#This Row],[Italy cumulative]]))</f>
        <v>0</v>
      </c>
      <c r="F79" s="10">
        <f>Tabella8[[#This Row],[Lombardy fit]]+Tabella8[[#This Row],[rest of Italy fit]]</f>
        <v>28535.646784295714</v>
      </c>
      <c r="G79" s="10">
        <f>Tabella8[[#This Row],[Italy sum of regions]]*NOT(ISBLANK(Tabella8[[#This Row],[Italy cumulative]]))</f>
        <v>0</v>
      </c>
      <c r="H79" s="154">
        <f>Kt*_xlfn.LOGNORM.DIST(Tabella8[[#This Row],[Day]],mu_t,sigma_t,TRUE)</f>
        <v>25175.281955700331</v>
      </c>
      <c r="I79" s="26">
        <f>Tabella8[[#This Row],[Italy fit]]*NOT(ISBLANK(Tabella8[[#This Row],[Italy cumulative]]))</f>
        <v>0</v>
      </c>
      <c r="L79" s="80"/>
      <c r="M79" s="10">
        <f>Tabella8[[#This Row],[Lombardy]]*NOT(ISBLANK(Tabella8[[#This Row],[Lombardy]]))</f>
        <v>0</v>
      </c>
      <c r="N79" s="99">
        <f>Kr*_xlfn.LOGNORM.DIST(Tabella8[[#This Row],[Day]],mu_r,sigma_r,TRUE)</f>
        <v>13974.929315520607</v>
      </c>
      <c r="O79" s="26">
        <f>Tabella8[[#This Row],[Lombardy fit]]*NOT(ISBLANK(Tabella8[[#This Row],[Lombardy]]))</f>
        <v>0</v>
      </c>
      <c r="S79" s="10">
        <f>Tabella8[[#This Row],[rest of Italy ]]*NOT(ISBLANK(Tabella8[[#This Row],[rest of Italy ]]))</f>
        <v>0</v>
      </c>
      <c r="T79" s="100">
        <f>Ko*_xlfn.LOGNORM.DIST(Tabella8[[#This Row],[Day]],mu_o,sigma_o,TRUE)</f>
        <v>14560.717468775107</v>
      </c>
      <c r="U79" s="26">
        <f>Tabella8[[#This Row],[rest of Italy fit]]*NOT(ISBLANK(Tabella8[[#This Row],[rest of Italy ]]))</f>
        <v>0</v>
      </c>
      <c r="Y79" s="77" t="s">
        <v>160</v>
      </c>
      <c r="Z79" s="137">
        <v>2168</v>
      </c>
      <c r="AA79" s="75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s="94"/>
      <c r="AU79" s="94"/>
      <c r="AV79" s="111"/>
      <c r="AW79" s="36"/>
      <c r="AX79" s="36"/>
      <c r="AY79" s="111"/>
      <c r="AZ79" s="97"/>
      <c r="BA79" s="97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</row>
    <row r="80" spans="2:374" x14ac:dyDescent="0.3">
      <c r="B80" s="9">
        <v>43957</v>
      </c>
      <c r="C80" s="4">
        <f t="shared" si="3"/>
        <v>73</v>
      </c>
      <c r="E80" s="10">
        <f>Tabella8[[#This Row],[Italy cumulative]]*NOT(ISBLANK(Tabella8[[#This Row],[Italy cumulative]]))</f>
        <v>0</v>
      </c>
      <c r="F80" s="10">
        <f>Tabella8[[#This Row],[Lombardy fit]]+Tabella8[[#This Row],[rest of Italy fit]]</f>
        <v>28733.924584722477</v>
      </c>
      <c r="G80" s="10">
        <f>Tabella8[[#This Row],[Italy sum of regions]]*NOT(ISBLANK(Tabella8[[#This Row],[Italy cumulative]]))</f>
        <v>0</v>
      </c>
      <c r="H80" s="154">
        <f>Kt*_xlfn.LOGNORM.DIST(Tabella8[[#This Row],[Day]],mu_t,sigma_t,TRUE)</f>
        <v>25245.485464062989</v>
      </c>
      <c r="I80" s="26">
        <f>Tabella8[[#This Row],[Italy fit]]*NOT(ISBLANK(Tabella8[[#This Row],[Italy cumulative]]))</f>
        <v>0</v>
      </c>
      <c r="L80" s="80"/>
      <c r="M80" s="10">
        <f>Tabella8[[#This Row],[Lombardy]]*NOT(ISBLANK(Tabella8[[#This Row],[Lombardy]]))</f>
        <v>0</v>
      </c>
      <c r="N80" s="99">
        <f>Kr*_xlfn.LOGNORM.DIST(Tabella8[[#This Row],[Day]],mu_r,sigma_r,TRUE)</f>
        <v>14037.523350309684</v>
      </c>
      <c r="O80" s="26">
        <f>Tabella8[[#This Row],[Lombardy fit]]*NOT(ISBLANK(Tabella8[[#This Row],[Lombardy]]))</f>
        <v>0</v>
      </c>
      <c r="S80" s="10">
        <f>Tabella8[[#This Row],[rest of Italy ]]*NOT(ISBLANK(Tabella8[[#This Row],[rest of Italy ]]))</f>
        <v>0</v>
      </c>
      <c r="T80" s="100">
        <f>Ko*_xlfn.LOGNORM.DIST(Tabella8[[#This Row],[Day]],mu_o,sigma_o,TRUE)</f>
        <v>14696.401234412793</v>
      </c>
      <c r="U80" s="26">
        <f>Tabella8[[#This Row],[rest of Italy fit]]*NOT(ISBLANK(Tabella8[[#This Row],[rest of Italy ]]))</f>
        <v>0</v>
      </c>
      <c r="Y80" s="77" t="s">
        <v>161</v>
      </c>
      <c r="Z80" s="137">
        <v>2549</v>
      </c>
      <c r="AA80" s="75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s="94"/>
      <c r="AU80" s="94"/>
      <c r="AV80" s="111"/>
      <c r="AW80" s="36"/>
      <c r="AX80" s="36"/>
      <c r="AY80" s="111"/>
      <c r="AZ80" s="97"/>
      <c r="BA80" s="97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</row>
    <row r="81" spans="2:374" x14ac:dyDescent="0.3">
      <c r="B81" s="9">
        <v>43958</v>
      </c>
      <c r="C81" s="4">
        <f t="shared" si="3"/>
        <v>74</v>
      </c>
      <c r="E81" s="10">
        <f>Tabella8[[#This Row],[Italy cumulative]]*NOT(ISBLANK(Tabella8[[#This Row],[Italy cumulative]]))</f>
        <v>0</v>
      </c>
      <c r="F81" s="10">
        <f>Tabella8[[#This Row],[Lombardy fit]]+Tabella8[[#This Row],[rest of Italy fit]]</f>
        <v>28922.5012760969</v>
      </c>
      <c r="G81" s="10">
        <f>Tabella8[[#This Row],[Italy sum of regions]]*NOT(ISBLANK(Tabella8[[#This Row],[Italy cumulative]]))</f>
        <v>0</v>
      </c>
      <c r="H81" s="154">
        <f>Kt*_xlfn.LOGNORM.DIST(Tabella8[[#This Row],[Day]],mu_t,sigma_t,TRUE)</f>
        <v>25309.795884384141</v>
      </c>
      <c r="I81" s="26">
        <f>Tabella8[[#This Row],[Italy fit]]*NOT(ISBLANK(Tabella8[[#This Row],[Italy cumulative]]))</f>
        <v>0</v>
      </c>
      <c r="L81" s="80"/>
      <c r="M81" s="10">
        <f>Tabella8[[#This Row],[Lombardy]]*NOT(ISBLANK(Tabella8[[#This Row],[Lombardy]]))</f>
        <v>0</v>
      </c>
      <c r="N81" s="99">
        <f>Kr*_xlfn.LOGNORM.DIST(Tabella8[[#This Row],[Day]],mu_r,sigma_r,TRUE)</f>
        <v>14096.314222705028</v>
      </c>
      <c r="O81" s="26">
        <f>Tabella8[[#This Row],[Lombardy fit]]*NOT(ISBLANK(Tabella8[[#This Row],[Lombardy]]))</f>
        <v>0</v>
      </c>
      <c r="S81" s="10">
        <f>Tabella8[[#This Row],[rest of Italy ]]*NOT(ISBLANK(Tabella8[[#This Row],[rest of Italy ]]))</f>
        <v>0</v>
      </c>
      <c r="T81" s="100">
        <f>Ko*_xlfn.LOGNORM.DIST(Tabella8[[#This Row],[Day]],mu_o,sigma_o,TRUE)</f>
        <v>14826.187053391872</v>
      </c>
      <c r="U81" s="26">
        <f>Tabella8[[#This Row],[rest of Italy fit]]*NOT(ISBLANK(Tabella8[[#This Row],[rest of Italy ]]))</f>
        <v>0</v>
      </c>
      <c r="Y81" s="77" t="s">
        <v>162</v>
      </c>
      <c r="Z81" s="137">
        <v>3095</v>
      </c>
      <c r="AA81" s="75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s="94"/>
      <c r="AU81" s="94"/>
      <c r="AV81" s="111"/>
      <c r="AW81" s="36"/>
      <c r="AX81" s="36"/>
      <c r="AY81" s="111"/>
      <c r="AZ81" s="97"/>
      <c r="BA81" s="97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</row>
    <row r="82" spans="2:374" x14ac:dyDescent="0.3">
      <c r="B82" s="9">
        <v>43959</v>
      </c>
      <c r="C82" s="4">
        <f t="shared" si="3"/>
        <v>75</v>
      </c>
      <c r="E82" s="10">
        <f>Tabella8[[#This Row],[Italy cumulative]]*NOT(ISBLANK(Tabella8[[#This Row],[Italy cumulative]]))</f>
        <v>0</v>
      </c>
      <c r="F82" s="10">
        <f>Tabella8[[#This Row],[Lombardy fit]]+Tabella8[[#This Row],[rest of Italy fit]]</f>
        <v>29101.812367503851</v>
      </c>
      <c r="G82" s="10">
        <f>Tabella8[[#This Row],[Italy sum of regions]]*NOT(ISBLANK(Tabella8[[#This Row],[Italy cumulative]]))</f>
        <v>0</v>
      </c>
      <c r="H82" s="154">
        <f>Kt*_xlfn.LOGNORM.DIST(Tabella8[[#This Row],[Day]],mu_t,sigma_t,TRUE)</f>
        <v>25368.689743687883</v>
      </c>
      <c r="I82" s="26">
        <f>Tabella8[[#This Row],[Italy fit]]*NOT(ISBLANK(Tabella8[[#This Row],[Italy cumulative]]))</f>
        <v>0</v>
      </c>
      <c r="L82" s="80"/>
      <c r="M82" s="10">
        <f>Tabella8[[#This Row],[Lombardy]]*NOT(ISBLANK(Tabella8[[#This Row],[Lombardy]]))</f>
        <v>0</v>
      </c>
      <c r="N82" s="99">
        <f>Kr*_xlfn.LOGNORM.DIST(Tabella8[[#This Row],[Day]],mu_r,sigma_r,TRUE)</f>
        <v>14151.523634227724</v>
      </c>
      <c r="O82" s="26">
        <f>Tabella8[[#This Row],[Lombardy fit]]*NOT(ISBLANK(Tabella8[[#This Row],[Lombardy]]))</f>
        <v>0</v>
      </c>
      <c r="S82" s="10">
        <f>Tabella8[[#This Row],[rest of Italy ]]*NOT(ISBLANK(Tabella8[[#This Row],[rest of Italy ]]))</f>
        <v>0</v>
      </c>
      <c r="T82" s="100">
        <f>Ko*_xlfn.LOGNORM.DIST(Tabella8[[#This Row],[Day]],mu_o,sigma_o,TRUE)</f>
        <v>14950.288733276127</v>
      </c>
      <c r="U82" s="26">
        <f>Tabella8[[#This Row],[rest of Italy fit]]*NOT(ISBLANK(Tabella8[[#This Row],[rest of Italy ]]))</f>
        <v>0</v>
      </c>
      <c r="Y82" s="77" t="s">
        <v>163</v>
      </c>
      <c r="Z82" s="137">
        <v>3456</v>
      </c>
      <c r="AA82" s="75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s="94"/>
      <c r="AU82" s="94"/>
      <c r="AV82" s="111"/>
      <c r="AW82" s="36"/>
      <c r="AX82" s="36"/>
      <c r="AY82" s="111"/>
      <c r="AZ82" s="97"/>
      <c r="BA82" s="97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</row>
    <row r="83" spans="2:374" x14ac:dyDescent="0.3">
      <c r="B83" s="9">
        <v>43960</v>
      </c>
      <c r="C83" s="4">
        <f t="shared" si="3"/>
        <v>76</v>
      </c>
      <c r="E83" s="10">
        <f>Tabella8[[#This Row],[Italy cumulative]]*NOT(ISBLANK(Tabella8[[#This Row],[Italy cumulative]]))</f>
        <v>0</v>
      </c>
      <c r="F83" s="10">
        <f>Tabella8[[#This Row],[Lombardy fit]]+Tabella8[[#This Row],[rest of Italy fit]]</f>
        <v>29272.278990614919</v>
      </c>
      <c r="G83" s="10">
        <f>Tabella8[[#This Row],[Italy sum of regions]]*NOT(ISBLANK(Tabella8[[#This Row],[Italy cumulative]]))</f>
        <v>0</v>
      </c>
      <c r="H83" s="154">
        <f>Kt*_xlfn.LOGNORM.DIST(Tabella8[[#This Row],[Day]],mu_t,sigma_t,TRUE)</f>
        <v>25422.608141172062</v>
      </c>
      <c r="I83" s="26">
        <f>Tabella8[[#This Row],[Italy fit]]*NOT(ISBLANK(Tabella8[[#This Row],[Italy cumulative]]))</f>
        <v>0</v>
      </c>
      <c r="L83" s="80"/>
      <c r="M83" s="10">
        <f>Tabella8[[#This Row],[Lombardy]]*NOT(ISBLANK(Tabella8[[#This Row],[Lombardy]]))</f>
        <v>0</v>
      </c>
      <c r="N83" s="99">
        <f>Kr*_xlfn.LOGNORM.DIST(Tabella8[[#This Row],[Day]],mu_r,sigma_r,TRUE)</f>
        <v>14203.36189285633</v>
      </c>
      <c r="O83" s="26">
        <f>Tabella8[[#This Row],[Lombardy fit]]*NOT(ISBLANK(Tabella8[[#This Row],[Lombardy]]))</f>
        <v>0</v>
      </c>
      <c r="S83" s="10">
        <f>Tabella8[[#This Row],[rest of Italy ]]*NOT(ISBLANK(Tabella8[[#This Row],[rest of Italy ]]))</f>
        <v>0</v>
      </c>
      <c r="T83" s="100">
        <f>Ko*_xlfn.LOGNORM.DIST(Tabella8[[#This Row],[Day]],mu_o,sigma_o,TRUE)</f>
        <v>15068.917097758587</v>
      </c>
      <c r="U83" s="26">
        <f>Tabella8[[#This Row],[rest of Italy fit]]*NOT(ISBLANK(Tabella8[[#This Row],[rest of Italy ]]))</f>
        <v>0</v>
      </c>
      <c r="Y83" s="77" t="s">
        <v>164</v>
      </c>
      <c r="Z83" s="137">
        <v>3776</v>
      </c>
      <c r="AA83" s="75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s="94"/>
      <c r="AU83" s="94"/>
      <c r="AV83" s="111"/>
      <c r="AW83" s="36"/>
      <c r="AX83" s="36"/>
      <c r="AY83" s="111"/>
      <c r="AZ83" s="97"/>
      <c r="BA83" s="97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</row>
    <row r="84" spans="2:374" x14ac:dyDescent="0.3">
      <c r="B84" s="9">
        <v>43961</v>
      </c>
      <c r="C84" s="4">
        <f t="shared" si="3"/>
        <v>77</v>
      </c>
      <c r="E84" s="10">
        <f>Tabella8[[#This Row],[Italy cumulative]]*NOT(ISBLANK(Tabella8[[#This Row],[Italy cumulative]]))</f>
        <v>0</v>
      </c>
      <c r="F84" s="10">
        <f>Tabella8[[#This Row],[Lombardy fit]]+Tabella8[[#This Row],[rest of Italy fit]]</f>
        <v>29434.307712457554</v>
      </c>
      <c r="G84" s="10">
        <f>Tabella8[[#This Row],[Italy sum of regions]]*NOT(ISBLANK(Tabella8[[#This Row],[Italy cumulative]]))</f>
        <v>0</v>
      </c>
      <c r="H84" s="154">
        <f>Kt*_xlfn.LOGNORM.DIST(Tabella8[[#This Row],[Day]],mu_t,sigma_t,TRUE)</f>
        <v>25471.95888336256</v>
      </c>
      <c r="I84" s="26">
        <f>Tabella8[[#This Row],[Italy fit]]*NOT(ISBLANK(Tabella8[[#This Row],[Italy cumulative]]))</f>
        <v>0</v>
      </c>
      <c r="L84" s="80"/>
      <c r="M84" s="10">
        <f>Tabella8[[#This Row],[Lombardy]]*NOT(ISBLANK(Tabella8[[#This Row],[Lombardy]]))</f>
        <v>0</v>
      </c>
      <c r="N84" s="99">
        <f>Kr*_xlfn.LOGNORM.DIST(Tabella8[[#This Row],[Day]],mu_r,sigma_r,TRUE)</f>
        <v>14252.028281352978</v>
      </c>
      <c r="O84" s="26">
        <f>Tabella8[[#This Row],[Lombardy fit]]*NOT(ISBLANK(Tabella8[[#This Row],[Lombardy]]))</f>
        <v>0</v>
      </c>
      <c r="S84" s="10">
        <f>Tabella8[[#This Row],[rest of Italy ]]*NOT(ISBLANK(Tabella8[[#This Row],[rest of Italy ]]))</f>
        <v>0</v>
      </c>
      <c r="T84" s="100">
        <f>Ko*_xlfn.LOGNORM.DIST(Tabella8[[#This Row],[Day]],mu_o,sigma_o,TRUE)</f>
        <v>15182.279431104576</v>
      </c>
      <c r="U84" s="26">
        <f>Tabella8[[#This Row],[rest of Italy fit]]*NOT(ISBLANK(Tabella8[[#This Row],[rest of Italy ]]))</f>
        <v>0</v>
      </c>
      <c r="Y84" s="77" t="s">
        <v>165</v>
      </c>
      <c r="Z84" s="137">
        <v>4178</v>
      </c>
      <c r="AA84" s="75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s="94"/>
      <c r="AU84" s="94"/>
      <c r="AV84" s="111"/>
      <c r="AW84" s="36"/>
      <c r="AX84" s="36"/>
      <c r="AY84" s="111"/>
      <c r="AZ84" s="97"/>
      <c r="BA84" s="97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</row>
    <row r="85" spans="2:374" x14ac:dyDescent="0.3">
      <c r="B85" s="9">
        <v>43962</v>
      </c>
      <c r="C85" s="4">
        <f t="shared" si="3"/>
        <v>78</v>
      </c>
      <c r="E85" s="10">
        <f>Tabella8[[#This Row],[Italy cumulative]]*NOT(ISBLANK(Tabella8[[#This Row],[Italy cumulative]]))</f>
        <v>0</v>
      </c>
      <c r="F85" s="10">
        <f>Tabella8[[#This Row],[Lombardy fit]]+Tabella8[[#This Row],[rest of Italy fit]]</f>
        <v>29588.290456219896</v>
      </c>
      <c r="G85" s="10">
        <f>Tabella8[[#This Row],[Italy sum of regions]]*NOT(ISBLANK(Tabella8[[#This Row],[Italy cumulative]]))</f>
        <v>0</v>
      </c>
      <c r="H85" s="154">
        <f>Kt*_xlfn.LOGNORM.DIST(Tabella8[[#This Row],[Day]],mu_t,sigma_t,TRUE)</f>
        <v>25517.118572981355</v>
      </c>
      <c r="I85" s="26">
        <f>Tabella8[[#This Row],[Italy fit]]*NOT(ISBLANK(Tabella8[[#This Row],[Italy cumulative]]))</f>
        <v>0</v>
      </c>
      <c r="L85" s="80"/>
      <c r="M85" s="10">
        <f>Tabella8[[#This Row],[Lombardy]]*NOT(ISBLANK(Tabella8[[#This Row],[Lombardy]]))</f>
        <v>0</v>
      </c>
      <c r="N85" s="99">
        <f>Kr*_xlfn.LOGNORM.DIST(Tabella8[[#This Row],[Day]],mu_r,sigma_r,TRUE)</f>
        <v>14297.711446453452</v>
      </c>
      <c r="O85" s="26">
        <f>Tabella8[[#This Row],[Lombardy fit]]*NOT(ISBLANK(Tabella8[[#This Row],[Lombardy]]))</f>
        <v>0</v>
      </c>
      <c r="S85" s="10">
        <f>Tabella8[[#This Row],[rest of Italy ]]*NOT(ISBLANK(Tabella8[[#This Row],[rest of Italy ]]))</f>
        <v>0</v>
      </c>
      <c r="T85" s="100">
        <f>Ko*_xlfn.LOGNORM.DIST(Tabella8[[#This Row],[Day]],mu_o,sigma_o,TRUE)</f>
        <v>15290.579009766445</v>
      </c>
      <c r="U85" s="26">
        <f>Tabella8[[#This Row],[rest of Italy fit]]*NOT(ISBLANK(Tabella8[[#This Row],[rest of Italy ]]))</f>
        <v>0</v>
      </c>
      <c r="Y85" s="77" t="s">
        <v>166</v>
      </c>
      <c r="Z85" s="137">
        <v>4474</v>
      </c>
      <c r="AA85" s="7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s="94"/>
      <c r="AU85" s="94"/>
      <c r="AV85" s="111"/>
      <c r="AW85" s="36"/>
      <c r="AX85" s="36"/>
      <c r="AY85" s="111"/>
      <c r="AZ85" s="97"/>
      <c r="BA85" s="97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</row>
    <row r="86" spans="2:374" x14ac:dyDescent="0.3">
      <c r="B86" s="9">
        <v>43963</v>
      </c>
      <c r="C86" s="4">
        <f t="shared" si="3"/>
        <v>79</v>
      </c>
      <c r="E86" s="10">
        <f>Tabella8[[#This Row],[Italy cumulative]]*NOT(ISBLANK(Tabella8[[#This Row],[Italy cumulative]]))</f>
        <v>0</v>
      </c>
      <c r="F86" s="10">
        <f>Tabella8[[#This Row],[Lombardy fit]]+Tabella8[[#This Row],[rest of Italy fit]]</f>
        <v>29734.604514965104</v>
      </c>
      <c r="G86" s="10">
        <f>Tabella8[[#This Row],[Italy sum of regions]]*NOT(ISBLANK(Tabella8[[#This Row],[Italy cumulative]]))</f>
        <v>0</v>
      </c>
      <c r="H86" s="154">
        <f>Kt*_xlfn.LOGNORM.DIST(Tabella8[[#This Row],[Day]],mu_t,sigma_t,TRUE)</f>
        <v>25558.434636351041</v>
      </c>
      <c r="I86" s="26">
        <f>Tabella8[[#This Row],[Italy fit]]*NOT(ISBLANK(Tabella8[[#This Row],[Italy cumulative]]))</f>
        <v>0</v>
      </c>
      <c r="L86" s="80"/>
      <c r="M86" s="10">
        <f>Tabella8[[#This Row],[Lombardy]]*NOT(ISBLANK(Tabella8[[#This Row],[Lombardy]]))</f>
        <v>0</v>
      </c>
      <c r="N86" s="99">
        <f>Kr*_xlfn.LOGNORM.DIST(Tabella8[[#This Row],[Day]],mu_r,sigma_r,TRUE)</f>
        <v>14340.589802433167</v>
      </c>
      <c r="O86" s="26">
        <f>Tabella8[[#This Row],[Lombardy fit]]*NOT(ISBLANK(Tabella8[[#This Row],[Lombardy]]))</f>
        <v>0</v>
      </c>
      <c r="S86" s="10">
        <f>Tabella8[[#This Row],[rest of Italy ]]*NOT(ISBLANK(Tabella8[[#This Row],[rest of Italy ]]))</f>
        <v>0</v>
      </c>
      <c r="T86" s="100">
        <f>Ko*_xlfn.LOGNORM.DIST(Tabella8[[#This Row],[Day]],mu_o,sigma_o,TRUE)</f>
        <v>15394.014712531936</v>
      </c>
      <c r="U86" s="26">
        <f>Tabella8[[#This Row],[rest of Italy fit]]*NOT(ISBLANK(Tabella8[[#This Row],[rest of Italy ]]))</f>
        <v>0</v>
      </c>
      <c r="Y86" s="77" t="s">
        <v>167</v>
      </c>
      <c r="Z86" s="137">
        <v>4861</v>
      </c>
      <c r="AA86" s="75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s="94"/>
      <c r="AU86" s="94"/>
      <c r="AV86" s="111"/>
      <c r="AW86" s="36"/>
      <c r="AX86" s="36"/>
      <c r="AY86" s="111"/>
      <c r="AZ86" s="97"/>
      <c r="BA86" s="97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</row>
    <row r="87" spans="2:374" x14ac:dyDescent="0.3">
      <c r="B87" s="9">
        <v>43964</v>
      </c>
      <c r="C87" s="4">
        <f t="shared" si="3"/>
        <v>80</v>
      </c>
      <c r="E87" s="10">
        <f>Tabella8[[#This Row],[Italy cumulative]]*NOT(ISBLANK(Tabella8[[#This Row],[Italy cumulative]]))</f>
        <v>0</v>
      </c>
      <c r="F87" s="10">
        <f>Tabella8[[#This Row],[Lombardy fit]]+Tabella8[[#This Row],[rest of Italy fit]]</f>
        <v>29873.612644724351</v>
      </c>
      <c r="G87" s="10">
        <f>Tabella8[[#This Row],[Italy sum of regions]]*NOT(ISBLANK(Tabella8[[#This Row],[Italy cumulative]]))</f>
        <v>0</v>
      </c>
      <c r="H87" s="154">
        <f>Kt*_xlfn.LOGNORM.DIST(Tabella8[[#This Row],[Day]],mu_t,sigma_t,TRUE)</f>
        <v>25596.227277914542</v>
      </c>
      <c r="I87" s="26">
        <f>Tabella8[[#This Row],[Italy fit]]*NOT(ISBLANK(Tabella8[[#This Row],[Italy cumulative]]))</f>
        <v>0</v>
      </c>
      <c r="L87" s="80"/>
      <c r="M87" s="10">
        <f>Tabella8[[#This Row],[Lombardy]]*NOT(ISBLANK(Tabella8[[#This Row],[Lombardy]]))</f>
        <v>0</v>
      </c>
      <c r="N87" s="99">
        <f>Kr*_xlfn.LOGNORM.DIST(Tabella8[[#This Row],[Day]],mu_r,sigma_r,TRUE)</f>
        <v>14380.831943528921</v>
      </c>
      <c r="O87" s="26">
        <f>Tabella8[[#This Row],[Lombardy fit]]*NOT(ISBLANK(Tabella8[[#This Row],[Lombardy]]))</f>
        <v>0</v>
      </c>
      <c r="S87" s="10">
        <f>Tabella8[[#This Row],[rest of Italy ]]*NOT(ISBLANK(Tabella8[[#This Row],[rest of Italy ]]))</f>
        <v>0</v>
      </c>
      <c r="T87" s="100">
        <f>Ko*_xlfn.LOGNORM.DIST(Tabella8[[#This Row],[Day]],mu_o,sigma_o,TRUE)</f>
        <v>15492.780701195428</v>
      </c>
      <c r="U87" s="26">
        <f>Tabella8[[#This Row],[rest of Italy fit]]*NOT(ISBLANK(Tabella8[[#This Row],[rest of Italy ]]))</f>
        <v>0</v>
      </c>
      <c r="Y87" s="77" t="s">
        <v>168</v>
      </c>
      <c r="Z87" s="137">
        <v>5402</v>
      </c>
      <c r="AA87" s="75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s="94"/>
      <c r="AU87" s="94"/>
      <c r="AV87" s="111"/>
      <c r="AW87" s="36"/>
      <c r="AX87" s="36"/>
      <c r="AY87" s="111"/>
      <c r="AZ87" s="97"/>
      <c r="BA87" s="9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</row>
    <row r="88" spans="2:374" x14ac:dyDescent="0.3">
      <c r="B88" s="9">
        <v>43965</v>
      </c>
      <c r="C88" s="4">
        <f t="shared" si="3"/>
        <v>81</v>
      </c>
      <c r="E88" s="10">
        <f>Tabella8[[#This Row],[Italy cumulative]]*NOT(ISBLANK(Tabella8[[#This Row],[Italy cumulative]]))</f>
        <v>0</v>
      </c>
      <c r="F88" s="10">
        <f>Tabella8[[#This Row],[Lombardy fit]]+Tabella8[[#This Row],[rest of Italy fit]]</f>
        <v>30005.663224899225</v>
      </c>
      <c r="G88" s="10">
        <f>Tabella8[[#This Row],[Italy sum of regions]]*NOT(ISBLANK(Tabella8[[#This Row],[Italy cumulative]]))</f>
        <v>0</v>
      </c>
      <c r="H88" s="154">
        <f>Kt*_xlfn.LOGNORM.DIST(Tabella8[[#This Row],[Day]],mu_t,sigma_t,TRUE)</f>
        <v>25630.791353606222</v>
      </c>
      <c r="I88" s="26">
        <f>Tabella8[[#This Row],[Italy fit]]*NOT(ISBLANK(Tabella8[[#This Row],[Italy cumulative]]))</f>
        <v>0</v>
      </c>
      <c r="L88" s="80"/>
      <c r="M88" s="10">
        <f>Tabella8[[#This Row],[Lombardy]]*NOT(ISBLANK(Tabella8[[#This Row],[Lombardy]]))</f>
        <v>0</v>
      </c>
      <c r="N88" s="99">
        <f>Kr*_xlfn.LOGNORM.DIST(Tabella8[[#This Row],[Day]],mu_r,sigma_r,TRUE)</f>
        <v>14418.597060550243</v>
      </c>
      <c r="O88" s="26">
        <f>Tabella8[[#This Row],[Lombardy fit]]*NOT(ISBLANK(Tabella8[[#This Row],[Lombardy]]))</f>
        <v>0</v>
      </c>
      <c r="S88" s="10">
        <f>Tabella8[[#This Row],[rest of Italy ]]*NOT(ISBLANK(Tabella8[[#This Row],[rest of Italy ]]))</f>
        <v>0</v>
      </c>
      <c r="T88" s="100">
        <f>Ko*_xlfn.LOGNORM.DIST(Tabella8[[#This Row],[Day]],mu_o,sigma_o,TRUE)</f>
        <v>15587.066164348984</v>
      </c>
      <c r="U88" s="26">
        <f>Tabella8[[#This Row],[rest of Italy fit]]*NOT(ISBLANK(Tabella8[[#This Row],[rest of Italy ]]))</f>
        <v>0</v>
      </c>
      <c r="Y88" s="77" t="s">
        <v>169</v>
      </c>
      <c r="Z88" s="137">
        <v>5944</v>
      </c>
      <c r="AA88" s="75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s="94"/>
      <c r="AU88" s="94"/>
      <c r="AV88" s="111"/>
      <c r="AW88" s="36"/>
      <c r="AX88" s="36"/>
      <c r="AY88" s="111"/>
      <c r="AZ88" s="97"/>
      <c r="BA88" s="97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</row>
    <row r="89" spans="2:374" x14ac:dyDescent="0.3">
      <c r="B89" s="9">
        <v>43966</v>
      </c>
      <c r="C89" s="4">
        <f t="shared" si="3"/>
        <v>82</v>
      </c>
      <c r="E89" s="10">
        <f>Tabella8[[#This Row],[Italy cumulative]]*NOT(ISBLANK(Tabella8[[#This Row],[Italy cumulative]]))</f>
        <v>0</v>
      </c>
      <c r="F89" s="10">
        <f>Tabella8[[#This Row],[Lombardy fit]]+Tabella8[[#This Row],[rest of Italy fit]]</f>
        <v>30131.09047523859</v>
      </c>
      <c r="G89" s="10">
        <f>Tabella8[[#This Row],[Italy sum of regions]]*NOT(ISBLANK(Tabella8[[#This Row],[Italy cumulative]]))</f>
        <v>0</v>
      </c>
      <c r="H89" s="154">
        <f>Kt*_xlfn.LOGNORM.DIST(Tabella8[[#This Row],[Day]],mu_t,sigma_t,TRUE)</f>
        <v>25662.398157444073</v>
      </c>
      <c r="I89" s="26">
        <f>Tabella8[[#This Row],[Italy fit]]*NOT(ISBLANK(Tabella8[[#This Row],[Italy cumulative]]))</f>
        <v>0</v>
      </c>
      <c r="L89" s="80"/>
      <c r="M89" s="10">
        <f>Tabella8[[#This Row],[Lombardy]]*NOT(ISBLANK(Tabella8[[#This Row],[Lombardy]]))</f>
        <v>0</v>
      </c>
      <c r="N89" s="99">
        <f>Kr*_xlfn.LOGNORM.DIST(Tabella8[[#This Row],[Day]],mu_r,sigma_r,TRUE)</f>
        <v>14454.035357764715</v>
      </c>
      <c r="O89" s="26">
        <f>Tabella8[[#This Row],[Lombardy fit]]*NOT(ISBLANK(Tabella8[[#This Row],[Lombardy]]))</f>
        <v>0</v>
      </c>
      <c r="S89" s="10">
        <f>Tabella8[[#This Row],[rest of Italy ]]*NOT(ISBLANK(Tabella8[[#This Row],[rest of Italy ]]))</f>
        <v>0</v>
      </c>
      <c r="T89" s="100">
        <f>Ko*_xlfn.LOGNORM.DIST(Tabella8[[#This Row],[Day]],mu_o,sigma_o,TRUE)</f>
        <v>15677.055117473876</v>
      </c>
      <c r="U89" s="26">
        <f>Tabella8[[#This Row],[rest of Italy fit]]*NOT(ISBLANK(Tabella8[[#This Row],[rest of Italy ]]))</f>
        <v>0</v>
      </c>
      <c r="Y89" s="77" t="s">
        <v>170</v>
      </c>
      <c r="Z89" s="137">
        <v>6360</v>
      </c>
      <c r="AA89" s="75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s="94"/>
      <c r="AU89" s="94"/>
      <c r="AV89" s="111"/>
      <c r="AW89" s="36"/>
      <c r="AX89" s="36"/>
      <c r="AY89" s="111"/>
      <c r="AZ89" s="97"/>
      <c r="BA89" s="97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</row>
    <row r="90" spans="2:374" x14ac:dyDescent="0.3">
      <c r="B90" s="9">
        <v>43967</v>
      </c>
      <c r="C90" s="4">
        <f t="shared" si="3"/>
        <v>83</v>
      </c>
      <c r="E90" s="10">
        <f>Tabella8[[#This Row],[Italy cumulative]]*NOT(ISBLANK(Tabella8[[#This Row],[Italy cumulative]]))</f>
        <v>0</v>
      </c>
      <c r="F90" s="10">
        <f>Tabella8[[#This Row],[Lombardy fit]]+Tabella8[[#This Row],[rest of Italy fit]]</f>
        <v>30250.214719869989</v>
      </c>
      <c r="G90" s="10">
        <f>Tabella8[[#This Row],[Italy sum of regions]]*NOT(ISBLANK(Tabella8[[#This Row],[Italy cumulative]]))</f>
        <v>0</v>
      </c>
      <c r="H90" s="154">
        <f>Kt*_xlfn.LOGNORM.DIST(Tabella8[[#This Row],[Day]],mu_t,sigma_t,TRUE)</f>
        <v>25691.297117891081</v>
      </c>
      <c r="I90" s="26">
        <f>Tabella8[[#This Row],[Italy fit]]*NOT(ISBLANK(Tabella8[[#This Row],[Italy cumulative]]))</f>
        <v>0</v>
      </c>
      <c r="L90" s="80"/>
      <c r="M90" s="10">
        <f>Tabella8[[#This Row],[Lombardy]]*NOT(ISBLANK(Tabella8[[#This Row],[Lombardy]]))</f>
        <v>0</v>
      </c>
      <c r="N90" s="99">
        <f>Kr*_xlfn.LOGNORM.DIST(Tabella8[[#This Row],[Day]],mu_r,sigma_r,TRUE)</f>
        <v>14487.288466799537</v>
      </c>
      <c r="O90" s="26">
        <f>Tabella8[[#This Row],[Lombardy fit]]*NOT(ISBLANK(Tabella8[[#This Row],[Lombardy]]))</f>
        <v>0</v>
      </c>
      <c r="S90" s="10">
        <f>Tabella8[[#This Row],[rest of Italy ]]*NOT(ISBLANK(Tabella8[[#This Row],[rest of Italy ]]))</f>
        <v>0</v>
      </c>
      <c r="T90" s="100">
        <f>Ko*_xlfn.LOGNORM.DIST(Tabella8[[#This Row],[Day]],mu_o,sigma_o,TRUE)</f>
        <v>15762.926253070453</v>
      </c>
      <c r="U90" s="26">
        <f>Tabella8[[#This Row],[rest of Italy fit]]*NOT(ISBLANK(Tabella8[[#This Row],[rest of Italy ]]))</f>
        <v>0</v>
      </c>
      <c r="Y90" s="77" t="s">
        <v>171</v>
      </c>
      <c r="Z90" s="137">
        <v>6818</v>
      </c>
      <c r="AA90" s="75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s="94"/>
      <c r="AU90" s="94"/>
      <c r="AV90" s="111"/>
      <c r="AW90" s="36"/>
      <c r="AX90" s="36"/>
      <c r="AY90" s="111"/>
      <c r="AZ90" s="97"/>
      <c r="BA90" s="97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</row>
    <row r="91" spans="2:374" x14ac:dyDescent="0.3">
      <c r="B91" s="9">
        <v>43968</v>
      </c>
      <c r="C91" s="4">
        <f t="shared" si="3"/>
        <v>84</v>
      </c>
      <c r="E91" s="10">
        <f>Tabella8[[#This Row],[Italy cumulative]]*NOT(ISBLANK(Tabella8[[#This Row],[Italy cumulative]]))</f>
        <v>0</v>
      </c>
      <c r="F91" s="10">
        <f>Tabella8[[#This Row],[Lombardy fit]]+Tabella8[[#This Row],[rest of Italy fit]]</f>
        <v>30363.342689967911</v>
      </c>
      <c r="G91" s="10">
        <f>Tabella8[[#This Row],[Italy sum of regions]]*NOT(ISBLANK(Tabella8[[#This Row],[Italy cumulative]]))</f>
        <v>0</v>
      </c>
      <c r="H91" s="154">
        <f>Kt*_xlfn.LOGNORM.DIST(Tabella8[[#This Row],[Day]],mu_t,sigma_t,TRUE)</f>
        <v>25717.717402317983</v>
      </c>
      <c r="I91" s="26">
        <f>Tabella8[[#This Row],[Italy fit]]*NOT(ISBLANK(Tabella8[[#This Row],[Italy cumulative]]))</f>
        <v>0</v>
      </c>
      <c r="L91" s="80"/>
      <c r="M91" s="10">
        <f>Tabella8[[#This Row],[Lombardy]]*NOT(ISBLANK(Tabella8[[#This Row],[Lombardy]]))</f>
        <v>0</v>
      </c>
      <c r="N91" s="99">
        <f>Kr*_xlfn.LOGNORM.DIST(Tabella8[[#This Row],[Day]],mu_r,sigma_r,TRUE)</f>
        <v>14518.489854875801</v>
      </c>
      <c r="O91" s="26">
        <f>Tabella8[[#This Row],[Lombardy fit]]*NOT(ISBLANK(Tabella8[[#This Row],[Lombardy]]))</f>
        <v>0</v>
      </c>
      <c r="S91" s="10">
        <f>Tabella8[[#This Row],[rest of Italy ]]*NOT(ISBLANK(Tabella8[[#This Row],[rest of Italy ]]))</f>
        <v>0</v>
      </c>
      <c r="T91" s="100">
        <f>Ko*_xlfn.LOGNORM.DIST(Tabella8[[#This Row],[Day]],mu_o,sigma_o,TRUE)</f>
        <v>15844.852835092111</v>
      </c>
      <c r="U91" s="26">
        <f>Tabella8[[#This Row],[rest of Italy fit]]*NOT(ISBLANK(Tabella8[[#This Row],[rest of Italy ]]))</f>
        <v>0</v>
      </c>
      <c r="Y91" s="77" t="s">
        <v>172</v>
      </c>
      <c r="Z91" s="137">
        <v>7199</v>
      </c>
      <c r="AA91" s="75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s="94"/>
      <c r="AU91" s="94"/>
      <c r="AV91" s="111"/>
      <c r="AW91" s="36"/>
      <c r="AX91" s="36"/>
      <c r="AY91" s="111"/>
      <c r="AZ91" s="97"/>
      <c r="BA91" s="97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</row>
    <row r="92" spans="2:374" x14ac:dyDescent="0.3">
      <c r="B92" s="9">
        <v>43969</v>
      </c>
      <c r="C92" s="4">
        <f t="shared" si="3"/>
        <v>85</v>
      </c>
      <c r="E92" s="10">
        <f>Tabella8[[#This Row],[Italy cumulative]]*NOT(ISBLANK(Tabella8[[#This Row],[Italy cumulative]]))</f>
        <v>0</v>
      </c>
      <c r="F92" s="10">
        <f>Tabella8[[#This Row],[Lombardy fit]]+Tabella8[[#This Row],[rest of Italy fit]]</f>
        <v>30470.767857639323</v>
      </c>
      <c r="G92" s="10">
        <f>Tabella8[[#This Row],[Italy sum of regions]]*NOT(ISBLANK(Tabella8[[#This Row],[Italy cumulative]]))</f>
        <v>0</v>
      </c>
      <c r="H92" s="154">
        <f>Kt*_xlfn.LOGNORM.DIST(Tabella8[[#This Row],[Day]],mu_t,sigma_t,TRUE)</f>
        <v>25741.869429345697</v>
      </c>
      <c r="I92" s="26">
        <f>Tabella8[[#This Row],[Italy fit]]*NOT(ISBLANK(Tabella8[[#This Row],[Italy cumulative]]))</f>
        <v>0</v>
      </c>
      <c r="L92" s="80"/>
      <c r="M92" s="10">
        <f>Tabella8[[#This Row],[Lombardy]]*NOT(ISBLANK(Tabella8[[#This Row],[Lombardy]]))</f>
        <v>0</v>
      </c>
      <c r="N92" s="99">
        <f>Kr*_xlfn.LOGNORM.DIST(Tabella8[[#This Row],[Day]],mu_r,sigma_r,TRUE)</f>
        <v>14547.765225191835</v>
      </c>
      <c r="O92" s="26">
        <f>Tabella8[[#This Row],[Lombardy fit]]*NOT(ISBLANK(Tabella8[[#This Row],[Lombardy]]))</f>
        <v>0</v>
      </c>
      <c r="S92" s="10">
        <f>Tabella8[[#This Row],[rest of Italy ]]*NOT(ISBLANK(Tabella8[[#This Row],[rest of Italy ]]))</f>
        <v>0</v>
      </c>
      <c r="T92" s="100">
        <f>Ko*_xlfn.LOGNORM.DIST(Tabella8[[#This Row],[Day]],mu_o,sigma_o,TRUE)</f>
        <v>15923.002632447486</v>
      </c>
      <c r="U92" s="26">
        <f>Tabella8[[#This Row],[rest of Italy fit]]*NOT(ISBLANK(Tabella8[[#This Row],[rest of Italy ]]))</f>
        <v>0</v>
      </c>
      <c r="Y92" s="77" t="s">
        <v>173</v>
      </c>
      <c r="Z92" s="137">
        <v>7593</v>
      </c>
      <c r="AA92" s="75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s="94"/>
      <c r="AU92" s="94"/>
      <c r="AV92" s="111"/>
      <c r="AW92" s="36"/>
      <c r="AX92" s="36"/>
      <c r="AY92" s="111"/>
      <c r="AZ92" s="97"/>
      <c r="BA92" s="97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</row>
    <row r="93" spans="2:374" x14ac:dyDescent="0.3">
      <c r="B93" s="9">
        <v>43970</v>
      </c>
      <c r="C93" s="4">
        <f t="shared" si="3"/>
        <v>86</v>
      </c>
      <c r="E93" s="10">
        <f>Tabella8[[#This Row],[Italy cumulative]]*NOT(ISBLANK(Tabella8[[#This Row],[Italy cumulative]]))</f>
        <v>0</v>
      </c>
      <c r="F93" s="10">
        <f>Tabella8[[#This Row],[Lombardy fit]]+Tabella8[[#This Row],[rest of Italy fit]]</f>
        <v>30572.7707945072</v>
      </c>
      <c r="G93" s="10">
        <f>Tabella8[[#This Row],[Italy sum of regions]]*NOT(ISBLANK(Tabella8[[#This Row],[Italy cumulative]]))</f>
        <v>0</v>
      </c>
      <c r="H93" s="154">
        <f>Kt*_xlfn.LOGNORM.DIST(Tabella8[[#This Row],[Day]],mu_t,sigma_t,TRUE)</f>
        <v>25763.946290001615</v>
      </c>
      <c r="I93" s="26">
        <f>Tabella8[[#This Row],[Italy fit]]*NOT(ISBLANK(Tabella8[[#This Row],[Italy cumulative]]))</f>
        <v>0</v>
      </c>
      <c r="L93" s="80"/>
      <c r="M93" s="10">
        <f>Tabella8[[#This Row],[Lombardy]]*NOT(ISBLANK(Tabella8[[#This Row],[Lombardy]]))</f>
        <v>0</v>
      </c>
      <c r="N93" s="99">
        <f>Kr*_xlfn.LOGNORM.DIST(Tabella8[[#This Row],[Day]],mu_r,sigma_r,TRUE)</f>
        <v>14575.232907705064</v>
      </c>
      <c r="O93" s="26">
        <f>Tabella8[[#This Row],[Lombardy fit]]*NOT(ISBLANK(Tabella8[[#This Row],[Lombardy]]))</f>
        <v>0</v>
      </c>
      <c r="S93" s="10">
        <f>Tabella8[[#This Row],[rest of Italy ]]*NOT(ISBLANK(Tabella8[[#This Row],[rest of Italy ]]))</f>
        <v>0</v>
      </c>
      <c r="T93" s="100">
        <f>Ko*_xlfn.LOGNORM.DIST(Tabella8[[#This Row],[Day]],mu_o,sigma_o,TRUE)</f>
        <v>15997.537886802136</v>
      </c>
      <c r="U93" s="26">
        <f>Tabella8[[#This Row],[rest of Italy fit]]*NOT(ISBLANK(Tabella8[[#This Row],[rest of Italy ]]))</f>
        <v>0</v>
      </c>
      <c r="Y93" s="77" t="s">
        <v>174</v>
      </c>
      <c r="Z93" s="137">
        <v>7960</v>
      </c>
      <c r="AA93" s="75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s="94"/>
      <c r="AU93" s="94"/>
      <c r="AV93" s="111"/>
      <c r="AW93" s="36"/>
      <c r="AX93" s="36"/>
      <c r="AY93" s="111"/>
      <c r="AZ93" s="97"/>
      <c r="BA93" s="97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</row>
    <row r="94" spans="2:374" x14ac:dyDescent="0.3">
      <c r="B94" s="9">
        <v>43971</v>
      </c>
      <c r="C94" s="4">
        <f t="shared" si="3"/>
        <v>87</v>
      </c>
      <c r="E94" s="10">
        <f>Tabella8[[#This Row],[Italy cumulative]]*NOT(ISBLANK(Tabella8[[#This Row],[Italy cumulative]]))</f>
        <v>0</v>
      </c>
      <c r="F94" s="10">
        <f>Tabella8[[#This Row],[Lombardy fit]]+Tabella8[[#This Row],[rest of Italy fit]]</f>
        <v>30669.619549284485</v>
      </c>
      <c r="G94" s="10">
        <f>Tabella8[[#This Row],[Italy sum of regions]]*NOT(ISBLANK(Tabella8[[#This Row],[Italy cumulative]]))</f>
        <v>0</v>
      </c>
      <c r="H94" s="154">
        <f>Kt*_xlfn.LOGNORM.DIST(Tabella8[[#This Row],[Day]],mu_t,sigma_t,TRUE)</f>
        <v>25784.125079533951</v>
      </c>
      <c r="I94" s="26">
        <f>Tabella8[[#This Row],[Italy fit]]*NOT(ISBLANK(Tabella8[[#This Row],[Italy cumulative]]))</f>
        <v>0</v>
      </c>
      <c r="L94" s="80"/>
      <c r="M94" s="10">
        <f>Tabella8[[#This Row],[Lombardy]]*NOT(ISBLANK(Tabella8[[#This Row],[Lombardy]]))</f>
        <v>0</v>
      </c>
      <c r="N94" s="99">
        <f>Kr*_xlfn.LOGNORM.DIST(Tabella8[[#This Row],[Day]],mu_r,sigma_r,TRUE)</f>
        <v>14601.004238936182</v>
      </c>
      <c r="O94" s="26">
        <f>Tabella8[[#This Row],[Lombardy fit]]*NOT(ISBLANK(Tabella8[[#This Row],[Lombardy]]))</f>
        <v>0</v>
      </c>
      <c r="S94" s="10">
        <f>Tabella8[[#This Row],[rest of Italy ]]*NOT(ISBLANK(Tabella8[[#This Row],[rest of Italy ]]))</f>
        <v>0</v>
      </c>
      <c r="T94" s="100">
        <f>Ko*_xlfn.LOGNORM.DIST(Tabella8[[#This Row],[Day]],mu_o,sigma_o,TRUE)</f>
        <v>16068.615310348303</v>
      </c>
      <c r="U94" s="26">
        <f>Tabella8[[#This Row],[rest of Italy fit]]*NOT(ISBLANK(Tabella8[[#This Row],[rest of Italy ]]))</f>
        <v>0</v>
      </c>
      <c r="Y94" s="77" t="s">
        <v>175</v>
      </c>
      <c r="Z94" s="137">
        <v>8311</v>
      </c>
      <c r="AA94" s="75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s="94"/>
      <c r="AU94" s="94"/>
      <c r="AV94" s="111"/>
      <c r="AW94" s="36"/>
      <c r="AX94" s="36"/>
      <c r="AY94" s="111"/>
      <c r="AZ94" s="97"/>
      <c r="BA94" s="97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</row>
    <row r="95" spans="2:374" x14ac:dyDescent="0.3">
      <c r="B95" s="9">
        <v>43972</v>
      </c>
      <c r="C95" s="4">
        <f t="shared" si="3"/>
        <v>88</v>
      </c>
      <c r="E95" s="10">
        <f>Tabella8[[#This Row],[Italy cumulative]]*NOT(ISBLANK(Tabella8[[#This Row],[Italy cumulative]]))</f>
        <v>0</v>
      </c>
      <c r="F95" s="10">
        <f>Tabella8[[#This Row],[Lombardy fit]]+Tabella8[[#This Row],[rest of Italy fit]]</f>
        <v>30761.570039358587</v>
      </c>
      <c r="G95" s="10">
        <f>Tabella8[[#This Row],[Italy sum of regions]]*NOT(ISBLANK(Tabella8[[#This Row],[Italy cumulative]]))</f>
        <v>0</v>
      </c>
      <c r="H95" s="154">
        <f>Kt*_xlfn.LOGNORM.DIST(Tabella8[[#This Row],[Day]],mu_t,sigma_t,TRUE)</f>
        <v>25802.568142429911</v>
      </c>
      <c r="I95" s="26">
        <f>Tabella8[[#This Row],[Italy fit]]*NOT(ISBLANK(Tabella8[[#This Row],[Italy cumulative]]))</f>
        <v>0</v>
      </c>
      <c r="L95" s="80"/>
      <c r="M95" s="10">
        <f>Tabella8[[#This Row],[Lombardy]]*NOT(ISBLANK(Tabella8[[#This Row],[Lombardy]]))</f>
        <v>0</v>
      </c>
      <c r="N95" s="99">
        <f>Kr*_xlfn.LOGNORM.DIST(Tabella8[[#This Row],[Day]],mu_r,sigma_r,TRUE)</f>
        <v>14625.183929740999</v>
      </c>
      <c r="O95" s="26">
        <f>Tabella8[[#This Row],[Lombardy fit]]*NOT(ISBLANK(Tabella8[[#This Row],[Lombardy]]))</f>
        <v>0</v>
      </c>
      <c r="S95" s="10">
        <f>Tabella8[[#This Row],[rest of Italy ]]*NOT(ISBLANK(Tabella8[[#This Row],[rest of Italy ]]))</f>
        <v>0</v>
      </c>
      <c r="T95" s="100">
        <f>Ko*_xlfn.LOGNORM.DIST(Tabella8[[#This Row],[Day]],mu_o,sigma_o,TRUE)</f>
        <v>16136.386109617586</v>
      </c>
      <c r="U95" s="26">
        <f>Tabella8[[#This Row],[rest of Italy fit]]*NOT(ISBLANK(Tabella8[[#This Row],[rest of Italy ]]))</f>
        <v>0</v>
      </c>
      <c r="Y95" s="77" t="s">
        <v>176</v>
      </c>
      <c r="Z95" s="137">
        <v>8656</v>
      </c>
      <c r="AA95" s="7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s="94"/>
      <c r="AU95" s="94"/>
      <c r="AV95" s="111"/>
      <c r="AW95" s="36"/>
      <c r="AX95" s="36"/>
      <c r="AY95" s="111"/>
      <c r="AZ95" s="97"/>
      <c r="BA95" s="97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</row>
    <row r="96" spans="2:374" x14ac:dyDescent="0.3">
      <c r="B96" s="9">
        <v>43973</v>
      </c>
      <c r="C96" s="4">
        <f t="shared" si="3"/>
        <v>89</v>
      </c>
      <c r="E96" s="10">
        <f>Tabella8[[#This Row],[Italy cumulative]]*NOT(ISBLANK(Tabella8[[#This Row],[Italy cumulative]]))</f>
        <v>0</v>
      </c>
      <c r="F96" s="10">
        <f>Tabella8[[#This Row],[Lombardy fit]]+Tabella8[[#This Row],[rest of Italy fit]]</f>
        <v>30848.866452060473</v>
      </c>
      <c r="G96" s="10">
        <f>Tabella8[[#This Row],[Italy sum of regions]]*NOT(ISBLANK(Tabella8[[#This Row],[Italy cumulative]]))</f>
        <v>0</v>
      </c>
      <c r="H96" s="154">
        <f>Kt*_xlfn.LOGNORM.DIST(Tabella8[[#This Row],[Day]],mu_t,sigma_t,TRUE)</f>
        <v>25819.4242337102</v>
      </c>
      <c r="I96" s="26">
        <f>Tabella8[[#This Row],[Italy fit]]*NOT(ISBLANK(Tabella8[[#This Row],[Italy cumulative]]))</f>
        <v>0</v>
      </c>
      <c r="L96" s="80"/>
      <c r="M96" s="10">
        <f>Tabella8[[#This Row],[Lombardy]]*NOT(ISBLANK(Tabella8[[#This Row],[Lombardy]]))</f>
        <v>0</v>
      </c>
      <c r="N96" s="99">
        <f>Kr*_xlfn.LOGNORM.DIST(Tabella8[[#This Row],[Day]],mu_r,sigma_r,TRUE)</f>
        <v>14647.870420271101</v>
      </c>
      <c r="O96" s="26">
        <f>Tabella8[[#This Row],[Lombardy fit]]*NOT(ISBLANK(Tabella8[[#This Row],[Lombardy]]))</f>
        <v>0</v>
      </c>
      <c r="S96" s="10">
        <f>Tabella8[[#This Row],[rest of Italy ]]*NOT(ISBLANK(Tabella8[[#This Row],[rest of Italy ]]))</f>
        <v>0</v>
      </c>
      <c r="T96" s="100">
        <f>Ko*_xlfn.LOGNORM.DIST(Tabella8[[#This Row],[Day]],mu_o,sigma_o,TRUE)</f>
        <v>16200.996031789373</v>
      </c>
      <c r="U96" s="26">
        <f>Tabella8[[#This Row],[rest of Italy fit]]*NOT(ISBLANK(Tabella8[[#This Row],[rest of Italy ]]))</f>
        <v>0</v>
      </c>
      <c r="Y96" s="77" t="s">
        <v>177</v>
      </c>
      <c r="Z96" s="137">
        <v>8905</v>
      </c>
      <c r="AA96" s="75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s="94"/>
      <c r="AU96" s="94"/>
      <c r="AV96" s="111"/>
      <c r="AW96" s="36"/>
      <c r="AX96" s="36"/>
      <c r="AY96" s="111"/>
      <c r="AZ96" s="113"/>
      <c r="BA96" s="97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</row>
    <row r="97" spans="2:374" x14ac:dyDescent="0.3">
      <c r="B97" s="9">
        <v>43974</v>
      </c>
      <c r="C97" s="4">
        <f t="shared" si="3"/>
        <v>90</v>
      </c>
      <c r="E97" s="10">
        <f>Tabella8[[#This Row],[Italy cumulative]]*NOT(ISBLANK(Tabella8[[#This Row],[Italy cumulative]]))</f>
        <v>0</v>
      </c>
      <c r="F97" s="10">
        <f>Tabella8[[#This Row],[Lombardy fit]]+Tabella8[[#This Row],[rest of Italy fit]]</f>
        <v>30931.741651875556</v>
      </c>
      <c r="G97" s="10">
        <f>Tabella8[[#This Row],[Italy sum of regions]]*NOT(ISBLANK(Tabella8[[#This Row],[Italy cumulative]]))</f>
        <v>0</v>
      </c>
      <c r="H97" s="154">
        <f>Kt*_xlfn.LOGNORM.DIST(Tabella8[[#This Row],[Day]],mu_t,sigma_t,TRUE)</f>
        <v>25834.829599952984</v>
      </c>
      <c r="I97" s="26">
        <f>Tabella8[[#This Row],[Italy fit]]*NOT(ISBLANK(Tabella8[[#This Row],[Italy cumulative]]))</f>
        <v>0</v>
      </c>
      <c r="L97" s="80"/>
      <c r="M97" s="10">
        <f>Tabella8[[#This Row],[Lombardy]]*NOT(ISBLANK(Tabella8[[#This Row],[Lombardy]]))</f>
        <v>0</v>
      </c>
      <c r="N97" s="99">
        <f>Kr*_xlfn.LOGNORM.DIST(Tabella8[[#This Row],[Day]],mu_r,sigma_r,TRUE)</f>
        <v>14669.156221579084</v>
      </c>
      <c r="O97" s="26">
        <f>Tabella8[[#This Row],[Lombardy fit]]*NOT(ISBLANK(Tabella8[[#This Row],[Lombardy]]))</f>
        <v>0</v>
      </c>
      <c r="S97" s="10">
        <f>Tabella8[[#This Row],[rest of Italy ]]*NOT(ISBLANK(Tabella8[[#This Row],[rest of Italy ]]))</f>
        <v>0</v>
      </c>
      <c r="T97" s="100">
        <f>Ko*_xlfn.LOGNORM.DIST(Tabella8[[#This Row],[Day]],mu_o,sigma_o,TRUE)</f>
        <v>16262.585430296474</v>
      </c>
      <c r="U97" s="26">
        <f>Tabella8[[#This Row],[rest of Italy fit]]*NOT(ISBLANK(Tabella8[[#This Row],[rest of Italy ]]))</f>
        <v>0</v>
      </c>
      <c r="Y97" s="77" t="s">
        <v>178</v>
      </c>
      <c r="Z97" s="137">
        <v>9202</v>
      </c>
      <c r="AA97" s="75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s="94"/>
      <c r="AU97" s="94"/>
      <c r="AV97"/>
      <c r="AW97" s="36"/>
      <c r="AX97" s="36"/>
      <c r="AY97"/>
      <c r="AZ97" s="113"/>
      <c r="BA97" s="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</row>
    <row r="98" spans="2:374" x14ac:dyDescent="0.3">
      <c r="B98" s="9">
        <v>43975</v>
      </c>
      <c r="C98" s="4">
        <f t="shared" si="3"/>
        <v>91</v>
      </c>
      <c r="E98" s="10">
        <f>Tabella8[[#This Row],[Italy cumulative]]*NOT(ISBLANK(Tabella8[[#This Row],[Italy cumulative]]))</f>
        <v>0</v>
      </c>
      <c r="F98" s="10">
        <f>Tabella8[[#This Row],[Lombardy fit]]+Tabella8[[#This Row],[rest of Italy fit]]</f>
        <v>31010.417590374731</v>
      </c>
      <c r="G98" s="10">
        <f>Tabella8[[#This Row],[Italy sum of regions]]*NOT(ISBLANK(Tabella8[[#This Row],[Italy cumulative]]))</f>
        <v>0</v>
      </c>
      <c r="H98" s="154">
        <f>Kt*_xlfn.LOGNORM.DIST(Tabella8[[#This Row],[Day]],mu_t,sigma_t,TRUE)</f>
        <v>25848.908983760033</v>
      </c>
      <c r="I98" s="26">
        <f>Tabella8[[#This Row],[Italy fit]]*NOT(ISBLANK(Tabella8[[#This Row],[Italy cumulative]]))</f>
        <v>0</v>
      </c>
      <c r="L98" s="80"/>
      <c r="M98" s="10">
        <f>Tabella8[[#This Row],[Lombardy]]*NOT(ISBLANK(Tabella8[[#This Row],[Lombardy]]))</f>
        <v>0</v>
      </c>
      <c r="N98" s="99">
        <f>Kr*_xlfn.LOGNORM.DIST(Tabella8[[#This Row],[Day]],mu_r,sigma_r,TRUE)</f>
        <v>14689.128243523186</v>
      </c>
      <c r="O98" s="26">
        <f>Tabella8[[#This Row],[Lombardy fit]]*NOT(ISBLANK(Tabella8[[#This Row],[Lombardy]]))</f>
        <v>0</v>
      </c>
      <c r="S98" s="10">
        <f>Tabella8[[#This Row],[rest of Italy ]]*NOT(ISBLANK(Tabella8[[#This Row],[rest of Italy ]]))</f>
        <v>0</v>
      </c>
      <c r="T98" s="100">
        <f>Ko*_xlfn.LOGNORM.DIST(Tabella8[[#This Row],[Day]],mu_o,sigma_o,TRUE)</f>
        <v>16321.289346851547</v>
      </c>
      <c r="U98" s="26">
        <f>Tabella8[[#This Row],[rest of Italy fit]]*NOT(ISBLANK(Tabella8[[#This Row],[rest of Italy ]]))</f>
        <v>0</v>
      </c>
      <c r="Y98" s="77" t="s">
        <v>179</v>
      </c>
      <c r="Z98" s="137">
        <v>9484</v>
      </c>
      <c r="AA98" s="75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s="94"/>
      <c r="AU98" s="94"/>
      <c r="AV98"/>
      <c r="AW98" s="36"/>
      <c r="AX98" s="36"/>
      <c r="AY98"/>
      <c r="AZ98" s="113"/>
      <c r="BA98" s="97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</row>
    <row r="99" spans="2:374" x14ac:dyDescent="0.3">
      <c r="B99" s="9">
        <v>43976</v>
      </c>
      <c r="C99" s="4">
        <f t="shared" si="3"/>
        <v>92</v>
      </c>
      <c r="E99" s="10">
        <f>Tabella8[[#This Row],[Italy cumulative]]*NOT(ISBLANK(Tabella8[[#This Row],[Italy cumulative]]))</f>
        <v>0</v>
      </c>
      <c r="F99" s="10">
        <f>Tabella8[[#This Row],[Lombardy fit]]+Tabella8[[#This Row],[rest of Italy fit]]</f>
        <v>31085.105716107777</v>
      </c>
      <c r="G99" s="10">
        <f>Tabella8[[#This Row],[Italy sum of regions]]*NOT(ISBLANK(Tabella8[[#This Row],[Italy cumulative]]))</f>
        <v>0</v>
      </c>
      <c r="H99" s="154">
        <f>Kt*_xlfn.LOGNORM.DIST(Tabella8[[#This Row],[Day]],mu_t,sigma_t,TRUE)</f>
        <v>25861.776555537897</v>
      </c>
      <c r="I99" s="26">
        <f>Tabella8[[#This Row],[Italy fit]]*NOT(ISBLANK(Tabella8[[#This Row],[Italy cumulative]]))</f>
        <v>0</v>
      </c>
      <c r="L99" s="80"/>
      <c r="M99" s="10">
        <f>Tabella8[[#This Row],[Lombardy]]*NOT(ISBLANK(Tabella8[[#This Row],[Lombardy]]))</f>
        <v>0</v>
      </c>
      <c r="N99" s="99">
        <f>Kr*_xlfn.LOGNORM.DIST(Tabella8[[#This Row],[Day]],mu_r,sigma_r,TRUE)</f>
        <v>14707.868108793768</v>
      </c>
      <c r="O99" s="26">
        <f>Tabella8[[#This Row],[Lombardy fit]]*NOT(ISBLANK(Tabella8[[#This Row],[Lombardy]]))</f>
        <v>0</v>
      </c>
      <c r="S99" s="10">
        <f>Tabella8[[#This Row],[rest of Italy ]]*NOT(ISBLANK(Tabella8[[#This Row],[rest of Italy ]]))</f>
        <v>0</v>
      </c>
      <c r="T99" s="100">
        <f>Ko*_xlfn.LOGNORM.DIST(Tabella8[[#This Row],[Day]],mu_o,sigma_o,TRUE)</f>
        <v>16377.237607314011</v>
      </c>
      <c r="U99" s="26">
        <f>Tabella8[[#This Row],[rest of Italy fit]]*NOT(ISBLANK(Tabella8[[#This Row],[rest of Italy ]]))</f>
        <v>0</v>
      </c>
      <c r="Y99" s="77" t="s">
        <v>180</v>
      </c>
      <c r="Z99" s="137">
        <v>9722</v>
      </c>
      <c r="AA99" s="75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94"/>
      <c r="AU99" s="94"/>
      <c r="AV99"/>
      <c r="AW99" s="36"/>
      <c r="AX99" s="36"/>
      <c r="AY99"/>
      <c r="AZ99" s="113"/>
      <c r="BA99" s="97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</row>
    <row r="100" spans="2:374" x14ac:dyDescent="0.3">
      <c r="B100" s="9">
        <v>43977</v>
      </c>
      <c r="C100" s="4">
        <f t="shared" si="3"/>
        <v>93</v>
      </c>
      <c r="E100" s="10">
        <f>Tabella8[[#This Row],[Italy cumulative]]*NOT(ISBLANK(Tabella8[[#This Row],[Italy cumulative]]))</f>
        <v>0</v>
      </c>
      <c r="F100" s="10">
        <f>Tabella8[[#This Row],[Lombardy fit]]+Tabella8[[#This Row],[rest of Italy fit]]</f>
        <v>31156.007382112766</v>
      </c>
      <c r="G100" s="10">
        <f>Tabella8[[#This Row],[Italy sum of regions]]*NOT(ISBLANK(Tabella8[[#This Row],[Italy cumulative]]))</f>
        <v>0</v>
      </c>
      <c r="H100" s="154">
        <f>Kt*_xlfn.LOGNORM.DIST(Tabella8[[#This Row],[Day]],mu_t,sigma_t,TRUE)</f>
        <v>25873.536776546018</v>
      </c>
      <c r="I100" s="26">
        <f>Tabella8[[#This Row],[Italy fit]]*NOT(ISBLANK(Tabella8[[#This Row],[Italy cumulative]]))</f>
        <v>0</v>
      </c>
      <c r="L100" s="80"/>
      <c r="M100" s="10">
        <f>Tabella8[[#This Row],[Lombardy]]*NOT(ISBLANK(Tabella8[[#This Row],[Lombardy]]))</f>
        <v>0</v>
      </c>
      <c r="N100" s="99">
        <f>Kr*_xlfn.LOGNORM.DIST(Tabella8[[#This Row],[Day]],mu_r,sigma_r,TRUE)</f>
        <v>14725.452453024269</v>
      </c>
      <c r="O100" s="26">
        <f>Tabella8[[#This Row],[Lombardy fit]]*NOT(ISBLANK(Tabella8[[#This Row],[Lombardy]]))</f>
        <v>0</v>
      </c>
      <c r="S100" s="10">
        <f>Tabella8[[#This Row],[rest of Italy ]]*NOT(ISBLANK(Tabella8[[#This Row],[rest of Italy ]]))</f>
        <v>0</v>
      </c>
      <c r="T100" s="100">
        <f>Ko*_xlfn.LOGNORM.DIST(Tabella8[[#This Row],[Day]],mu_o,sigma_o,TRUE)</f>
        <v>16430.554929088499</v>
      </c>
      <c r="U100" s="26">
        <f>Tabella8[[#This Row],[rest of Italy fit]]*NOT(ISBLANK(Tabella8[[#This Row],[rest of Italy ]]))</f>
        <v>0</v>
      </c>
      <c r="Y100" s="77" t="s">
        <v>181</v>
      </c>
      <c r="Z100" s="137">
        <v>10022</v>
      </c>
      <c r="AA100" s="75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s="94"/>
      <c r="AU100" s="94"/>
      <c r="AV100"/>
      <c r="AW100" s="36"/>
      <c r="AX100" s="36"/>
      <c r="AY100"/>
      <c r="AZ100" s="113"/>
      <c r="BA100" s="97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</row>
    <row r="101" spans="2:374" x14ac:dyDescent="0.3">
      <c r="B101" s="9">
        <v>43978</v>
      </c>
      <c r="C101" s="4">
        <f t="shared" si="3"/>
        <v>94</v>
      </c>
      <c r="E101" s="10">
        <f>Tabella8[[#This Row],[Italy cumulative]]*NOT(ISBLANK(Tabella8[[#This Row],[Italy cumulative]]))</f>
        <v>0</v>
      </c>
      <c r="F101" s="10">
        <f>Tabella8[[#This Row],[Lombardy fit]]+Tabella8[[#This Row],[rest of Italy fit]]</f>
        <v>31223.314249060473</v>
      </c>
      <c r="G101" s="10">
        <f>Tabella8[[#This Row],[Italy sum of regions]]*NOT(ISBLANK(Tabella8[[#This Row],[Italy cumulative]]))</f>
        <v>0</v>
      </c>
      <c r="H101" s="154">
        <f>Kt*_xlfn.LOGNORM.DIST(Tabella8[[#This Row],[Day]],mu_t,sigma_t,TRUE)</f>
        <v>25884.285197177374</v>
      </c>
      <c r="I101" s="26">
        <f>Tabella8[[#This Row],[Italy fit]]*NOT(ISBLANK(Tabella8[[#This Row],[Italy cumulative]]))</f>
        <v>0</v>
      </c>
      <c r="L101" s="80"/>
      <c r="M101" s="10">
        <f>Tabella8[[#This Row],[Lombardy]]*NOT(ISBLANK(Tabella8[[#This Row],[Lombardy]]))</f>
        <v>0</v>
      </c>
      <c r="N101" s="99">
        <f>Kr*_xlfn.LOGNORM.DIST(Tabella8[[#This Row],[Day]],mu_r,sigma_r,TRUE)</f>
        <v>14741.953211065689</v>
      </c>
      <c r="O101" s="26">
        <f>Tabella8[[#This Row],[Lombardy fit]]*NOT(ISBLANK(Tabella8[[#This Row],[Lombardy]]))</f>
        <v>0</v>
      </c>
      <c r="S101" s="10">
        <f>Tabella8[[#This Row],[rest of Italy ]]*NOT(ISBLANK(Tabella8[[#This Row],[rest of Italy ]]))</f>
        <v>0</v>
      </c>
      <c r="T101" s="100">
        <f>Ko*_xlfn.LOGNORM.DIST(Tabella8[[#This Row],[Day]],mu_o,sigma_o,TRUE)</f>
        <v>16481.361037994786</v>
      </c>
      <c r="U101" s="26">
        <f>Tabella8[[#This Row],[rest of Italy fit]]*NOT(ISBLANK(Tabella8[[#This Row],[rest of Italy ]]))</f>
        <v>0</v>
      </c>
      <c r="Y101" s="77" t="s">
        <v>182</v>
      </c>
      <c r="Z101" s="137">
        <v>10238</v>
      </c>
      <c r="AA101" s="75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s="94"/>
      <c r="AU101" s="94"/>
      <c r="AV101"/>
      <c r="AW101" s="36"/>
      <c r="AX101" s="36"/>
      <c r="AY101"/>
      <c r="AZ101" s="113"/>
      <c r="BA101" s="97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</row>
    <row r="102" spans="2:374" x14ac:dyDescent="0.3">
      <c r="B102" s="9">
        <v>43979</v>
      </c>
      <c r="C102" s="4">
        <f t="shared" si="3"/>
        <v>95</v>
      </c>
      <c r="E102" s="10">
        <f>Tabella8[[#This Row],[Italy cumulative]]*NOT(ISBLANK(Tabella8[[#This Row],[Italy cumulative]]))</f>
        <v>0</v>
      </c>
      <c r="F102" s="10">
        <f>Tabella8[[#This Row],[Lombardy fit]]+Tabella8[[#This Row],[rest of Italy fit]]</f>
        <v>31287.208682374861</v>
      </c>
      <c r="G102" s="10">
        <f>Tabella8[[#This Row],[Italy sum of regions]]*NOT(ISBLANK(Tabella8[[#This Row],[Italy cumulative]]))</f>
        <v>0</v>
      </c>
      <c r="H102" s="154">
        <f>Kt*_xlfn.LOGNORM.DIST(Tabella8[[#This Row],[Day]],mu_t,sigma_t,TRUE)</f>
        <v>25894.10919439916</v>
      </c>
      <c r="I102" s="26">
        <f>Tabella8[[#This Row],[Italy fit]]*NOT(ISBLANK(Tabella8[[#This Row],[Italy cumulative]]))</f>
        <v>0</v>
      </c>
      <c r="L102" s="80"/>
      <c r="M102" s="10">
        <f>Tabella8[[#This Row],[Lombardy]]*NOT(ISBLANK(Tabella8[[#This Row],[Lombardy]]))</f>
        <v>0</v>
      </c>
      <c r="N102" s="99">
        <f>Kr*_xlfn.LOGNORM.DIST(Tabella8[[#This Row],[Day]],mu_r,sigma_r,TRUE)</f>
        <v>14757.437889599149</v>
      </c>
      <c r="O102" s="26">
        <f>Tabella8[[#This Row],[Lombardy fit]]*NOT(ISBLANK(Tabella8[[#This Row],[Lombardy]]))</f>
        <v>0</v>
      </c>
      <c r="S102" s="10">
        <f>Tabella8[[#This Row],[rest of Italy ]]*NOT(ISBLANK(Tabella8[[#This Row],[rest of Italy ]]))</f>
        <v>0</v>
      </c>
      <c r="T102" s="100">
        <f>Ko*_xlfn.LOGNORM.DIST(Tabella8[[#This Row],[Day]],mu_o,sigma_o,TRUE)</f>
        <v>16529.770792775711</v>
      </c>
      <c r="U102" s="26">
        <f>Tabella8[[#This Row],[rest of Italy fit]]*NOT(ISBLANK(Tabella8[[#This Row],[rest of Italy ]]))</f>
        <v>0</v>
      </c>
      <c r="Y102" s="77" t="s">
        <v>183</v>
      </c>
      <c r="Z102" s="137">
        <v>10511</v>
      </c>
      <c r="AA102" s="75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s="94"/>
      <c r="AU102" s="94"/>
      <c r="AV102"/>
      <c r="AW102" s="36"/>
      <c r="AX102" s="36"/>
      <c r="AY102"/>
      <c r="AZ102" s="113"/>
      <c r="BA102" s="97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</row>
    <row r="103" spans="2:374" x14ac:dyDescent="0.3">
      <c r="B103" s="9">
        <v>43980</v>
      </c>
      <c r="C103" s="4">
        <f t="shared" si="3"/>
        <v>96</v>
      </c>
      <c r="E103" s="10">
        <f>Tabella8[[#This Row],[Italy cumulative]]*NOT(ISBLANK(Tabella8[[#This Row],[Italy cumulative]]))</f>
        <v>0</v>
      </c>
      <c r="F103" s="10">
        <f>Tabella8[[#This Row],[Lombardy fit]]+Tabella8[[#This Row],[rest of Italy fit]]</f>
        <v>31347.864141955481</v>
      </c>
      <c r="G103" s="10">
        <f>Tabella8[[#This Row],[Italy sum of regions]]*NOT(ISBLANK(Tabella8[[#This Row],[Italy cumulative]]))</f>
        <v>0</v>
      </c>
      <c r="H103" s="154">
        <f>Kt*_xlfn.LOGNORM.DIST(Tabella8[[#This Row],[Day]],mu_t,sigma_t,TRUE)</f>
        <v>25903.088652201975</v>
      </c>
      <c r="I103" s="26">
        <f>Tabella8[[#This Row],[Italy fit]]*NOT(ISBLANK(Tabella8[[#This Row],[Italy cumulative]]))</f>
        <v>0</v>
      </c>
      <c r="L103" s="80"/>
      <c r="M103" s="10">
        <f>Tabella8[[#This Row],[Lombardy]]*NOT(ISBLANK(Tabella8[[#This Row],[Lombardy]]))</f>
        <v>0</v>
      </c>
      <c r="N103" s="99">
        <f>Kr*_xlfn.LOGNORM.DIST(Tabella8[[#This Row],[Day]],mu_r,sigma_r,TRUE)</f>
        <v>14771.969826338824</v>
      </c>
      <c r="O103" s="26">
        <f>Tabella8[[#This Row],[Lombardy fit]]*NOT(ISBLANK(Tabella8[[#This Row],[Lombardy]]))</f>
        <v>0</v>
      </c>
      <c r="S103" s="10">
        <f>Tabella8[[#This Row],[rest of Italy ]]*NOT(ISBLANK(Tabella8[[#This Row],[rest of Italy ]]))</f>
        <v>0</v>
      </c>
      <c r="T103" s="100">
        <f>Ko*_xlfn.LOGNORM.DIST(Tabella8[[#This Row],[Day]],mu_o,sigma_o,TRUE)</f>
        <v>16575.894315616657</v>
      </c>
      <c r="U103" s="26">
        <f>Tabella8[[#This Row],[rest of Italy fit]]*NOT(ISBLANK(Tabella8[[#This Row],[rest of Italy ]]))</f>
        <v>0</v>
      </c>
      <c r="Y103" s="77" t="s">
        <v>184</v>
      </c>
      <c r="Z103" s="137">
        <v>10621</v>
      </c>
      <c r="AA103" s="75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s="94"/>
      <c r="AU103" s="94"/>
      <c r="AV103"/>
      <c r="AW103" s="36"/>
      <c r="AX103" s="36"/>
      <c r="AY103"/>
      <c r="AZ103" s="113"/>
      <c r="BA103" s="97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</row>
    <row r="104" spans="2:374" x14ac:dyDescent="0.3">
      <c r="B104" s="9">
        <v>43981</v>
      </c>
      <c r="C104" s="4">
        <f t="shared" si="3"/>
        <v>97</v>
      </c>
      <c r="E104" s="10">
        <f>Tabella8[[#This Row],[Italy cumulative]]*NOT(ISBLANK(Tabella8[[#This Row],[Italy cumulative]]))</f>
        <v>0</v>
      </c>
      <c r="F104" s="10">
        <f>Tabella8[[#This Row],[Lombardy fit]]+Tabella8[[#This Row],[rest of Italy fit]]</f>
        <v>31405.4455633777</v>
      </c>
      <c r="G104" s="10">
        <f>Tabella8[[#This Row],[Italy sum of regions]]*NOT(ISBLANK(Tabella8[[#This Row],[Italy cumulative]]))</f>
        <v>0</v>
      </c>
      <c r="H104" s="154">
        <f>Kt*_xlfn.LOGNORM.DIST(Tabella8[[#This Row],[Day]],mu_t,sigma_t,TRUE)</f>
        <v>25911.29658879598</v>
      </c>
      <c r="I104" s="26">
        <f>Tabella8[[#This Row],[Italy fit]]*NOT(ISBLANK(Tabella8[[#This Row],[Italy cumulative]]))</f>
        <v>0</v>
      </c>
      <c r="L104" s="80"/>
      <c r="M104" s="10">
        <f>Tabella8[[#This Row],[Lombardy]]*NOT(ISBLANK(Tabella8[[#This Row],[Lombardy]]))</f>
        <v>0</v>
      </c>
      <c r="N104" s="99">
        <f>Kr*_xlfn.LOGNORM.DIST(Tabella8[[#This Row],[Day]],mu_r,sigma_r,TRUE)</f>
        <v>14785.608436139693</v>
      </c>
      <c r="O104" s="26">
        <f>Tabella8[[#This Row],[Lombardy fit]]*NOT(ISBLANK(Tabella8[[#This Row],[Lombardy]]))</f>
        <v>0</v>
      </c>
      <c r="S104" s="10">
        <f>Tabella8[[#This Row],[rest of Italy ]]*NOT(ISBLANK(Tabella8[[#This Row],[rest of Italy ]]))</f>
        <v>0</v>
      </c>
      <c r="T104" s="100">
        <f>Ko*_xlfn.LOGNORM.DIST(Tabella8[[#This Row],[Day]],mu_o,sigma_o,TRUE)</f>
        <v>16619.837127238006</v>
      </c>
      <c r="U104" s="26">
        <f>Tabella8[[#This Row],[rest of Italy fit]]*NOT(ISBLANK(Tabella8[[#This Row],[rest of Italy ]]))</f>
        <v>0</v>
      </c>
      <c r="Y104" s="77" t="s">
        <v>185</v>
      </c>
      <c r="Z104" s="137">
        <v>10901</v>
      </c>
      <c r="AA104" s="75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s="94"/>
      <c r="AU104" s="94"/>
      <c r="AV104"/>
      <c r="AW104" s="36"/>
      <c r="AX104" s="36"/>
      <c r="AY104"/>
      <c r="AZ104" s="113"/>
      <c r="BA104" s="97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</row>
    <row r="105" spans="2:374" x14ac:dyDescent="0.3">
      <c r="B105" s="9">
        <v>43982</v>
      </c>
      <c r="C105" s="4">
        <f t="shared" si="3"/>
        <v>98</v>
      </c>
      <c r="E105" s="10">
        <f>Tabella8[[#This Row],[Italy cumulative]]*NOT(ISBLANK(Tabella8[[#This Row],[Italy cumulative]]))</f>
        <v>0</v>
      </c>
      <c r="F105" s="10">
        <f>Tabella8[[#This Row],[Lombardy fit]]+Tabella8[[#This Row],[rest of Italy fit]]</f>
        <v>31460.109729665754</v>
      </c>
      <c r="G105" s="10">
        <f>Tabella8[[#This Row],[Italy sum of regions]]*NOT(ISBLANK(Tabella8[[#This Row],[Italy cumulative]]))</f>
        <v>0</v>
      </c>
      <c r="H105" s="154">
        <f>Kt*_xlfn.LOGNORM.DIST(Tabella8[[#This Row],[Day]],mu_t,sigma_t,TRUE)</f>
        <v>25918.799734159093</v>
      </c>
      <c r="I105" s="26">
        <f>Tabella8[[#This Row],[Italy fit]]*NOT(ISBLANK(Tabella8[[#This Row],[Italy cumulative]]))</f>
        <v>0</v>
      </c>
      <c r="L105" s="80"/>
      <c r="M105" s="10">
        <f>Tabella8[[#This Row],[Lombardy]]*NOT(ISBLANK(Tabella8[[#This Row],[Lombardy]]))</f>
        <v>0</v>
      </c>
      <c r="N105" s="99">
        <f>Kr*_xlfn.LOGNORM.DIST(Tabella8[[#This Row],[Day]],mu_r,sigma_r,TRUE)</f>
        <v>14798.409444373303</v>
      </c>
      <c r="O105" s="26">
        <f>Tabella8[[#This Row],[Lombardy fit]]*NOT(ISBLANK(Tabella8[[#This Row],[Lombardy]]))</f>
        <v>0</v>
      </c>
      <c r="S105" s="10">
        <f>Tabella8[[#This Row],[rest of Italy ]]*NOT(ISBLANK(Tabella8[[#This Row],[rest of Italy ]]))</f>
        <v>0</v>
      </c>
      <c r="T105" s="100">
        <f>Ko*_xlfn.LOGNORM.DIST(Tabella8[[#This Row],[Day]],mu_o,sigma_o,TRUE)</f>
        <v>16661.700285292452</v>
      </c>
      <c r="U105" s="26">
        <f>Tabella8[[#This Row],[rest of Italy fit]]*NOT(ISBLANK(Tabella8[[#This Row],[rest of Italy ]]))</f>
        <v>0</v>
      </c>
      <c r="Y105" s="77" t="s">
        <v>187</v>
      </c>
      <c r="Z105" s="137">
        <v>11142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s="94"/>
      <c r="AU105" s="94"/>
      <c r="AV105"/>
      <c r="AW105" s="36"/>
      <c r="AX105" s="36"/>
      <c r="AY105"/>
      <c r="AZ105" s="113"/>
      <c r="BA105" s="97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</row>
    <row r="106" spans="2:374" x14ac:dyDescent="0.3">
      <c r="B106" s="9">
        <v>43983</v>
      </c>
      <c r="C106" s="4">
        <f t="shared" si="3"/>
        <v>99</v>
      </c>
      <c r="E106" s="10">
        <f>Tabella8[[#This Row],[Italy cumulative]]*NOT(ISBLANK(Tabella8[[#This Row],[Italy cumulative]]))</f>
        <v>0</v>
      </c>
      <c r="F106" s="10">
        <f>Tabella8[[#This Row],[Lombardy fit]]+Tabella8[[#This Row],[rest of Italy fit]]</f>
        <v>31512.00563292599</v>
      </c>
      <c r="G106" s="10">
        <f>Tabella8[[#This Row],[Italy sum of regions]]*NOT(ISBLANK(Tabella8[[#This Row],[Italy cumulative]]))</f>
        <v>0</v>
      </c>
      <c r="H106" s="154">
        <f>Kt*_xlfn.LOGNORM.DIST(Tabella8[[#This Row],[Day]],mu_t,sigma_t,TRUE)</f>
        <v>25925.65906139206</v>
      </c>
      <c r="I106" s="26">
        <f>Tabella8[[#This Row],[Italy fit]]*NOT(ISBLANK(Tabella8[[#This Row],[Italy cumulative]]))</f>
        <v>0</v>
      </c>
      <c r="L106" s="80"/>
      <c r="M106" s="10">
        <f>Tabella8[[#This Row],[Lombardy]]*NOT(ISBLANK(Tabella8[[#This Row],[Lombardy]]))</f>
        <v>0</v>
      </c>
      <c r="N106" s="99">
        <f>Kr*_xlfn.LOGNORM.DIST(Tabella8[[#This Row],[Day]],mu_r,sigma_r,TRUE)</f>
        <v>14810.425107972253</v>
      </c>
      <c r="O106" s="26">
        <f>Tabella8[[#This Row],[Lombardy fit]]*NOT(ISBLANK(Tabella8[[#This Row],[Lombardy]]))</f>
        <v>0</v>
      </c>
      <c r="S106" s="10">
        <f>Tabella8[[#This Row],[rest of Italy ]]*NOT(ISBLANK(Tabella8[[#This Row],[rest of Italy ]]))</f>
        <v>0</v>
      </c>
      <c r="T106" s="100">
        <f>Ko*_xlfn.LOGNORM.DIST(Tabella8[[#This Row],[Day]],mu_o,sigma_o,TRUE)</f>
        <v>16701.580524953737</v>
      </c>
      <c r="U106" s="26">
        <f>Tabella8[[#This Row],[rest of Italy fit]]*NOT(ISBLANK(Tabella8[[#This Row],[rest of Italy ]]))</f>
        <v>0</v>
      </c>
      <c r="Y106" s="77" t="s">
        <v>192</v>
      </c>
      <c r="Z106" s="137">
        <v>11377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s="94"/>
      <c r="AU106" s="94"/>
      <c r="AV106"/>
      <c r="AW106" s="36"/>
      <c r="AX106" s="36"/>
      <c r="AY106"/>
      <c r="AZ106" s="113"/>
      <c r="BA106" s="97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</row>
    <row r="107" spans="2:374" x14ac:dyDescent="0.3">
      <c r="B107" s="9">
        <v>43984</v>
      </c>
      <c r="C107" s="4">
        <f t="shared" si="3"/>
        <v>100</v>
      </c>
      <c r="E107" s="10">
        <f>Tabella8[[#This Row],[Italy cumulative]]*NOT(ISBLANK(Tabella8[[#This Row],[Italy cumulative]]))</f>
        <v>0</v>
      </c>
      <c r="F107" s="10">
        <f>Tabella8[[#This Row],[Lombardy fit]]+Tabella8[[#This Row],[rest of Italy fit]]</f>
        <v>31561.274825294357</v>
      </c>
      <c r="G107" s="10">
        <f>Tabella8[[#This Row],[Italy sum of regions]]*NOT(ISBLANK(Tabella8[[#This Row],[Italy cumulative]]))</f>
        <v>0</v>
      </c>
      <c r="H107" s="154">
        <f>Kt*_xlfn.LOGNORM.DIST(Tabella8[[#This Row],[Day]],mu_t,sigma_t,TRUE)</f>
        <v>25931.930275173927</v>
      </c>
      <c r="I107" s="26">
        <f>Tabella8[[#This Row],[Italy fit]]*NOT(ISBLANK(Tabella8[[#This Row],[Italy cumulative]]))</f>
        <v>0</v>
      </c>
      <c r="L107" s="80"/>
      <c r="M107" s="10">
        <f>Tabella8[[#This Row],[Lombardy]]*NOT(ISBLANK(Tabella8[[#This Row],[Lombardy]]))</f>
        <v>0</v>
      </c>
      <c r="N107" s="99">
        <f>Kr*_xlfn.LOGNORM.DIST(Tabella8[[#This Row],[Day]],mu_r,sigma_r,TRUE)</f>
        <v>14821.704424571741</v>
      </c>
      <c r="O107" s="26">
        <f>Tabella8[[#This Row],[Lombardy fit]]*NOT(ISBLANK(Tabella8[[#This Row],[Lombardy]]))</f>
        <v>0</v>
      </c>
      <c r="S107" s="10">
        <f>Tabella8[[#This Row],[rest of Italy ]]*NOT(ISBLANK(Tabella8[[#This Row],[rest of Italy ]]))</f>
        <v>0</v>
      </c>
      <c r="T107" s="100">
        <f>Ko*_xlfn.LOGNORM.DIST(Tabella8[[#This Row],[Day]],mu_o,sigma_o,TRUE)</f>
        <v>16739.570400722616</v>
      </c>
      <c r="U107" s="26">
        <f>Tabella8[[#This Row],[rest of Italy fit]]*NOT(ISBLANK(Tabella8[[#This Row],[rest of Italy ]]))</f>
        <v>0</v>
      </c>
      <c r="Y107" s="77" t="s">
        <v>193</v>
      </c>
      <c r="Z107" s="137">
        <v>11608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s="94"/>
      <c r="AU107" s="94"/>
      <c r="AV107"/>
      <c r="AW107" s="36"/>
      <c r="AX107" s="36"/>
      <c r="AY107"/>
      <c r="AZ107" s="113"/>
      <c r="BA107" s="9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</row>
    <row r="108" spans="2:374" x14ac:dyDescent="0.3">
      <c r="B108" s="9">
        <v>43985</v>
      </c>
      <c r="C108" s="4">
        <f t="shared" si="3"/>
        <v>101</v>
      </c>
      <c r="E108" s="10">
        <f>Tabella8[[#This Row],[Italy cumulative]]*NOT(ISBLANK(Tabella8[[#This Row],[Italy cumulative]]))</f>
        <v>0</v>
      </c>
      <c r="F108" s="10">
        <f>Tabella8[[#This Row],[Lombardy fit]]+Tabella8[[#This Row],[rest of Italy fit]]</f>
        <v>31608.051758797756</v>
      </c>
      <c r="G108" s="10">
        <f>Tabella8[[#This Row],[Italy sum of regions]]*NOT(ISBLANK(Tabella8[[#This Row],[Italy cumulative]]))</f>
        <v>0</v>
      </c>
      <c r="H108" s="154">
        <f>Kt*_xlfn.LOGNORM.DIST(Tabella8[[#This Row],[Day]],mu_t,sigma_t,TRUE)</f>
        <v>25937.664260442871</v>
      </c>
      <c r="I108" s="26">
        <f>Tabella8[[#This Row],[Italy fit]]*NOT(ISBLANK(Tabella8[[#This Row],[Italy cumulative]]))</f>
        <v>0</v>
      </c>
      <c r="L108" s="80"/>
      <c r="M108" s="10">
        <f>Tabella8[[#This Row],[Lombardy]]*NOT(ISBLANK(Tabella8[[#This Row],[Lombardy]]))</f>
        <v>0</v>
      </c>
      <c r="N108" s="99">
        <f>Kr*_xlfn.LOGNORM.DIST(Tabella8[[#This Row],[Day]],mu_r,sigma_r,TRUE)</f>
        <v>14832.293330195829</v>
      </c>
      <c r="O108" s="26">
        <f>Tabella8[[#This Row],[Lombardy fit]]*NOT(ISBLANK(Tabella8[[#This Row],[Lombardy]]))</f>
        <v>0</v>
      </c>
      <c r="S108" s="10">
        <f>Tabella8[[#This Row],[rest of Italy ]]*NOT(ISBLANK(Tabella8[[#This Row],[rest of Italy ]]))</f>
        <v>0</v>
      </c>
      <c r="T108" s="100">
        <f>Ko*_xlfn.LOGNORM.DIST(Tabella8[[#This Row],[Day]],mu_o,sigma_o,TRUE)</f>
        <v>16775.758428601926</v>
      </c>
      <c r="U108" s="26">
        <f>Tabella8[[#This Row],[rest of Italy fit]]*NOT(ISBLANK(Tabella8[[#This Row],[rest of Italy ]]))</f>
        <v>0</v>
      </c>
      <c r="Y108" s="77" t="s">
        <v>194</v>
      </c>
      <c r="Z108" s="137">
        <v>11851</v>
      </c>
      <c r="AW108" s="36"/>
      <c r="AX108" s="36"/>
      <c r="AZ108" s="97"/>
      <c r="BA108" s="97"/>
    </row>
    <row r="109" spans="2:374" x14ac:dyDescent="0.3">
      <c r="B109" s="9">
        <v>43986</v>
      </c>
      <c r="C109" s="4">
        <f t="shared" si="3"/>
        <v>102</v>
      </c>
      <c r="E109" s="10">
        <f>Tabella8[[#This Row],[Italy cumulative]]*NOT(ISBLANK(Tabella8[[#This Row],[Italy cumulative]]))</f>
        <v>0</v>
      </c>
      <c r="F109" s="10">
        <f>Tabella8[[#This Row],[Lombardy fit]]+Tabella8[[#This Row],[rest of Italy fit]]</f>
        <v>31652.464113854592</v>
      </c>
      <c r="G109" s="10">
        <f>Tabella8[[#This Row],[Italy sum of regions]]*NOT(ISBLANK(Tabella8[[#This Row],[Italy cumulative]]))</f>
        <v>0</v>
      </c>
      <c r="H109" s="154">
        <f>Kt*_xlfn.LOGNORM.DIST(Tabella8[[#This Row],[Day]],mu_t,sigma_t,TRUE)</f>
        <v>25942.907494255873</v>
      </c>
      <c r="I109" s="26">
        <f>Tabella8[[#This Row],[Italy fit]]*NOT(ISBLANK(Tabella8[[#This Row],[Italy cumulative]]))</f>
        <v>0</v>
      </c>
      <c r="L109" s="80"/>
      <c r="M109" s="10">
        <f>Tabella8[[#This Row],[Lombardy]]*NOT(ISBLANK(Tabella8[[#This Row],[Lombardy]]))</f>
        <v>0</v>
      </c>
      <c r="N109" s="99">
        <f>Kr*_xlfn.LOGNORM.DIST(Tabella8[[#This Row],[Day]],mu_r,sigma_r,TRUE)</f>
        <v>14842.234885948668</v>
      </c>
      <c r="O109" s="26">
        <f>Tabella8[[#This Row],[Lombardy fit]]*NOT(ISBLANK(Tabella8[[#This Row],[Lombardy]]))</f>
        <v>0</v>
      </c>
      <c r="S109" s="10">
        <f>Tabella8[[#This Row],[rest of Italy ]]*NOT(ISBLANK(Tabella8[[#This Row],[rest of Italy ]]))</f>
        <v>0</v>
      </c>
      <c r="T109" s="100">
        <f>Ko*_xlfn.LOGNORM.DIST(Tabella8[[#This Row],[Day]],mu_o,sigma_o,TRUE)</f>
        <v>16810.229227905926</v>
      </c>
      <c r="U109" s="26">
        <f>Tabella8[[#This Row],[rest of Italy fit]]*NOT(ISBLANK(Tabella8[[#This Row],[rest of Italy ]]))</f>
        <v>0</v>
      </c>
      <c r="Y109" s="77" t="s">
        <v>195</v>
      </c>
      <c r="Z109" s="137">
        <v>12050</v>
      </c>
      <c r="AW109" s="36"/>
      <c r="AX109" s="36"/>
      <c r="AZ109" s="97"/>
      <c r="BA109" s="97"/>
    </row>
    <row r="110" spans="2:374" x14ac:dyDescent="0.3">
      <c r="B110" s="9">
        <v>43987</v>
      </c>
      <c r="C110" s="4">
        <f t="shared" si="3"/>
        <v>103</v>
      </c>
      <c r="E110" s="10">
        <f>Tabella8[[#This Row],[Italy cumulative]]*NOT(ISBLANK(Tabella8[[#This Row],[Italy cumulative]]))</f>
        <v>0</v>
      </c>
      <c r="F110" s="10">
        <f>Tabella8[[#This Row],[Lombardy fit]]+Tabella8[[#This Row],[rest of Italy fit]]</f>
        <v>31694.633116247925</v>
      </c>
      <c r="G110" s="10">
        <f>Tabella8[[#This Row],[Italy sum of regions]]*NOT(ISBLANK(Tabella8[[#This Row],[Italy cumulative]]))</f>
        <v>0</v>
      </c>
      <c r="H110" s="154">
        <f>Kt*_xlfn.LOGNORM.DIST(Tabella8[[#This Row],[Day]],mu_t,sigma_t,TRUE)</f>
        <v>25947.702423608338</v>
      </c>
      <c r="I110" s="26">
        <f>Tabella8[[#This Row],[Italy fit]]*NOT(ISBLANK(Tabella8[[#This Row],[Italy cumulative]]))</f>
        <v>0</v>
      </c>
      <c r="L110" s="80"/>
      <c r="M110" s="10">
        <f>Tabella8[[#This Row],[Lombardy]]*NOT(ISBLANK(Tabella8[[#This Row],[Lombardy]]))</f>
        <v>0</v>
      </c>
      <c r="N110" s="99">
        <f>Kr*_xlfn.LOGNORM.DIST(Tabella8[[#This Row],[Day]],mu_r,sigma_r,TRUE)</f>
        <v>14851.569454177245</v>
      </c>
      <c r="O110" s="26">
        <f>Tabella8[[#This Row],[Lombardy fit]]*NOT(ISBLANK(Tabella8[[#This Row],[Lombardy]]))</f>
        <v>0</v>
      </c>
      <c r="S110" s="10">
        <f>Tabella8[[#This Row],[rest of Italy ]]*NOT(ISBLANK(Tabella8[[#This Row],[rest of Italy ]]))</f>
        <v>0</v>
      </c>
      <c r="T110" s="100">
        <f>Ko*_xlfn.LOGNORM.DIST(Tabella8[[#This Row],[Day]],mu_o,sigma_o,TRUE)</f>
        <v>16843.063662070683</v>
      </c>
      <c r="U110" s="26">
        <f>Tabella8[[#This Row],[rest of Italy fit]]*NOT(ISBLANK(Tabella8[[#This Row],[rest of Italy ]]))</f>
        <v>0</v>
      </c>
      <c r="Y110" s="77" t="s">
        <v>267</v>
      </c>
      <c r="Z110" s="137">
        <v>12213</v>
      </c>
      <c r="AW110" s="36"/>
      <c r="AX110" s="36"/>
      <c r="AZ110" s="97"/>
      <c r="BA110" s="97"/>
    </row>
    <row r="111" spans="2:374" x14ac:dyDescent="0.3">
      <c r="B111" s="9">
        <v>43988</v>
      </c>
      <c r="C111" s="4">
        <f t="shared" si="3"/>
        <v>104</v>
      </c>
      <c r="E111" s="10">
        <f>Tabella8[[#This Row],[Italy cumulative]]*NOT(ISBLANK(Tabella8[[#This Row],[Italy cumulative]]))</f>
        <v>0</v>
      </c>
      <c r="F111" s="10">
        <f>Tabella8[[#This Row],[Lombardy fit]]+Tabella8[[#This Row],[rest of Italy fit]]</f>
        <v>31734.673842497701</v>
      </c>
      <c r="G111" s="10">
        <f>Tabella8[[#This Row],[Italy sum of regions]]*NOT(ISBLANK(Tabella8[[#This Row],[Italy cumulative]]))</f>
        <v>0</v>
      </c>
      <c r="H111" s="154">
        <f>Kt*_xlfn.LOGNORM.DIST(Tabella8[[#This Row],[Day]],mu_t,sigma_t,TRUE)</f>
        <v>25952.087811824626</v>
      </c>
      <c r="I111" s="26">
        <f>Tabella8[[#This Row],[Italy fit]]*NOT(ISBLANK(Tabella8[[#This Row],[Italy cumulative]]))</f>
        <v>0</v>
      </c>
      <c r="L111" s="80"/>
      <c r="M111" s="10">
        <f>Tabella8[[#This Row],[Lombardy]]*NOT(ISBLANK(Tabella8[[#This Row],[Lombardy]]))</f>
        <v>0</v>
      </c>
      <c r="N111" s="99">
        <f>Kr*_xlfn.LOGNORM.DIST(Tabella8[[#This Row],[Day]],mu_r,sigma_r,TRUE)</f>
        <v>14860.334864574008</v>
      </c>
      <c r="O111" s="26">
        <f>Tabella8[[#This Row],[Lombardy fit]]*NOT(ISBLANK(Tabella8[[#This Row],[Lombardy]]))</f>
        <v>0</v>
      </c>
      <c r="S111" s="10">
        <f>Tabella8[[#This Row],[rest of Italy ]]*NOT(ISBLANK(Tabella8[[#This Row],[rest of Italy ]]))</f>
        <v>0</v>
      </c>
      <c r="T111" s="100">
        <f>Ko*_xlfn.LOGNORM.DIST(Tabella8[[#This Row],[Day]],mu_o,sigma_o,TRUE)</f>
        <v>16874.338977923693</v>
      </c>
      <c r="U111" s="26">
        <f>Tabella8[[#This Row],[rest of Italy fit]]*NOT(ISBLANK(Tabella8[[#This Row],[rest of Italy ]]))</f>
        <v>0</v>
      </c>
      <c r="Y111" s="77" t="s">
        <v>268</v>
      </c>
      <c r="Z111" s="137">
        <v>12376</v>
      </c>
      <c r="AW111" s="36"/>
      <c r="AX111" s="36"/>
      <c r="AZ111" s="97"/>
      <c r="BA111" s="97"/>
    </row>
    <row r="112" spans="2:374" x14ac:dyDescent="0.3">
      <c r="B112" s="9">
        <v>43989</v>
      </c>
      <c r="C112" s="4">
        <f t="shared" si="3"/>
        <v>105</v>
      </c>
      <c r="E112" s="10">
        <f>Tabella8[[#This Row],[Italy cumulative]]*NOT(ISBLANK(Tabella8[[#This Row],[Italy cumulative]]))</f>
        <v>0</v>
      </c>
      <c r="F112" s="10">
        <f>Tabella8[[#This Row],[Lombardy fit]]+Tabella8[[#This Row],[rest of Italy fit]]</f>
        <v>31772.6955136377</v>
      </c>
      <c r="G112" s="10">
        <f>Tabella8[[#This Row],[Italy sum of regions]]*NOT(ISBLANK(Tabella8[[#This Row],[Italy cumulative]]))</f>
        <v>0</v>
      </c>
      <c r="H112" s="154">
        <f>Kt*_xlfn.LOGNORM.DIST(Tabella8[[#This Row],[Day]],mu_t,sigma_t,TRUE)</f>
        <v>25956.099055963587</v>
      </c>
      <c r="I112" s="26">
        <f>Tabella8[[#This Row],[Italy fit]]*NOT(ISBLANK(Tabella8[[#This Row],[Italy cumulative]]))</f>
        <v>0</v>
      </c>
      <c r="L112" s="80"/>
      <c r="M112" s="10">
        <f>Tabella8[[#This Row],[Lombardy]]*NOT(ISBLANK(Tabella8[[#This Row],[Lombardy]]))</f>
        <v>0</v>
      </c>
      <c r="N112" s="99">
        <f>Kr*_xlfn.LOGNORM.DIST(Tabella8[[#This Row],[Day]],mu_r,sigma_r,TRUE)</f>
        <v>14868.566570685251</v>
      </c>
      <c r="O112" s="26">
        <f>Tabella8[[#This Row],[Lombardy fit]]*NOT(ISBLANK(Tabella8[[#This Row],[Lombardy]]))</f>
        <v>0</v>
      </c>
      <c r="S112" s="10">
        <f>Tabella8[[#This Row],[rest of Italy ]]*NOT(ISBLANK(Tabella8[[#This Row],[rest of Italy ]]))</f>
        <v>0</v>
      </c>
      <c r="T112" s="100">
        <f>Ko*_xlfn.LOGNORM.DIST(Tabella8[[#This Row],[Day]],mu_o,sigma_o,TRUE)</f>
        <v>16904.128942952451</v>
      </c>
      <c r="U112" s="26">
        <f>Tabella8[[#This Row],[rest of Italy fit]]*NOT(ISBLANK(Tabella8[[#This Row],[rest of Italy ]]))</f>
        <v>0</v>
      </c>
      <c r="Y112" s="77" t="s">
        <v>269</v>
      </c>
      <c r="Z112" s="137">
        <v>12579</v>
      </c>
      <c r="AW112" s="36"/>
      <c r="AX112" s="36"/>
      <c r="AZ112" s="97"/>
      <c r="BA112" s="97"/>
    </row>
    <row r="113" spans="2:53" x14ac:dyDescent="0.3">
      <c r="B113" s="9">
        <v>43990</v>
      </c>
      <c r="C113" s="4">
        <f t="shared" si="3"/>
        <v>106</v>
      </c>
      <c r="E113" s="10">
        <f>Tabella8[[#This Row],[Italy cumulative]]*NOT(ISBLANK(Tabella8[[#This Row],[Italy cumulative]]))</f>
        <v>0</v>
      </c>
      <c r="F113" s="10">
        <f>Tabella8[[#This Row],[Lombardy fit]]+Tabella8[[#This Row],[rest of Italy fit]]</f>
        <v>31808.801777469991</v>
      </c>
      <c r="G113" s="10">
        <f>Tabella8[[#This Row],[Italy sum of regions]]*NOT(ISBLANK(Tabella8[[#This Row],[Italy cumulative]]))</f>
        <v>0</v>
      </c>
      <c r="H113" s="154">
        <f>Kt*_xlfn.LOGNORM.DIST(Tabella8[[#This Row],[Day]],mu_t,sigma_t,TRUE)</f>
        <v>25959.768477521426</v>
      </c>
      <c r="I113" s="26">
        <f>Tabella8[[#This Row],[Italy fit]]*NOT(ISBLANK(Tabella8[[#This Row],[Italy cumulative]]))</f>
        <v>0</v>
      </c>
      <c r="L113" s="80"/>
      <c r="M113" s="10">
        <f>Tabella8[[#This Row],[Lombardy]]*NOT(ISBLANK(Tabella8[[#This Row],[Lombardy]]))</f>
        <v>0</v>
      </c>
      <c r="N113" s="99">
        <f>Kr*_xlfn.LOGNORM.DIST(Tabella8[[#This Row],[Day]],mu_r,sigma_r,TRUE)</f>
        <v>14876.29779728537</v>
      </c>
      <c r="O113" s="26">
        <f>Tabella8[[#This Row],[Lombardy fit]]*NOT(ISBLANK(Tabella8[[#This Row],[Lombardy]]))</f>
        <v>0</v>
      </c>
      <c r="S113" s="10">
        <f>Tabella8[[#This Row],[rest of Italy ]]*NOT(ISBLANK(Tabella8[[#This Row],[rest of Italy ]]))</f>
        <v>0</v>
      </c>
      <c r="T113" s="100">
        <f>Ko*_xlfn.LOGNORM.DIST(Tabella8[[#This Row],[Day]],mu_o,sigma_o,TRUE)</f>
        <v>16932.503980184621</v>
      </c>
      <c r="U113" s="26">
        <f>Tabella8[[#This Row],[rest of Italy fit]]*NOT(ISBLANK(Tabella8[[#This Row],[rest of Italy ]]))</f>
        <v>0</v>
      </c>
      <c r="Y113" s="77" t="s">
        <v>291</v>
      </c>
      <c r="Z113" s="81">
        <v>12740</v>
      </c>
      <c r="AW113" s="36"/>
      <c r="AX113" s="36"/>
      <c r="AZ113" s="97"/>
      <c r="BA113" s="97"/>
    </row>
    <row r="114" spans="2:53" x14ac:dyDescent="0.3">
      <c r="B114" s="9">
        <v>43991</v>
      </c>
      <c r="C114" s="4">
        <f t="shared" si="3"/>
        <v>107</v>
      </c>
      <c r="E114" s="10">
        <f>Tabella8[[#This Row],[Italy cumulative]]*NOT(ISBLANK(Tabella8[[#This Row],[Italy cumulative]]))</f>
        <v>0</v>
      </c>
      <c r="F114" s="10">
        <f>Tabella8[[#This Row],[Lombardy fit]]+Tabella8[[#This Row],[rest of Italy fit]]</f>
        <v>31843.090979425906</v>
      </c>
      <c r="G114" s="10">
        <f>Tabella8[[#This Row],[Italy sum of regions]]*NOT(ISBLANK(Tabella8[[#This Row],[Italy cumulative]]))</f>
        <v>0</v>
      </c>
      <c r="H114" s="154">
        <f>Kt*_xlfn.LOGNORM.DIST(Tabella8[[#This Row],[Day]],mu_t,sigma_t,TRUE)</f>
        <v>25963.125588558338</v>
      </c>
      <c r="I114" s="26">
        <f>Tabella8[[#This Row],[Italy fit]]*NOT(ISBLANK(Tabella8[[#This Row],[Italy cumulative]]))</f>
        <v>0</v>
      </c>
      <c r="L114" s="80"/>
      <c r="M114" s="10">
        <f>Tabella8[[#This Row],[Lombardy]]*NOT(ISBLANK(Tabella8[[#This Row],[Lombardy]]))</f>
        <v>0</v>
      </c>
      <c r="N114" s="99">
        <f>Kr*_xlfn.LOGNORM.DIST(Tabella8[[#This Row],[Day]],mu_r,sigma_r,TRUE)</f>
        <v>14883.55967906872</v>
      </c>
      <c r="O114" s="26">
        <f>Tabella8[[#This Row],[Lombardy fit]]*NOT(ISBLANK(Tabella8[[#This Row],[Lombardy]]))</f>
        <v>0</v>
      </c>
      <c r="S114" s="10">
        <f>Tabella8[[#This Row],[rest of Italy ]]*NOT(ISBLANK(Tabella8[[#This Row],[rest of Italy ]]))</f>
        <v>0</v>
      </c>
      <c r="T114" s="100">
        <f>Ko*_xlfn.LOGNORM.DIST(Tabella8[[#This Row],[Day]],mu_o,sigma_o,TRUE)</f>
        <v>16959.531300357186</v>
      </c>
      <c r="U114" s="26">
        <f>Tabella8[[#This Row],[rest of Italy fit]]*NOT(ISBLANK(Tabella8[[#This Row],[rest of Italy ]]))</f>
        <v>0</v>
      </c>
      <c r="Y114" s="77" t="s">
        <v>135</v>
      </c>
      <c r="Z114" s="13">
        <v>301519</v>
      </c>
      <c r="AW114" s="36"/>
      <c r="AX114" s="36"/>
      <c r="AZ114" s="97"/>
      <c r="BA114" s="97"/>
    </row>
    <row r="115" spans="2:53" x14ac:dyDescent="0.3">
      <c r="B115" s="9">
        <v>43992</v>
      </c>
      <c r="C115" s="4">
        <f t="shared" si="3"/>
        <v>108</v>
      </c>
      <c r="E115" s="10">
        <f>Tabella8[[#This Row],[Italy cumulative]]*NOT(ISBLANK(Tabella8[[#This Row],[Italy cumulative]]))</f>
        <v>0</v>
      </c>
      <c r="F115" s="10">
        <f>Tabella8[[#This Row],[Lombardy fit]]+Tabella8[[#This Row],[rest of Italy fit]]</f>
        <v>31875.656422210115</v>
      </c>
      <c r="G115" s="10">
        <f>Tabella8[[#This Row],[Italy sum of regions]]*NOT(ISBLANK(Tabella8[[#This Row],[Italy cumulative]]))</f>
        <v>0</v>
      </c>
      <c r="H115" s="154">
        <f>Kt*_xlfn.LOGNORM.DIST(Tabella8[[#This Row],[Day]],mu_t,sigma_t,TRUE)</f>
        <v>25966.197335226083</v>
      </c>
      <c r="I115" s="26">
        <f>Tabella8[[#This Row],[Italy fit]]*NOT(ISBLANK(Tabella8[[#This Row],[Italy cumulative]]))</f>
        <v>0</v>
      </c>
      <c r="L115" s="80"/>
      <c r="M115" s="10">
        <f>Tabella8[[#This Row],[Lombardy]]*NOT(ISBLANK(Tabella8[[#This Row],[Lombardy]]))</f>
        <v>0</v>
      </c>
      <c r="N115" s="99">
        <f>Kr*_xlfn.LOGNORM.DIST(Tabella8[[#This Row],[Day]],mu_r,sigma_r,TRUE)</f>
        <v>14890.381391100189</v>
      </c>
      <c r="O115" s="26">
        <f>Tabella8[[#This Row],[Lombardy fit]]*NOT(ISBLANK(Tabella8[[#This Row],[Lombardy]]))</f>
        <v>0</v>
      </c>
      <c r="S115" s="10">
        <f>Tabella8[[#This Row],[rest of Italy ]]*NOT(ISBLANK(Tabella8[[#This Row],[rest of Italy ]]))</f>
        <v>0</v>
      </c>
      <c r="T115" s="100">
        <f>Ko*_xlfn.LOGNORM.DIST(Tabella8[[#This Row],[Day]],mu_o,sigma_o,TRUE)</f>
        <v>16985.275031109926</v>
      </c>
      <c r="U115" s="26">
        <f>Tabella8[[#This Row],[rest of Italy fit]]*NOT(ISBLANK(Tabella8[[#This Row],[rest of Italy ]]))</f>
        <v>0</v>
      </c>
      <c r="AW115" s="36"/>
      <c r="AX115" s="36"/>
      <c r="AZ115" s="97"/>
      <c r="BA115" s="97"/>
    </row>
    <row r="116" spans="2:53" x14ac:dyDescent="0.3">
      <c r="B116" s="9">
        <v>43993</v>
      </c>
      <c r="C116" s="4">
        <f t="shared" si="3"/>
        <v>109</v>
      </c>
      <c r="E116" s="10">
        <f>Tabella8[[#This Row],[Italy cumulative]]*NOT(ISBLANK(Tabella8[[#This Row],[Italy cumulative]]))</f>
        <v>0</v>
      </c>
      <c r="F116" s="10">
        <f>Tabella8[[#This Row],[Lombardy fit]]+Tabella8[[#This Row],[rest of Italy fit]]</f>
        <v>31906.586614442618</v>
      </c>
      <c r="G116" s="10">
        <f>Tabella8[[#This Row],[Italy sum of regions]]*NOT(ISBLANK(Tabella8[[#This Row],[Italy cumulative]]))</f>
        <v>0</v>
      </c>
      <c r="H116" s="154">
        <f>Kt*_xlfn.LOGNORM.DIST(Tabella8[[#This Row],[Day]],mu_t,sigma_t,TRUE)</f>
        <v>25969.008320531579</v>
      </c>
      <c r="I116" s="26">
        <f>Tabella8[[#This Row],[Italy fit]]*NOT(ISBLANK(Tabella8[[#This Row],[Italy cumulative]]))</f>
        <v>0</v>
      </c>
      <c r="L116" s="80"/>
      <c r="M116" s="10">
        <f>Tabella8[[#This Row],[Lombardy]]*NOT(ISBLANK(Tabella8[[#This Row],[Lombardy]]))</f>
        <v>0</v>
      </c>
      <c r="N116" s="99">
        <f>Kr*_xlfn.LOGNORM.DIST(Tabella8[[#This Row],[Day]],mu_r,sigma_r,TRUE)</f>
        <v>14896.790271453332</v>
      </c>
      <c r="O116" s="26">
        <f>Tabella8[[#This Row],[Lombardy fit]]*NOT(ISBLANK(Tabella8[[#This Row],[Lombardy]]))</f>
        <v>0</v>
      </c>
      <c r="S116" s="10">
        <f>Tabella8[[#This Row],[rest of Italy ]]*NOT(ISBLANK(Tabella8[[#This Row],[rest of Italy ]]))</f>
        <v>0</v>
      </c>
      <c r="T116" s="100">
        <f>Ko*_xlfn.LOGNORM.DIST(Tabella8[[#This Row],[Day]],mu_o,sigma_o,TRUE)</f>
        <v>17009.796342989284</v>
      </c>
      <c r="U116" s="26">
        <f>Tabella8[[#This Row],[rest of Italy fit]]*NOT(ISBLANK(Tabella8[[#This Row],[rest of Italy ]]))</f>
        <v>0</v>
      </c>
      <c r="AW116" s="36"/>
      <c r="AX116" s="36"/>
      <c r="AZ116" s="97"/>
      <c r="BA116" s="97"/>
    </row>
    <row r="117" spans="2:53" x14ac:dyDescent="0.3">
      <c r="B117" s="9">
        <v>43994</v>
      </c>
      <c r="C117" s="4">
        <f t="shared" si="3"/>
        <v>110</v>
      </c>
      <c r="E117" s="10">
        <f>Tabella8[[#This Row],[Italy cumulative]]*NOT(ISBLANK(Tabella8[[#This Row],[Italy cumulative]]))</f>
        <v>0</v>
      </c>
      <c r="F117" s="10">
        <f>Tabella8[[#This Row],[Lombardy fit]]+Tabella8[[#This Row],[rest of Italy fit]]</f>
        <v>31935.96550854564</v>
      </c>
      <c r="G117" s="10">
        <f>Tabella8[[#This Row],[Italy sum of regions]]*NOT(ISBLANK(Tabella8[[#This Row],[Italy cumulative]]))</f>
        <v>0</v>
      </c>
      <c r="H117" s="154">
        <f>Kt*_xlfn.LOGNORM.DIST(Tabella8[[#This Row],[Day]],mu_t,sigma_t,TRUE)</f>
        <v>25971.581008036828</v>
      </c>
      <c r="I117" s="26">
        <f>Tabella8[[#This Row],[Italy fit]]*NOT(ISBLANK(Tabella8[[#This Row],[Italy cumulative]]))</f>
        <v>0</v>
      </c>
      <c r="L117" s="80"/>
      <c r="M117" s="10">
        <f>Tabella8[[#This Row],[Lombardy]]*NOT(ISBLANK(Tabella8[[#This Row],[Lombardy]]))</f>
        <v>0</v>
      </c>
      <c r="N117" s="99">
        <f>Kr*_xlfn.LOGNORM.DIST(Tabella8[[#This Row],[Day]],mu_r,sigma_r,TRUE)</f>
        <v>14902.811936451379</v>
      </c>
      <c r="O117" s="26">
        <f>Tabella8[[#This Row],[Lombardy fit]]*NOT(ISBLANK(Tabella8[[#This Row],[Lombardy]]))</f>
        <v>0</v>
      </c>
      <c r="S117" s="10">
        <f>Tabella8[[#This Row],[rest of Italy ]]*NOT(ISBLANK(Tabella8[[#This Row],[rest of Italy ]]))</f>
        <v>0</v>
      </c>
      <c r="T117" s="100">
        <f>Ko*_xlfn.LOGNORM.DIST(Tabella8[[#This Row],[Day]],mu_o,sigma_o,TRUE)</f>
        <v>17033.153572094263</v>
      </c>
      <c r="U117" s="26">
        <f>Tabella8[[#This Row],[rest of Italy fit]]*NOT(ISBLANK(Tabella8[[#This Row],[rest of Italy ]]))</f>
        <v>0</v>
      </c>
      <c r="AW117" s="36"/>
      <c r="AX117" s="36"/>
      <c r="AZ117" s="97"/>
      <c r="BA117" s="97"/>
    </row>
    <row r="118" spans="2:53" x14ac:dyDescent="0.3">
      <c r="B118" s="9">
        <v>43995</v>
      </c>
      <c r="C118" s="4">
        <f t="shared" si="3"/>
        <v>111</v>
      </c>
      <c r="E118" s="10">
        <f>Tabella8[[#This Row],[Italy cumulative]]*NOT(ISBLANK(Tabella8[[#This Row],[Italy cumulative]]))</f>
        <v>0</v>
      </c>
      <c r="F118" s="10">
        <f>Tabella8[[#This Row],[Lombardy fit]]+Tabella8[[#This Row],[rest of Italy fit]]</f>
        <v>31963.87272814734</v>
      </c>
      <c r="G118" s="10">
        <f>Tabella8[[#This Row],[Italy sum of regions]]*NOT(ISBLANK(Tabella8[[#This Row],[Italy cumulative]]))</f>
        <v>0</v>
      </c>
      <c r="H118" s="154">
        <f>Kt*_xlfn.LOGNORM.DIST(Tabella8[[#This Row],[Day]],mu_t,sigma_t,TRUE)</f>
        <v>25973.935908068263</v>
      </c>
      <c r="I118" s="26">
        <f>Tabella8[[#This Row],[Italy fit]]*NOT(ISBLANK(Tabella8[[#This Row],[Italy cumulative]]))</f>
        <v>0</v>
      </c>
      <c r="L118" s="80"/>
      <c r="M118" s="10">
        <f>Tabella8[[#This Row],[Lombardy]]*NOT(ISBLANK(Tabella8[[#This Row],[Lombardy]]))</f>
        <v>0</v>
      </c>
      <c r="N118" s="99">
        <f>Kr*_xlfn.LOGNORM.DIST(Tabella8[[#This Row],[Day]],mu_r,sigma_r,TRUE)</f>
        <v>14908.470388911899</v>
      </c>
      <c r="O118" s="26">
        <f>Tabella8[[#This Row],[Lombardy fit]]*NOT(ISBLANK(Tabella8[[#This Row],[Lombardy]]))</f>
        <v>0</v>
      </c>
      <c r="S118" s="10">
        <f>Tabella8[[#This Row],[rest of Italy ]]*NOT(ISBLANK(Tabella8[[#This Row],[rest of Italy ]]))</f>
        <v>0</v>
      </c>
      <c r="T118" s="100">
        <f>Ko*_xlfn.LOGNORM.DIST(Tabella8[[#This Row],[Day]],mu_o,sigma_o,TRUE)</f>
        <v>17055.402339235443</v>
      </c>
      <c r="U118" s="26">
        <f>Tabella8[[#This Row],[rest of Italy fit]]*NOT(ISBLANK(Tabella8[[#This Row],[rest of Italy ]]))</f>
        <v>0</v>
      </c>
      <c r="AW118" s="36"/>
      <c r="AX118" s="36"/>
      <c r="AZ118" s="97"/>
      <c r="BA118" s="97"/>
    </row>
    <row r="119" spans="2:53" x14ac:dyDescent="0.3">
      <c r="B119" s="9">
        <v>43996</v>
      </c>
      <c r="C119" s="4">
        <f t="shared" si="3"/>
        <v>112</v>
      </c>
      <c r="E119" s="10">
        <f>Tabella8[[#This Row],[Italy cumulative]]*NOT(ISBLANK(Tabella8[[#This Row],[Italy cumulative]]))</f>
        <v>0</v>
      </c>
      <c r="F119" s="10">
        <f>Tabella8[[#This Row],[Lombardy fit]]+Tabella8[[#This Row],[rest of Italy fit]]</f>
        <v>31990.383785294234</v>
      </c>
      <c r="G119" s="10">
        <f>Tabella8[[#This Row],[Italy sum of regions]]*NOT(ISBLANK(Tabella8[[#This Row],[Italy cumulative]]))</f>
        <v>0</v>
      </c>
      <c r="H119" s="154">
        <f>Kt*_xlfn.LOGNORM.DIST(Tabella8[[#This Row],[Day]],mu_t,sigma_t,TRUE)</f>
        <v>25976.091747888935</v>
      </c>
      <c r="I119" s="26">
        <f>Tabella8[[#This Row],[Italy fit]]*NOT(ISBLANK(Tabella8[[#This Row],[Italy cumulative]]))</f>
        <v>0</v>
      </c>
      <c r="L119" s="80"/>
      <c r="M119" s="10">
        <f>Tabella8[[#This Row],[Lombardy]]*NOT(ISBLANK(Tabella8[[#This Row],[Lombardy]]))</f>
        <v>0</v>
      </c>
      <c r="N119" s="99">
        <f>Kr*_xlfn.LOGNORM.DIST(Tabella8[[#This Row],[Day]],mu_r,sigma_r,TRUE)</f>
        <v>14913.788119780729</v>
      </c>
      <c r="O119" s="26">
        <f>Tabella8[[#This Row],[Lombardy fit]]*NOT(ISBLANK(Tabella8[[#This Row],[Lombardy]]))</f>
        <v>0</v>
      </c>
      <c r="S119" s="10">
        <f>Tabella8[[#This Row],[rest of Italy ]]*NOT(ISBLANK(Tabella8[[#This Row],[rest of Italy ]]))</f>
        <v>0</v>
      </c>
      <c r="T119" s="100">
        <f>Ko*_xlfn.LOGNORM.DIST(Tabella8[[#This Row],[Day]],mu_o,sigma_o,TRUE)</f>
        <v>17076.595665513505</v>
      </c>
      <c r="U119" s="26">
        <f>Tabella8[[#This Row],[rest of Italy fit]]*NOT(ISBLANK(Tabella8[[#This Row],[rest of Italy ]]))</f>
        <v>0</v>
      </c>
      <c r="AW119" s="36"/>
      <c r="AX119" s="36"/>
      <c r="AZ119" s="97"/>
      <c r="BA119" s="97"/>
    </row>
    <row r="120" spans="2:53" x14ac:dyDescent="0.3">
      <c r="B120" s="9">
        <v>43997</v>
      </c>
      <c r="C120" s="4">
        <f t="shared" si="3"/>
        <v>113</v>
      </c>
      <c r="E120" s="10">
        <f>Tabella8[[#This Row],[Italy cumulative]]*NOT(ISBLANK(Tabella8[[#This Row],[Italy cumulative]]))</f>
        <v>0</v>
      </c>
      <c r="F120" s="10">
        <f>Tabella8[[#This Row],[Lombardy fit]]+Tabella8[[#This Row],[rest of Italy fit]]</f>
        <v>32015.570287779217</v>
      </c>
      <c r="G120" s="10">
        <f>Tabella8[[#This Row],[Italy sum of regions]]*NOT(ISBLANK(Tabella8[[#This Row],[Italy cumulative]]))</f>
        <v>0</v>
      </c>
      <c r="H120" s="154">
        <f>Kt*_xlfn.LOGNORM.DIST(Tabella8[[#This Row],[Day]],mu_t,sigma_t,TRUE)</f>
        <v>25978.065627174688</v>
      </c>
      <c r="I120" s="26">
        <f>Tabella8[[#This Row],[Italy fit]]*NOT(ISBLANK(Tabella8[[#This Row],[Italy cumulative]]))</f>
        <v>0</v>
      </c>
      <c r="L120" s="80"/>
      <c r="M120" s="10">
        <f>Tabella8[[#This Row],[Lombardy]]*NOT(ISBLANK(Tabella8[[#This Row],[Lombardy]]))</f>
        <v>0</v>
      </c>
      <c r="N120" s="99">
        <f>Kr*_xlfn.LOGNORM.DIST(Tabella8[[#This Row],[Day]],mu_r,sigma_r,TRUE)</f>
        <v>14918.7862035252</v>
      </c>
      <c r="O120" s="26">
        <f>Tabella8[[#This Row],[Lombardy fit]]*NOT(ISBLANK(Tabella8[[#This Row],[Lombardy]]))</f>
        <v>0</v>
      </c>
      <c r="S120" s="10">
        <f>Tabella8[[#This Row],[rest of Italy ]]*NOT(ISBLANK(Tabella8[[#This Row],[rest of Italy ]]))</f>
        <v>0</v>
      </c>
      <c r="T120" s="100">
        <f>Ko*_xlfn.LOGNORM.DIST(Tabella8[[#This Row],[Day]],mu_o,sigma_o,TRUE)</f>
        <v>17096.784084254017</v>
      </c>
      <c r="U120" s="26">
        <f>Tabella8[[#This Row],[rest of Italy fit]]*NOT(ISBLANK(Tabella8[[#This Row],[rest of Italy ]]))</f>
        <v>0</v>
      </c>
      <c r="AW120" s="36"/>
      <c r="AX120" s="36"/>
      <c r="AZ120" s="97"/>
      <c r="BA120" s="97"/>
    </row>
    <row r="121" spans="2:53" x14ac:dyDescent="0.3">
      <c r="B121" s="9">
        <v>43998</v>
      </c>
      <c r="C121" s="4">
        <f t="shared" si="3"/>
        <v>114</v>
      </c>
      <c r="E121" s="10">
        <f>Tabella8[[#This Row],[Italy cumulative]]*NOT(ISBLANK(Tabella8[[#This Row],[Italy cumulative]]))</f>
        <v>0</v>
      </c>
      <c r="F121" s="10">
        <f>Tabella8[[#This Row],[Lombardy fit]]+Tabella8[[#This Row],[rest of Italy fit]]</f>
        <v>32039.500136902992</v>
      </c>
      <c r="G121" s="10">
        <f>Tabella8[[#This Row],[Italy sum of regions]]*NOT(ISBLANK(Tabella8[[#This Row],[Italy cumulative]]))</f>
        <v>0</v>
      </c>
      <c r="H121" s="154">
        <f>Kt*_xlfn.LOGNORM.DIST(Tabella8[[#This Row],[Day]],mu_t,sigma_t,TRUE)</f>
        <v>25979.873160030442</v>
      </c>
      <c r="I121" s="26">
        <f>Tabella8[[#This Row],[Italy fit]]*NOT(ISBLANK(Tabella8[[#This Row],[Italy cumulative]]))</f>
        <v>0</v>
      </c>
      <c r="L121" s="80"/>
      <c r="M121" s="10">
        <f>Tabella8[[#This Row],[Lombardy]]*NOT(ISBLANK(Tabella8[[#This Row],[Lombardy]]))</f>
        <v>0</v>
      </c>
      <c r="N121" s="99">
        <f>Kr*_xlfn.LOGNORM.DIST(Tabella8[[#This Row],[Day]],mu_r,sigma_r,TRUE)</f>
        <v>14923.484387640894</v>
      </c>
      <c r="O121" s="26">
        <f>Tabella8[[#This Row],[Lombardy fit]]*NOT(ISBLANK(Tabella8[[#This Row],[Lombardy]]))</f>
        <v>0</v>
      </c>
      <c r="S121" s="10">
        <f>Tabella8[[#This Row],[rest of Italy ]]*NOT(ISBLANK(Tabella8[[#This Row],[rest of Italy ]]))</f>
        <v>0</v>
      </c>
      <c r="T121" s="100">
        <f>Ko*_xlfn.LOGNORM.DIST(Tabella8[[#This Row],[Day]],mu_o,sigma_o,TRUE)</f>
        <v>17116.0157492621</v>
      </c>
      <c r="U121" s="26">
        <f>Tabella8[[#This Row],[rest of Italy fit]]*NOT(ISBLANK(Tabella8[[#This Row],[rest of Italy ]]))</f>
        <v>0</v>
      </c>
      <c r="AW121" s="36"/>
      <c r="AX121" s="36"/>
      <c r="AZ121" s="97"/>
      <c r="BA121" s="97"/>
    </row>
    <row r="122" spans="2:53" x14ac:dyDescent="0.3">
      <c r="B122" s="9">
        <v>43999</v>
      </c>
      <c r="C122" s="4">
        <f t="shared" si="3"/>
        <v>115</v>
      </c>
      <c r="E122" s="10">
        <f>Tabella8[[#This Row],[Italy cumulative]]*NOT(ISBLANK(Tabella8[[#This Row],[Italy cumulative]]))</f>
        <v>0</v>
      </c>
      <c r="F122" s="10">
        <f>Tabella8[[#This Row],[Lombardy fit]]+Tabella8[[#This Row],[rest of Italy fit]]</f>
        <v>32062.237715993979</v>
      </c>
      <c r="G122" s="10">
        <f>Tabella8[[#This Row],[Italy sum of regions]]*NOT(ISBLANK(Tabella8[[#This Row],[Italy cumulative]]))</f>
        <v>0</v>
      </c>
      <c r="H122" s="154">
        <f>Kt*_xlfn.LOGNORM.DIST(Tabella8[[#This Row],[Day]],mu_t,sigma_t,TRUE)</f>
        <v>25981.528604684747</v>
      </c>
      <c r="I122" s="26">
        <f>Tabella8[[#This Row],[Italy fit]]*NOT(ISBLANK(Tabella8[[#This Row],[Italy cumulative]]))</f>
        <v>0</v>
      </c>
      <c r="L122" s="80"/>
      <c r="M122" s="10">
        <f>Tabella8[[#This Row],[Lombardy]]*NOT(ISBLANK(Tabella8[[#This Row],[Lombardy]]))</f>
        <v>0</v>
      </c>
      <c r="N122" s="99">
        <f>Kr*_xlfn.LOGNORM.DIST(Tabella8[[#This Row],[Day]],mu_r,sigma_r,TRUE)</f>
        <v>14927.901176610219</v>
      </c>
      <c r="O122" s="26">
        <f>Tabella8[[#This Row],[Lombardy fit]]*NOT(ISBLANK(Tabella8[[#This Row],[Lombardy]]))</f>
        <v>0</v>
      </c>
      <c r="S122" s="10">
        <f>Tabella8[[#This Row],[rest of Italy ]]*NOT(ISBLANK(Tabella8[[#This Row],[rest of Italy ]]))</f>
        <v>0</v>
      </c>
      <c r="T122" s="100">
        <f>Ko*_xlfn.LOGNORM.DIST(Tabella8[[#This Row],[Day]],mu_o,sigma_o,TRUE)</f>
        <v>17134.336539383759</v>
      </c>
      <c r="U122" s="26">
        <f>Tabella8[[#This Row],[rest of Italy fit]]*NOT(ISBLANK(Tabella8[[#This Row],[rest of Italy ]]))</f>
        <v>0</v>
      </c>
      <c r="AW122" s="36"/>
      <c r="AX122" s="36"/>
      <c r="AZ122" s="97"/>
      <c r="BA122" s="97"/>
    </row>
    <row r="123" spans="2:53" x14ac:dyDescent="0.3">
      <c r="B123" s="9">
        <v>44000</v>
      </c>
      <c r="C123" s="4">
        <f t="shared" si="3"/>
        <v>116</v>
      </c>
      <c r="E123" s="10">
        <f>Tabella8[[#This Row],[Italy cumulative]]*NOT(ISBLANK(Tabella8[[#This Row],[Italy cumulative]]))</f>
        <v>0</v>
      </c>
      <c r="F123" s="10">
        <f>Tabella8[[#This Row],[Lombardy fit]]+Tabella8[[#This Row],[rest of Italy fit]]</f>
        <v>32083.84407001613</v>
      </c>
      <c r="G123" s="10">
        <f>Tabella8[[#This Row],[Italy sum of regions]]*NOT(ISBLANK(Tabella8[[#This Row],[Italy cumulative]]))</f>
        <v>0</v>
      </c>
      <c r="H123" s="154">
        <f>Kt*_xlfn.LOGNORM.DIST(Tabella8[[#This Row],[Day]],mu_t,sigma_t,TRUE)</f>
        <v>25983.044981909541</v>
      </c>
      <c r="I123" s="26">
        <f>Tabella8[[#This Row],[Italy fit]]*NOT(ISBLANK(Tabella8[[#This Row],[Italy cumulative]]))</f>
        <v>0</v>
      </c>
      <c r="L123" s="80"/>
      <c r="M123" s="10">
        <f>Tabella8[[#This Row],[Lombardy]]*NOT(ISBLANK(Tabella8[[#This Row],[Lombardy]]))</f>
        <v>0</v>
      </c>
      <c r="N123" s="99">
        <f>Kr*_xlfn.LOGNORM.DIST(Tabella8[[#This Row],[Day]],mu_r,sigma_r,TRUE)</f>
        <v>14932.053910635439</v>
      </c>
      <c r="O123" s="26">
        <f>Tabella8[[#This Row],[Lombardy fit]]*NOT(ISBLANK(Tabella8[[#This Row],[Lombardy]]))</f>
        <v>0</v>
      </c>
      <c r="S123" s="10">
        <f>Tabella8[[#This Row],[rest of Italy ]]*NOT(ISBLANK(Tabella8[[#This Row],[rest of Italy ]]))</f>
        <v>0</v>
      </c>
      <c r="T123" s="100">
        <f>Ko*_xlfn.LOGNORM.DIST(Tabella8[[#This Row],[Day]],mu_o,sigma_o,TRUE)</f>
        <v>17151.790159380693</v>
      </c>
      <c r="U123" s="26">
        <f>Tabella8[[#This Row],[rest of Italy fit]]*NOT(ISBLANK(Tabella8[[#This Row],[rest of Italy ]]))</f>
        <v>0</v>
      </c>
      <c r="AW123" s="36"/>
      <c r="AX123" s="36"/>
      <c r="AZ123" s="97"/>
      <c r="BA123" s="97"/>
    </row>
    <row r="124" spans="2:53" x14ac:dyDescent="0.3">
      <c r="B124" s="9">
        <v>44001</v>
      </c>
      <c r="C124" s="4">
        <f t="shared" si="3"/>
        <v>117</v>
      </c>
      <c r="E124" s="10">
        <f>Tabella8[[#This Row],[Italy cumulative]]*NOT(ISBLANK(Tabella8[[#This Row],[Italy cumulative]]))</f>
        <v>0</v>
      </c>
      <c r="F124" s="10">
        <f>Tabella8[[#This Row],[Lombardy fit]]+Tabella8[[#This Row],[rest of Italy fit]]</f>
        <v>32104.377076595625</v>
      </c>
      <c r="G124" s="10">
        <f>Tabella8[[#This Row],[Italy sum of regions]]*NOT(ISBLANK(Tabella8[[#This Row],[Italy cumulative]]))</f>
        <v>0</v>
      </c>
      <c r="H124" s="154">
        <f>Kt*_xlfn.LOGNORM.DIST(Tabella8[[#This Row],[Day]],mu_t,sigma_t,TRUE)</f>
        <v>25984.43418312732</v>
      </c>
      <c r="I124" s="26">
        <f>Tabella8[[#This Row],[Italy fit]]*NOT(ISBLANK(Tabella8[[#This Row],[Italy cumulative]]))</f>
        <v>0</v>
      </c>
      <c r="L124" s="80"/>
      <c r="M124" s="10">
        <f>Tabella8[[#This Row],[Lombardy]]*NOT(ISBLANK(Tabella8[[#This Row],[Lombardy]]))</f>
        <v>0</v>
      </c>
      <c r="N124" s="99">
        <f>Kr*_xlfn.LOGNORM.DIST(Tabella8[[#This Row],[Day]],mu_r,sigma_r,TRUE)</f>
        <v>14935.958839453066</v>
      </c>
      <c r="O124" s="26">
        <f>Tabella8[[#This Row],[Lombardy fit]]*NOT(ISBLANK(Tabella8[[#This Row],[Lombardy]]))</f>
        <v>0</v>
      </c>
      <c r="S124" s="10">
        <f>Tabella8[[#This Row],[rest of Italy ]]*NOT(ISBLANK(Tabella8[[#This Row],[rest of Italy ]]))</f>
        <v>0</v>
      </c>
      <c r="T124" s="100">
        <f>Ko*_xlfn.LOGNORM.DIST(Tabella8[[#This Row],[Day]],mu_o,sigma_o,TRUE)</f>
        <v>17168.41823714256</v>
      </c>
      <c r="U124" s="26">
        <f>Tabella8[[#This Row],[rest of Italy fit]]*NOT(ISBLANK(Tabella8[[#This Row],[rest of Italy ]]))</f>
        <v>0</v>
      </c>
      <c r="AW124" s="36"/>
      <c r="AX124" s="36"/>
      <c r="AZ124" s="97"/>
      <c r="BA124" s="97"/>
    </row>
    <row r="125" spans="2:53" x14ac:dyDescent="0.3">
      <c r="B125" s="9">
        <v>44002</v>
      </c>
      <c r="C125" s="4">
        <f t="shared" si="3"/>
        <v>118</v>
      </c>
      <c r="E125" s="10">
        <f>Tabella8[[#This Row],[Italy cumulative]]*NOT(ISBLANK(Tabella8[[#This Row],[Italy cumulative]]))</f>
        <v>0</v>
      </c>
      <c r="F125" s="10">
        <f>Tabella8[[#This Row],[Lombardy fit]]+Tabella8[[#This Row],[rest of Italy fit]]</f>
        <v>32123.891608796963</v>
      </c>
      <c r="G125" s="10">
        <f>Tabella8[[#This Row],[Italy sum of regions]]*NOT(ISBLANK(Tabella8[[#This Row],[Italy cumulative]]))</f>
        <v>0</v>
      </c>
      <c r="H125" s="154">
        <f>Kt*_xlfn.LOGNORM.DIST(Tabella8[[#This Row],[Day]],mu_t,sigma_t,TRUE)</f>
        <v>25985.707069089291</v>
      </c>
      <c r="I125" s="26">
        <f>Tabella8[[#This Row],[Italy fit]]*NOT(ISBLANK(Tabella8[[#This Row],[Italy cumulative]]))</f>
        <v>0</v>
      </c>
      <c r="L125" s="80"/>
      <c r="M125" s="10">
        <f>Tabella8[[#This Row],[Lombardy]]*NOT(ISBLANK(Tabella8[[#This Row],[Lombardy]]))</f>
        <v>0</v>
      </c>
      <c r="N125" s="99">
        <f>Kr*_xlfn.LOGNORM.DIST(Tabella8[[#This Row],[Day]],mu_r,sigma_r,TRUE)</f>
        <v>14939.631191521388</v>
      </c>
      <c r="O125" s="26">
        <f>Tabella8[[#This Row],[Lombardy fit]]*NOT(ISBLANK(Tabella8[[#This Row],[Lombardy]]))</f>
        <v>0</v>
      </c>
      <c r="S125" s="10">
        <f>Tabella8[[#This Row],[rest of Italy ]]*NOT(ISBLANK(Tabella8[[#This Row],[rest of Italy ]]))</f>
        <v>0</v>
      </c>
      <c r="T125" s="100">
        <f>Ko*_xlfn.LOGNORM.DIST(Tabella8[[#This Row],[Day]],mu_o,sigma_o,TRUE)</f>
        <v>17184.260417275575</v>
      </c>
      <c r="U125" s="26">
        <f>Tabella8[[#This Row],[rest of Italy fit]]*NOT(ISBLANK(Tabella8[[#This Row],[rest of Italy ]]))</f>
        <v>0</v>
      </c>
      <c r="AW125" s="36"/>
      <c r="AX125" s="36"/>
      <c r="AZ125" s="97"/>
      <c r="BA125" s="97"/>
    </row>
    <row r="126" spans="2:53" x14ac:dyDescent="0.3">
      <c r="B126" s="9">
        <v>44003</v>
      </c>
      <c r="C126" s="4">
        <f t="shared" si="3"/>
        <v>119</v>
      </c>
      <c r="E126" s="10">
        <f>Tabella8[[#This Row],[Italy cumulative]]*NOT(ISBLANK(Tabella8[[#This Row],[Italy cumulative]]))</f>
        <v>0</v>
      </c>
      <c r="F126" s="10">
        <f>Tabella8[[#This Row],[Lombardy fit]]+Tabella8[[#This Row],[rest of Italy fit]]</f>
        <v>32142.439689976352</v>
      </c>
      <c r="G126" s="10">
        <f>Tabella8[[#This Row],[Italy sum of regions]]*NOT(ISBLANK(Tabella8[[#This Row],[Italy cumulative]]))</f>
        <v>0</v>
      </c>
      <c r="H126" s="154">
        <f>Kt*_xlfn.LOGNORM.DIST(Tabella8[[#This Row],[Day]],mu_t,sigma_t,TRUE)</f>
        <v>25986.873559935331</v>
      </c>
      <c r="I126" s="26">
        <f>Tabella8[[#This Row],[Italy fit]]*NOT(ISBLANK(Tabella8[[#This Row],[Italy cumulative]]))</f>
        <v>0</v>
      </c>
      <c r="L126" s="80"/>
      <c r="M126" s="10">
        <f>Tabella8[[#This Row],[Lombardy]]*NOT(ISBLANK(Tabella8[[#This Row],[Lombardy]]))</f>
        <v>0</v>
      </c>
      <c r="N126" s="99">
        <f>Kr*_xlfn.LOGNORM.DIST(Tabella8[[#This Row],[Day]],mu_r,sigma_r,TRUE)</f>
        <v>14943.085238857819</v>
      </c>
      <c r="O126" s="26">
        <f>Tabella8[[#This Row],[Lombardy fit]]*NOT(ISBLANK(Tabella8[[#This Row],[Lombardy]]))</f>
        <v>0</v>
      </c>
      <c r="S126" s="10">
        <f>Tabella8[[#This Row],[rest of Italy ]]*NOT(ISBLANK(Tabella8[[#This Row],[rest of Italy ]]))</f>
        <v>0</v>
      </c>
      <c r="T126" s="100">
        <f>Ko*_xlfn.LOGNORM.DIST(Tabella8[[#This Row],[Day]],mu_o,sigma_o,TRUE)</f>
        <v>17199.354451118532</v>
      </c>
      <c r="U126" s="26">
        <f>Tabella8[[#This Row],[rest of Italy fit]]*NOT(ISBLANK(Tabella8[[#This Row],[rest of Italy ]]))</f>
        <v>0</v>
      </c>
      <c r="AW126" s="36"/>
      <c r="AX126" s="36"/>
      <c r="AZ126" s="97"/>
      <c r="BA126" s="97"/>
    </row>
    <row r="127" spans="2:53" x14ac:dyDescent="0.3">
      <c r="B127" s="9">
        <v>44004</v>
      </c>
      <c r="C127" s="4">
        <f t="shared" si="3"/>
        <v>120</v>
      </c>
      <c r="E127" s="10">
        <f>Tabella8[[#This Row],[Italy cumulative]]*NOT(ISBLANK(Tabella8[[#This Row],[Italy cumulative]]))</f>
        <v>0</v>
      </c>
      <c r="F127" s="10">
        <f>Tabella8[[#This Row],[Lombardy fit]]+Tabella8[[#This Row],[rest of Italy fit]]</f>
        <v>32160.070641036466</v>
      </c>
      <c r="G127" s="10">
        <f>Tabella8[[#This Row],[Italy sum of regions]]*NOT(ISBLANK(Tabella8[[#This Row],[Italy cumulative]]))</f>
        <v>0</v>
      </c>
      <c r="H127" s="154">
        <f>Kt*_xlfn.LOGNORM.DIST(Tabella8[[#This Row],[Day]],mu_t,sigma_t,TRUE)</f>
        <v>25987.942717379297</v>
      </c>
      <c r="I127" s="26">
        <f>Tabella8[[#This Row],[Italy fit]]*NOT(ISBLANK(Tabella8[[#This Row],[Italy cumulative]]))</f>
        <v>0</v>
      </c>
      <c r="L127" s="80"/>
      <c r="M127" s="10">
        <f>Tabella8[[#This Row],[Lombardy]]*NOT(ISBLANK(Tabella8[[#This Row],[Lombardy]]))</f>
        <v>0</v>
      </c>
      <c r="N127" s="99">
        <f>Kr*_xlfn.LOGNORM.DIST(Tabella8[[#This Row],[Day]],mu_r,sigma_r,TRUE)</f>
        <v>14946.334357788395</v>
      </c>
      <c r="O127" s="26">
        <f>Tabella8[[#This Row],[Lombardy fit]]*NOT(ISBLANK(Tabella8[[#This Row],[Lombardy]]))</f>
        <v>0</v>
      </c>
      <c r="S127" s="10">
        <f>Tabella8[[#This Row],[rest of Italy ]]*NOT(ISBLANK(Tabella8[[#This Row],[rest of Italy ]]))</f>
        <v>0</v>
      </c>
      <c r="T127" s="100">
        <f>Ko*_xlfn.LOGNORM.DIST(Tabella8[[#This Row],[Day]],mu_o,sigma_o,TRUE)</f>
        <v>17213.736283248072</v>
      </c>
      <c r="U127" s="26">
        <f>Tabella8[[#This Row],[rest of Italy fit]]*NOT(ISBLANK(Tabella8[[#This Row],[rest of Italy ]]))</f>
        <v>0</v>
      </c>
      <c r="AW127" s="36"/>
      <c r="AX127" s="36"/>
      <c r="AZ127" s="97"/>
      <c r="BA127" s="97"/>
    </row>
    <row r="128" spans="2:53" x14ac:dyDescent="0.3">
      <c r="B128" s="9">
        <v>44005</v>
      </c>
      <c r="C128" s="4">
        <f t="shared" si="3"/>
        <v>121</v>
      </c>
      <c r="E128" s="10">
        <f>Tabella8[[#This Row],[Italy cumulative]]*NOT(ISBLANK(Tabella8[[#This Row],[Italy cumulative]]))</f>
        <v>0</v>
      </c>
      <c r="F128" s="10">
        <f>Tabella8[[#This Row],[Lombardy fit]]+Tabella8[[#This Row],[rest of Italy fit]]</f>
        <v>32176.831220401098</v>
      </c>
      <c r="G128" s="10">
        <f>Tabella8[[#This Row],[Italy sum of regions]]*NOT(ISBLANK(Tabella8[[#This Row],[Italy cumulative]]))</f>
        <v>0</v>
      </c>
      <c r="H128" s="154">
        <f>Kt*_xlfn.LOGNORM.DIST(Tabella8[[#This Row],[Day]],mu_t,sigma_t,TRUE)</f>
        <v>25988.922819701056</v>
      </c>
      <c r="I128" s="26">
        <f>Tabella8[[#This Row],[Italy fit]]*NOT(ISBLANK(Tabella8[[#This Row],[Italy cumulative]]))</f>
        <v>0</v>
      </c>
      <c r="L128" s="80"/>
      <c r="M128" s="10">
        <f>Tabella8[[#This Row],[Lombardy]]*NOT(ISBLANK(Tabella8[[#This Row],[Lombardy]]))</f>
        <v>0</v>
      </c>
      <c r="N128" s="99">
        <f>Kr*_xlfn.LOGNORM.DIST(Tabella8[[#This Row],[Day]],mu_r,sigma_r,TRUE)</f>
        <v>14949.39108585762</v>
      </c>
      <c r="O128" s="26">
        <f>Tabella8[[#This Row],[Lombardy fit]]*NOT(ISBLANK(Tabella8[[#This Row],[Lombardy]]))</f>
        <v>0</v>
      </c>
      <c r="S128" s="10">
        <f>Tabella8[[#This Row],[rest of Italy ]]*NOT(ISBLANK(Tabella8[[#This Row],[rest of Italy ]]))</f>
        <v>0</v>
      </c>
      <c r="T128" s="100">
        <f>Ko*_xlfn.LOGNORM.DIST(Tabella8[[#This Row],[Day]],mu_o,sigma_o,TRUE)</f>
        <v>17227.440134543478</v>
      </c>
      <c r="U128" s="26">
        <f>Tabella8[[#This Row],[rest of Italy fit]]*NOT(ISBLANK(Tabella8[[#This Row],[rest of Italy ]]))</f>
        <v>0</v>
      </c>
      <c r="AW128" s="36"/>
      <c r="AX128" s="36"/>
      <c r="AZ128" s="97"/>
      <c r="BA128" s="97"/>
    </row>
    <row r="129" spans="2:53" x14ac:dyDescent="0.3">
      <c r="B129" s="9">
        <v>44006</v>
      </c>
      <c r="C129" s="4">
        <f t="shared" si="3"/>
        <v>122</v>
      </c>
      <c r="E129" s="10">
        <f>Tabella8[[#This Row],[Italy cumulative]]*NOT(ISBLANK(Tabella8[[#This Row],[Italy cumulative]]))</f>
        <v>0</v>
      </c>
      <c r="F129" s="10">
        <f>Tabella8[[#This Row],[Lombardy fit]]+Tabella8[[#This Row],[rest of Italy fit]]</f>
        <v>32192.765757021945</v>
      </c>
      <c r="G129" s="10">
        <f>Tabella8[[#This Row],[Italy sum of regions]]*NOT(ISBLANK(Tabella8[[#This Row],[Italy cumulative]]))</f>
        <v>0</v>
      </c>
      <c r="H129" s="154">
        <f>Kt*_xlfn.LOGNORM.DIST(Tabella8[[#This Row],[Day]],mu_t,sigma_t,TRUE)</f>
        <v>25989.821430169381</v>
      </c>
      <c r="I129" s="26">
        <f>Tabella8[[#This Row],[Italy fit]]*NOT(ISBLANK(Tabella8[[#This Row],[Italy cumulative]]))</f>
        <v>0</v>
      </c>
      <c r="L129" s="80"/>
      <c r="M129" s="10">
        <f>Tabella8[[#This Row],[Lombardy]]*NOT(ISBLANK(Tabella8[[#This Row],[Lombardy]]))</f>
        <v>0</v>
      </c>
      <c r="N129" s="99">
        <f>Kr*_xlfn.LOGNORM.DIST(Tabella8[[#This Row],[Day]],mu_r,sigma_r,TRUE)</f>
        <v>14952.267175133333</v>
      </c>
      <c r="O129" s="26">
        <f>Tabella8[[#This Row],[Lombardy fit]]*NOT(ISBLANK(Tabella8[[#This Row],[Lombardy]]))</f>
        <v>0</v>
      </c>
      <c r="S129" s="10">
        <f>Tabella8[[#This Row],[rest of Italy ]]*NOT(ISBLANK(Tabella8[[#This Row],[rest of Italy ]]))</f>
        <v>0</v>
      </c>
      <c r="T129" s="100">
        <f>Ko*_xlfn.LOGNORM.DIST(Tabella8[[#This Row],[Day]],mu_o,sigma_o,TRUE)</f>
        <v>17240.498581888613</v>
      </c>
      <c r="U129" s="26">
        <f>Tabella8[[#This Row],[rest of Italy fit]]*NOT(ISBLANK(Tabella8[[#This Row],[rest of Italy ]]))</f>
        <v>0</v>
      </c>
      <c r="AW129" s="36"/>
      <c r="AX129" s="36"/>
      <c r="AZ129" s="97"/>
      <c r="BA129" s="97"/>
    </row>
    <row r="130" spans="2:53" x14ac:dyDescent="0.3">
      <c r="B130" s="9">
        <v>44007</v>
      </c>
      <c r="C130" s="4">
        <f t="shared" si="3"/>
        <v>123</v>
      </c>
      <c r="E130" s="10">
        <f>Tabella8[[#This Row],[Italy cumulative]]*NOT(ISBLANK(Tabella8[[#This Row],[Italy cumulative]]))</f>
        <v>0</v>
      </c>
      <c r="F130" s="10">
        <f>Tabella8[[#This Row],[Lombardy fit]]+Tabella8[[#This Row],[rest of Italy fit]]</f>
        <v>32207.916276722484</v>
      </c>
      <c r="G130" s="10">
        <f>Tabella8[[#This Row],[Italy sum of regions]]*NOT(ISBLANK(Tabella8[[#This Row],[Italy cumulative]]))</f>
        <v>0</v>
      </c>
      <c r="H130" s="154">
        <f>Kt*_xlfn.LOGNORM.DIST(Tabella8[[#This Row],[Day]],mu_t,sigma_t,TRUE)</f>
        <v>25990.645459467025</v>
      </c>
      <c r="I130" s="26">
        <f>Tabella8[[#This Row],[Italy fit]]*NOT(ISBLANK(Tabella8[[#This Row],[Italy cumulative]]))</f>
        <v>0</v>
      </c>
      <c r="L130" s="80"/>
      <c r="M130" s="10">
        <f>Tabella8[[#This Row],[Lombardy]]*NOT(ISBLANK(Tabella8[[#This Row],[Lombardy]]))</f>
        <v>0</v>
      </c>
      <c r="N130" s="99">
        <f>Kr*_xlfn.LOGNORM.DIST(Tabella8[[#This Row],[Day]],mu_r,sigma_r,TRUE)</f>
        <v>14954.97364212826</v>
      </c>
      <c r="O130" s="26">
        <f>Tabella8[[#This Row],[Lombardy fit]]*NOT(ISBLANK(Tabella8[[#This Row],[Lombardy]]))</f>
        <v>0</v>
      </c>
      <c r="S130" s="10">
        <f>Tabella8[[#This Row],[rest of Italy ]]*NOT(ISBLANK(Tabella8[[#This Row],[rest of Italy ]]))</f>
        <v>0</v>
      </c>
      <c r="T130" s="100">
        <f>Ko*_xlfn.LOGNORM.DIST(Tabella8[[#This Row],[Day]],mu_o,sigma_o,TRUE)</f>
        <v>17252.942634594223</v>
      </c>
      <c r="U130" s="26">
        <f>Tabella8[[#This Row],[rest of Italy fit]]*NOT(ISBLANK(Tabella8[[#This Row],[rest of Italy ]]))</f>
        <v>0</v>
      </c>
      <c r="AZ130" s="97"/>
      <c r="BA130" s="97"/>
    </row>
    <row r="131" spans="2:53" x14ac:dyDescent="0.3">
      <c r="AZ131" s="97"/>
      <c r="BA131" s="97"/>
    </row>
    <row r="132" spans="2:53" x14ac:dyDescent="0.3">
      <c r="AZ132" s="97"/>
      <c r="BA132" s="97"/>
    </row>
    <row r="133" spans="2:53" x14ac:dyDescent="0.3">
      <c r="AZ133" s="97"/>
      <c r="BA133" s="97"/>
    </row>
    <row r="134" spans="2:53" x14ac:dyDescent="0.3">
      <c r="AZ134" s="97"/>
      <c r="BA134" s="97"/>
    </row>
    <row r="135" spans="2:53" x14ac:dyDescent="0.3">
      <c r="AZ135" s="97"/>
      <c r="BA135" s="97"/>
    </row>
    <row r="136" spans="2:53" x14ac:dyDescent="0.3">
      <c r="AZ136" s="97"/>
      <c r="BA136" s="97"/>
    </row>
    <row r="137" spans="2:53" x14ac:dyDescent="0.3">
      <c r="AZ137" s="97"/>
      <c r="BA137" s="97"/>
    </row>
    <row r="138" spans="2:53" x14ac:dyDescent="0.3">
      <c r="AZ138" s="97"/>
      <c r="BA138" s="97"/>
    </row>
    <row r="139" spans="2:53" x14ac:dyDescent="0.3">
      <c r="AZ139" s="97"/>
      <c r="BA139" s="97"/>
    </row>
    <row r="140" spans="2:53" x14ac:dyDescent="0.3">
      <c r="AZ140" s="97"/>
      <c r="BA140" s="97"/>
    </row>
    <row r="141" spans="2:53" x14ac:dyDescent="0.3">
      <c r="AZ141" s="97"/>
      <c r="BA141" s="97"/>
    </row>
  </sheetData>
  <mergeCells count="26">
    <mergeCell ref="AW5:AX5"/>
    <mergeCell ref="AW6:AX6"/>
    <mergeCell ref="AZ1:BA1"/>
    <mergeCell ref="AZ2:BA2"/>
    <mergeCell ref="AZ3:BA3"/>
    <mergeCell ref="AZ4:BA4"/>
    <mergeCell ref="AZ5:BA5"/>
    <mergeCell ref="AZ6:BA6"/>
    <mergeCell ref="AT1:AU1"/>
    <mergeCell ref="AW1:AX1"/>
    <mergeCell ref="AW2:AX2"/>
    <mergeCell ref="AW3:AX3"/>
    <mergeCell ref="AW4:AX4"/>
    <mergeCell ref="AT4:AU4"/>
    <mergeCell ref="AT5:AU5"/>
    <mergeCell ref="AT6:AU6"/>
    <mergeCell ref="AT3:AU3"/>
    <mergeCell ref="AT2:AU2"/>
    <mergeCell ref="B2:I2"/>
    <mergeCell ref="H3:I6"/>
    <mergeCell ref="AB3:AF3"/>
    <mergeCell ref="B4:G4"/>
    <mergeCell ref="AB4:AF4"/>
    <mergeCell ref="B5:G5"/>
    <mergeCell ref="AB5:AF5"/>
    <mergeCell ref="AB2:AF2"/>
  </mergeCells>
  <pageMargins left="0.7" right="0.7" top="0.75" bottom="0.75" header="0.3" footer="0.3"/>
  <pageSetup paperSize="9" orientation="portrait" r:id="rId2"/>
  <drawing r:id="rId3"/>
  <legacyDrawing r:id="rId4"/>
  <tableParts count="5"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06D-92FD-4EA3-85D8-E2226734837A}">
  <dimension ref="B2:AS130"/>
  <sheetViews>
    <sheetView topLeftCell="V1" zoomScale="70" zoomScaleNormal="70" workbookViewId="0">
      <selection activeCell="AG5" sqref="AG5"/>
    </sheetView>
  </sheetViews>
  <sheetFormatPr defaultRowHeight="14.4" x14ac:dyDescent="0.3"/>
  <cols>
    <col min="1" max="1" width="2.77734375" style="2" customWidth="1"/>
    <col min="2" max="2" width="8.77734375" style="2" customWidth="1"/>
    <col min="3" max="3" width="14" style="2" bestFit="1" customWidth="1"/>
    <col min="4" max="4" width="20.6640625" style="2" bestFit="1" customWidth="1"/>
    <col min="5" max="5" width="26" style="2" bestFit="1" customWidth="1"/>
    <col min="6" max="6" width="20.109375" style="2" bestFit="1" customWidth="1"/>
    <col min="7" max="7" width="19.88671875" style="2" bestFit="1" customWidth="1"/>
    <col min="8" max="8" width="19.6640625" style="2" bestFit="1" customWidth="1"/>
    <col min="9" max="9" width="19.6640625" style="2" customWidth="1"/>
    <col min="10" max="10" width="14" style="2" bestFit="1" customWidth="1"/>
    <col min="11" max="11" width="14" style="2" customWidth="1"/>
    <col min="12" max="12" width="21.88671875" style="2" bestFit="1" customWidth="1"/>
    <col min="13" max="13" width="20.33203125" style="2" bestFit="1" customWidth="1"/>
    <col min="14" max="14" width="16.109375" style="2" bestFit="1" customWidth="1"/>
    <col min="15" max="15" width="20.6640625" style="2" bestFit="1" customWidth="1"/>
    <col min="16" max="16" width="20.5546875" style="2" bestFit="1" customWidth="1"/>
    <col min="17" max="17" width="21.109375" style="2" bestFit="1" customWidth="1"/>
    <col min="18" max="18" width="19.5546875" style="2" bestFit="1" customWidth="1"/>
    <col min="19" max="19" width="21.88671875" style="2" bestFit="1" customWidth="1"/>
    <col min="20" max="21" width="18.6640625" style="2" bestFit="1" customWidth="1"/>
    <col min="22" max="22" width="17.44140625" style="2" bestFit="1" customWidth="1"/>
    <col min="23" max="23" width="18.109375" style="2" bestFit="1" customWidth="1"/>
    <col min="24" max="24" width="21.88671875" style="2" bestFit="1" customWidth="1"/>
    <col min="25" max="25" width="21.109375" style="2" bestFit="1" customWidth="1"/>
    <col min="26" max="26" width="24" style="2" bestFit="1" customWidth="1"/>
    <col min="27" max="27" width="23.33203125" style="2" bestFit="1" customWidth="1"/>
    <col min="28" max="28" width="21.5546875" style="2" bestFit="1" customWidth="1"/>
    <col min="29" max="29" width="19.33203125" style="2" bestFit="1" customWidth="1"/>
    <col min="30" max="30" width="1.77734375" style="2" customWidth="1"/>
    <col min="31" max="31" width="24.33203125" style="2" bestFit="1" customWidth="1"/>
    <col min="32" max="32" width="23.33203125" style="2" bestFit="1" customWidth="1"/>
    <col min="33" max="34" width="8.88671875" style="2"/>
    <col min="35" max="35" width="17.88671875" style="2" bestFit="1" customWidth="1"/>
    <col min="36" max="36" width="8.88671875" style="2"/>
    <col min="37" max="37" width="11" style="2" bestFit="1" customWidth="1"/>
    <col min="38" max="44" width="8.88671875" style="2"/>
    <col min="45" max="45" width="9.5546875" style="2" bestFit="1" customWidth="1"/>
    <col min="46" max="16384" width="8.88671875" style="2"/>
  </cols>
  <sheetData>
    <row r="2" spans="2:45" ht="24" thickBot="1" x14ac:dyDescent="0.5">
      <c r="B2" s="121" t="s">
        <v>11</v>
      </c>
      <c r="C2" s="121"/>
      <c r="D2" s="121"/>
      <c r="E2" s="121"/>
      <c r="F2" s="121"/>
    </row>
    <row r="3" spans="2:45" ht="17.399999999999999" customHeight="1" thickBot="1" x14ac:dyDescent="0.65">
      <c r="B3" s="11"/>
      <c r="F3" s="122"/>
      <c r="I3" s="155"/>
      <c r="J3" s="155"/>
      <c r="K3" s="155"/>
      <c r="AC3" s="103"/>
      <c r="AF3" s="107"/>
      <c r="AG3" s="72" t="s">
        <v>0</v>
      </c>
      <c r="AH3" s="123" t="s">
        <v>116</v>
      </c>
      <c r="AI3" s="123"/>
      <c r="AJ3" s="123"/>
      <c r="AK3" s="123"/>
      <c r="AL3" s="123"/>
    </row>
    <row r="4" spans="2:45" ht="20.399999999999999" thickBot="1" x14ac:dyDescent="0.45">
      <c r="B4" s="124" t="s">
        <v>311</v>
      </c>
      <c r="C4" s="124"/>
      <c r="D4" s="124"/>
      <c r="E4" s="124"/>
      <c r="F4" s="122"/>
      <c r="I4" s="155"/>
      <c r="J4" s="155"/>
      <c r="K4" s="155"/>
      <c r="AC4" s="103"/>
      <c r="AF4" s="105"/>
      <c r="AG4" s="116" t="s">
        <v>308</v>
      </c>
      <c r="AH4" s="123" t="s">
        <v>116</v>
      </c>
      <c r="AI4" s="123"/>
      <c r="AJ4" s="123"/>
      <c r="AK4" s="123"/>
      <c r="AL4" s="123"/>
    </row>
    <row r="5" spans="2:45" ht="18.600000000000001" thickTop="1" thickBot="1" x14ac:dyDescent="0.4">
      <c r="B5" s="125" t="s">
        <v>133</v>
      </c>
      <c r="C5" s="125"/>
      <c r="D5" s="125"/>
      <c r="E5" s="125"/>
      <c r="F5" s="122"/>
      <c r="I5" s="155"/>
      <c r="J5" s="155"/>
      <c r="K5" s="155"/>
      <c r="AF5" s="106"/>
      <c r="AG5" s="116" t="s">
        <v>309</v>
      </c>
      <c r="AH5" s="126" t="s">
        <v>310</v>
      </c>
      <c r="AI5" s="126"/>
      <c r="AJ5" s="126"/>
      <c r="AK5" s="126"/>
      <c r="AL5" s="126"/>
    </row>
    <row r="6" spans="2:45" ht="19.2" thickTop="1" thickBot="1" x14ac:dyDescent="0.4">
      <c r="B6" s="37"/>
      <c r="C6" s="37"/>
      <c r="D6" s="37"/>
      <c r="E6" s="37"/>
      <c r="F6" s="122"/>
      <c r="I6" s="155"/>
      <c r="J6" s="155"/>
      <c r="K6" s="155"/>
      <c r="AG6" s="16"/>
      <c r="AH6" s="15"/>
      <c r="AI6" s="12"/>
      <c r="AJ6" s="12"/>
    </row>
    <row r="7" spans="2:45" ht="29.4" thickTop="1" x14ac:dyDescent="0.3">
      <c r="B7" s="4" t="s">
        <v>9</v>
      </c>
      <c r="C7" s="4" t="s">
        <v>10</v>
      </c>
      <c r="D7" s="4" t="s">
        <v>303</v>
      </c>
      <c r="E7" s="4" t="s">
        <v>293</v>
      </c>
      <c r="F7" s="4" t="s">
        <v>101</v>
      </c>
      <c r="G7" s="8" t="s">
        <v>301</v>
      </c>
      <c r="H7" s="110" t="s">
        <v>294</v>
      </c>
      <c r="I7" s="8" t="s">
        <v>86</v>
      </c>
      <c r="J7" s="8" t="s">
        <v>102</v>
      </c>
      <c r="K7" s="8" t="s">
        <v>125</v>
      </c>
      <c r="L7" s="8" t="s">
        <v>7</v>
      </c>
      <c r="M7" s="8" t="s">
        <v>8</v>
      </c>
      <c r="N7" s="4" t="s">
        <v>304</v>
      </c>
      <c r="O7" s="4" t="s">
        <v>295</v>
      </c>
      <c r="P7" s="4" t="s">
        <v>103</v>
      </c>
      <c r="Q7" s="8" t="s">
        <v>302</v>
      </c>
      <c r="R7" s="8" t="s">
        <v>118</v>
      </c>
      <c r="S7" s="4" t="s">
        <v>126</v>
      </c>
      <c r="T7" s="8" t="s">
        <v>297</v>
      </c>
      <c r="U7" s="8" t="s">
        <v>296</v>
      </c>
      <c r="V7" s="4" t="s">
        <v>305</v>
      </c>
      <c r="W7" s="4" t="s">
        <v>298</v>
      </c>
      <c r="X7" s="4" t="s">
        <v>127</v>
      </c>
      <c r="Y7" s="8" t="s">
        <v>306</v>
      </c>
      <c r="Z7" s="8" t="s">
        <v>120</v>
      </c>
      <c r="AA7" s="4" t="s">
        <v>128</v>
      </c>
      <c r="AB7" s="8" t="s">
        <v>299</v>
      </c>
      <c r="AC7" s="8" t="s">
        <v>300</v>
      </c>
      <c r="AD7" s="8"/>
      <c r="AE7" s="141" t="s">
        <v>121</v>
      </c>
      <c r="AF7" s="142" t="s">
        <v>117</v>
      </c>
      <c r="AG7" s="3"/>
      <c r="AS7" s="59" t="s">
        <v>100</v>
      </c>
    </row>
    <row r="8" spans="2:45" x14ac:dyDescent="0.3">
      <c r="B8" s="18">
        <v>43885</v>
      </c>
      <c r="C8" s="4">
        <v>1</v>
      </c>
      <c r="D8" s="104">
        <f>'dpc-covid19-ita-andamento-naz'!K2</f>
        <v>7</v>
      </c>
      <c r="E8" s="38"/>
      <c r="F8" s="104">
        <f>Tabella3[[#This Row],[Italy data]]*NOT(ISBLANK(Tabella3[[#This Row],[Italy data]]))</f>
        <v>0</v>
      </c>
      <c r="G8" s="136">
        <f>Tabella8[[#This Row],[Italy fit]]</f>
        <v>6.7149122256497869E-21</v>
      </c>
      <c r="H8" s="109">
        <f>Tabella3[[#This Row],[Lombardy fit]]+Tabella3[[#This Row],[rest of Italy fit]]</f>
        <v>2.0603810778509684E-12</v>
      </c>
      <c r="I8" s="104">
        <f>Kf*_xlfn.LOGNORM.DIST(Tabella3[[#This Row],[Day]],mu_f,sigma_f,FALSE)</f>
        <v>1.994643832724956E-19</v>
      </c>
      <c r="J8" s="104">
        <f>Tabella3[[#This Row],[Italy sum of regions]]*NOT(ISBLANK(Tabella3[[#This Row],[Italy data]]))</f>
        <v>0</v>
      </c>
      <c r="K8" s="104">
        <f>Tabella3[[#This Row],[Italy fit]]*NOT(ISBLANK(Tabella3[[#This Row],[Italy data]]))</f>
        <v>0</v>
      </c>
      <c r="L8" s="104">
        <f>Tabella3[[#This Row],[Italy fit]]+CIf</f>
        <v>229.24278957393298</v>
      </c>
      <c r="M8" s="104">
        <f>MAX(Tabella3[[#This Row],[Italy fit]]-CIf,0)</f>
        <v>0</v>
      </c>
      <c r="N8" s="4">
        <f>Tabella8[[#This Row],[Lombardy]]</f>
        <v>6</v>
      </c>
      <c r="O8" s="38"/>
      <c r="P8" s="104">
        <f>Tabella3[[#This Row],[Lombardy data]]*NOT(ISBLANK(Tabella3[[#This Row],[Lombardy data]]))</f>
        <v>0</v>
      </c>
      <c r="Q8" s="10">
        <f>Tabella8[[#This Row],[Lombardy fit]]</f>
        <v>7.8580894067903539E-14</v>
      </c>
      <c r="R8" s="104">
        <f>Kl*_xlfn.LOGNORM.DIST(Tabella3[[#This Row],[Day]],mu_l,sigma_l,FALSE)</f>
        <v>1.6043849309380462E-12</v>
      </c>
      <c r="S8" s="104">
        <f>Tabella3[[#This Row],[Lombardy fit]]*NOT(ISBLANK(Tabella3[[#This Row],[Lombardy data]]))</f>
        <v>0</v>
      </c>
      <c r="T8" s="104">
        <f>Tabella3[[#This Row],[Lombardy fit]]+CIl</f>
        <v>119.14801347930334</v>
      </c>
      <c r="U8" s="104">
        <f>MAX(Tabella3[[#This Row],[Lombardy fit]]-CIl,0)</f>
        <v>0</v>
      </c>
      <c r="V8" s="10">
        <f>Tabella8[[#This Row],[rest of Italy ]]</f>
        <v>1</v>
      </c>
      <c r="W8" s="38"/>
      <c r="X8" s="104">
        <f>Tabella3[[#This Row],[rest of Italy data]]*NOT(ISBLANK(Tabella3[[#This Row],[rest of Italy data]]))</f>
        <v>0</v>
      </c>
      <c r="Y8" s="10">
        <f>Tabella8[[#This Row],[rest of Italy fit]]</f>
        <v>2.2774255627002495E-14</v>
      </c>
      <c r="Z8" s="104">
        <f>Ka*_xlfn.LOGNORM.DIST(Tabella3[[#This Row],[Day]],mu_a,sigma_a,FALSE)</f>
        <v>4.5599614691292225E-13</v>
      </c>
      <c r="AA8" s="104">
        <f>Tabella3[[#This Row],[rest of Italy fit]]*NOT(ISBLANK(Tabella3[[#This Row],[rest of Italy data]]))</f>
        <v>0</v>
      </c>
      <c r="AB8" s="104">
        <f>Tabella3[[#This Row],[rest of Italy fit]]+CIa</f>
        <v>71.58803894083843</v>
      </c>
      <c r="AC8" s="104">
        <f>MAX(Tabella3[[#This Row],[rest of Italy fit]]-CIa,0)</f>
        <v>0</v>
      </c>
      <c r="AD8" s="8"/>
      <c r="AE8" s="143"/>
      <c r="AF8" s="144"/>
      <c r="AG8" s="3"/>
      <c r="AS8" s="133" t="s">
        <v>132</v>
      </c>
    </row>
    <row r="9" spans="2:45" x14ac:dyDescent="0.3">
      <c r="B9" s="9">
        <v>43886</v>
      </c>
      <c r="C9" s="4">
        <f>C8+1</f>
        <v>2</v>
      </c>
      <c r="D9" s="104">
        <f>'dpc-covid19-ita-andamento-naz'!K3</f>
        <v>10</v>
      </c>
      <c r="E9" s="104">
        <f>(Tabella3[[#This Row],[Italy cumul. Data]]-D8)</f>
        <v>3</v>
      </c>
      <c r="F9" s="104">
        <f>Tabella3[[#This Row],[Italy data]]*NOT(ISBLANK(Tabella3[[#This Row],[Italy data]]))</f>
        <v>3</v>
      </c>
      <c r="G9" s="136">
        <f>Tabella8[[#This Row],[Italy fit]]</f>
        <v>8.5224305877687446E-13</v>
      </c>
      <c r="H9" s="109">
        <f>Tabella3[[#This Row],[Lombardy fit]]+Tabella3[[#This Row],[rest of Italy fit]]</f>
        <v>3.0655825895760415E-7</v>
      </c>
      <c r="I9" s="104">
        <f>Kf*_xlfn.LOGNORM.DIST(Tabella3[[#This Row],[Day]],mu_f,sigma_f,FALSE)</f>
        <v>1.0285718979359761E-11</v>
      </c>
      <c r="J9" s="104">
        <f>Tabella3[[#This Row],[Italy sum of regions]]*NOT(ISBLANK(Tabella3[[#This Row],[Italy data]]))</f>
        <v>3.0655825895760415E-7</v>
      </c>
      <c r="K9" s="104">
        <f>Tabella3[[#This Row],[Italy fit]]*NOT(ISBLANK(Tabella3[[#This Row],[Italy data]]))</f>
        <v>1.0285718979359761E-11</v>
      </c>
      <c r="L9" s="104">
        <f>Tabella3[[#This Row],[Italy fit]]+CIf</f>
        <v>229.24278957394327</v>
      </c>
      <c r="M9" s="104">
        <f>MAX(Tabella3[[#This Row],[Italy fit]]-CIf,0)</f>
        <v>0</v>
      </c>
      <c r="N9" s="4">
        <f>Tabella8[[#This Row],[Lombardy]]</f>
        <v>9</v>
      </c>
      <c r="O9" s="104">
        <f>(Tabella3[[#This Row],[Lombardy cumul. Data]]-N8)</f>
        <v>3</v>
      </c>
      <c r="P9" s="104">
        <f>Tabella3[[#This Row],[Lombardy data]]*NOT(ISBLANK(Tabella3[[#This Row],[Lombardy data]]))</f>
        <v>3</v>
      </c>
      <c r="Q9" s="10">
        <f>Tabella8[[#This Row],[Lombardy fit]]</f>
        <v>2.9701756303691575E-8</v>
      </c>
      <c r="R9" s="104">
        <f>Kl*_xlfn.LOGNORM.DIST(Tabella3[[#This Row],[Day]],mu_l,sigma_l,FALSE)</f>
        <v>2.4715807437411222E-7</v>
      </c>
      <c r="S9" s="104">
        <f>Tabella3[[#This Row],[Lombardy fit]]*NOT(ISBLANK(Tabella3[[#This Row],[Lombardy data]]))</f>
        <v>2.4715807437411222E-7</v>
      </c>
      <c r="T9" s="104">
        <f>Tabella3[[#This Row],[Lombardy fit]]+CIl</f>
        <v>119.14801372645981</v>
      </c>
      <c r="U9" s="104">
        <f>MAX(Tabella3[[#This Row],[Lombardy fit]]-CIl,0)</f>
        <v>0</v>
      </c>
      <c r="V9" s="10">
        <f>Tabella8[[#This Row],[rest of Italy ]]</f>
        <v>1</v>
      </c>
      <c r="W9" s="10">
        <f>(Tabella3[[#This Row],[rest of Italy cum. Data]]-V8)</f>
        <v>0</v>
      </c>
      <c r="X9" s="104">
        <f>Tabella3[[#This Row],[rest of Italy data]]*NOT(ISBLANK(Tabella3[[#This Row],[rest of Italy data]]))</f>
        <v>0</v>
      </c>
      <c r="Y9" s="10">
        <f>Tabella8[[#This Row],[rest of Italy fit]]</f>
        <v>7.1921604559956059E-9</v>
      </c>
      <c r="Z9" s="104">
        <f>Ka*_xlfn.LOGNORM.DIST(Tabella3[[#This Row],[Day]],mu_a,sigma_a,FALSE)</f>
        <v>5.9400184583491922E-8</v>
      </c>
      <c r="AA9" s="104">
        <f>Tabella3[[#This Row],[rest of Italy fit]]*NOT(ISBLANK(Tabella3[[#This Row],[rest of Italy data]]))</f>
        <v>5.9400184583491922E-8</v>
      </c>
      <c r="AB9" s="104">
        <f>Tabella3[[#This Row],[rest of Italy fit]]+CIa</f>
        <v>71.588039000238155</v>
      </c>
      <c r="AC9" s="104">
        <f>MAX(Tabella3[[#This Row],[rest of Italy fit]]-CIa,0)</f>
        <v>0</v>
      </c>
      <c r="AD9" s="8"/>
      <c r="AE9" s="145"/>
      <c r="AF9" s="146"/>
      <c r="AG9" s="3"/>
      <c r="AS9" s="134"/>
    </row>
    <row r="10" spans="2:45" x14ac:dyDescent="0.3">
      <c r="B10" s="9">
        <v>43887</v>
      </c>
      <c r="C10" s="4">
        <f t="shared" ref="C10:C73" si="0">C9+1</f>
        <v>3</v>
      </c>
      <c r="D10" s="104">
        <f>'dpc-covid19-ita-andamento-naz'!K4</f>
        <v>12</v>
      </c>
      <c r="E10" s="104">
        <f>(Tabella3[[#This Row],[Italy cumul. Data]]-D9)</f>
        <v>2</v>
      </c>
      <c r="F10" s="104">
        <f>Tabella3[[#This Row],[Italy data]]*NOT(ISBLANK(Tabella3[[#This Row],[Italy data]]))</f>
        <v>2</v>
      </c>
      <c r="G10" s="136">
        <f>Tabella8[[#This Row],[Italy fit]]</f>
        <v>7.8596021605024495E-9</v>
      </c>
      <c r="H10" s="109">
        <f>Tabella3[[#This Row],[Lombardy fit]]+Tabella3[[#This Row],[rest of Italy fit]]</f>
        <v>9.6702156677681188E-5</v>
      </c>
      <c r="I10" s="104">
        <f>Kf*_xlfn.LOGNORM.DIST(Tabella3[[#This Row],[Day]],mu_f,sigma_f,FALSE)</f>
        <v>5.4744448732722947E-8</v>
      </c>
      <c r="J10" s="104">
        <f>Tabella3[[#This Row],[Italy sum of regions]]*NOT(ISBLANK(Tabella3[[#This Row],[Italy data]]))</f>
        <v>9.6702156677681188E-5</v>
      </c>
      <c r="K10" s="104">
        <f>Tabella3[[#This Row],[Italy fit]]*NOT(ISBLANK(Tabella3[[#This Row],[Italy data]]))</f>
        <v>5.4744448732722947E-8</v>
      </c>
      <c r="L10" s="104">
        <f>Tabella3[[#This Row],[Italy fit]]+CIf</f>
        <v>229.24278962867743</v>
      </c>
      <c r="M10" s="104">
        <f>MAX(Tabella3[[#This Row],[Italy fit]]-CIf,0)</f>
        <v>0</v>
      </c>
      <c r="N10" s="4">
        <f>Tabella8[[#This Row],[Lombardy]]</f>
        <v>9</v>
      </c>
      <c r="O10" s="104">
        <f>(Tabella3[[#This Row],[Lombardy cumul. Data]]-N9)</f>
        <v>0</v>
      </c>
      <c r="P10" s="104">
        <f>Tabella3[[#This Row],[Lombardy data]]*NOT(ISBLANK(Tabella3[[#This Row],[Lombardy data]]))</f>
        <v>0</v>
      </c>
      <c r="Q10" s="10">
        <f>Tabella8[[#This Row],[Lombardy fit]]</f>
        <v>1.6217695201610483E-5</v>
      </c>
      <c r="R10" s="104">
        <f>Kl*_xlfn.LOGNORM.DIST(Tabella3[[#This Row],[Day]],mu_l,sigma_l,FALSE)</f>
        <v>7.8103940233068033E-5</v>
      </c>
      <c r="S10" s="104">
        <f>Tabella3[[#This Row],[Lombardy fit]]*NOT(ISBLANK(Tabella3[[#This Row],[Lombardy data]]))</f>
        <v>7.8103940233068033E-5</v>
      </c>
      <c r="T10" s="104">
        <f>Tabella3[[#This Row],[Lombardy fit]]+CIl</f>
        <v>119.14809158324198</v>
      </c>
      <c r="U10" s="104">
        <f>MAX(Tabella3[[#This Row],[Lombardy fit]]-CIl,0)</f>
        <v>0</v>
      </c>
      <c r="V10" s="10">
        <f>Tabella8[[#This Row],[rest of Italy ]]</f>
        <v>3</v>
      </c>
      <c r="W10" s="10">
        <f>(Tabella3[[#This Row],[rest of Italy cum. Data]]-V9)</f>
        <v>2</v>
      </c>
      <c r="X10" s="104">
        <f>Tabella3[[#This Row],[rest of Italy data]]*NOT(ISBLANK(Tabella3[[#This Row],[rest of Italy data]]))</f>
        <v>2</v>
      </c>
      <c r="Y10" s="10">
        <f>Tabella8[[#This Row],[rest of Italy fit]]</f>
        <v>3.8535125846683424E-6</v>
      </c>
      <c r="Z10" s="104">
        <f>Ka*_xlfn.LOGNORM.DIST(Tabella3[[#This Row],[Day]],mu_a,sigma_a,FALSE)</f>
        <v>1.8598216444613155E-5</v>
      </c>
      <c r="AA10" s="104">
        <f>Tabella3[[#This Row],[rest of Italy fit]]*NOT(ISBLANK(Tabella3[[#This Row],[rest of Italy data]]))</f>
        <v>1.8598216444613155E-5</v>
      </c>
      <c r="AB10" s="104">
        <f>Tabella3[[#This Row],[rest of Italy fit]]+CIa</f>
        <v>71.588057539054418</v>
      </c>
      <c r="AC10" s="104">
        <f>MAX(Tabella3[[#This Row],[rest of Italy fit]]-CIa,0)</f>
        <v>0</v>
      </c>
      <c r="AD10" s="8"/>
      <c r="AE10" s="143"/>
      <c r="AF10" s="146"/>
      <c r="AG10" s="3"/>
      <c r="AS10" s="134"/>
    </row>
    <row r="11" spans="2:45" x14ac:dyDescent="0.3">
      <c r="B11" s="9">
        <v>43888</v>
      </c>
      <c r="C11" s="4">
        <f t="shared" si="0"/>
        <v>4</v>
      </c>
      <c r="D11" s="104">
        <f>'dpc-covid19-ita-andamento-naz'!K5</f>
        <v>17</v>
      </c>
      <c r="E11" s="104">
        <f>(Tabella3[[#This Row],[Italy cumul. Data]]-D10)</f>
        <v>5</v>
      </c>
      <c r="F11" s="104">
        <f>Tabella3[[#This Row],[Italy data]]*NOT(ISBLANK(Tabella3[[#This Row],[Italy data]]))</f>
        <v>5</v>
      </c>
      <c r="G11" s="136">
        <f>Tabella8[[#This Row],[Italy fit]]</f>
        <v>2.3063039333087973E-6</v>
      </c>
      <c r="H11" s="109">
        <f>Tabella3[[#This Row],[Lombardy fit]]+Tabella3[[#This Row],[rest of Italy fit]]</f>
        <v>3.3294093919139954E-3</v>
      </c>
      <c r="I11" s="104">
        <f>Kf*_xlfn.LOGNORM.DIST(Tabella3[[#This Row],[Day]],mu_f,sigma_f,FALSE)</f>
        <v>1.0727400275898543E-5</v>
      </c>
      <c r="J11" s="104">
        <f>Tabella3[[#This Row],[Italy sum of regions]]*NOT(ISBLANK(Tabella3[[#This Row],[Italy data]]))</f>
        <v>3.3294093919139954E-3</v>
      </c>
      <c r="K11" s="104">
        <f>Tabella3[[#This Row],[Italy fit]]*NOT(ISBLANK(Tabella3[[#This Row],[Italy data]]))</f>
        <v>1.0727400275898543E-5</v>
      </c>
      <c r="L11" s="104">
        <f>Tabella3[[#This Row],[Italy fit]]+CIf</f>
        <v>229.24280030133326</v>
      </c>
      <c r="M11" s="104">
        <f>MAX(Tabella3[[#This Row],[Italy fit]]-CIf,0)</f>
        <v>0</v>
      </c>
      <c r="N11" s="4">
        <f>Tabella8[[#This Row],[Lombardy]]</f>
        <v>14</v>
      </c>
      <c r="O11" s="104">
        <f>(Tabella3[[#This Row],[Lombardy cumul. Data]]-N10)</f>
        <v>5</v>
      </c>
      <c r="P11" s="104">
        <f>Tabella3[[#This Row],[Lombardy data]]*NOT(ISBLANK(Tabella3[[#This Row],[Lombardy data]]))</f>
        <v>5</v>
      </c>
      <c r="Q11" s="10">
        <f>Tabella8[[#This Row],[Lombardy fit]]</f>
        <v>8.2847043199092414E-4</v>
      </c>
      <c r="R11" s="104">
        <f>Kl*_xlfn.LOGNORM.DIST(Tabella3[[#This Row],[Day]],mu_l,sigma_l,FALSE)</f>
        <v>2.6717241182926989E-3</v>
      </c>
      <c r="S11" s="104">
        <f>Tabella3[[#This Row],[Lombardy fit]]*NOT(ISBLANK(Tabella3[[#This Row],[Lombardy data]]))</f>
        <v>2.6717241182926989E-3</v>
      </c>
      <c r="T11" s="104">
        <f>Tabella3[[#This Row],[Lombardy fit]]+CIl</f>
        <v>119.15068520342003</v>
      </c>
      <c r="U11" s="104">
        <f>MAX(Tabella3[[#This Row],[Lombardy fit]]-CIl,0)</f>
        <v>0</v>
      </c>
      <c r="V11" s="10">
        <f>Tabella8[[#This Row],[rest of Italy ]]</f>
        <v>3</v>
      </c>
      <c r="W11" s="10">
        <f>(Tabella3[[#This Row],[rest of Italy cum. Data]]-V10)</f>
        <v>0</v>
      </c>
      <c r="X11" s="104">
        <f>Tabella3[[#This Row],[rest of Italy data]]*NOT(ISBLANK(Tabella3[[#This Row],[rest of Italy data]]))</f>
        <v>0</v>
      </c>
      <c r="Y11" s="10">
        <f>Tabella8[[#This Row],[rest of Italy fit]]</f>
        <v>2.017556768645964E-4</v>
      </c>
      <c r="Z11" s="104">
        <f>Ka*_xlfn.LOGNORM.DIST(Tabella3[[#This Row],[Day]],mu_a,sigma_a,FALSE)</f>
        <v>6.5768527362129639E-4</v>
      </c>
      <c r="AA11" s="104">
        <f>Tabella3[[#This Row],[rest of Italy fit]]*NOT(ISBLANK(Tabella3[[#This Row],[rest of Italy data]]))</f>
        <v>6.5768527362129639E-4</v>
      </c>
      <c r="AB11" s="104">
        <f>Tabella3[[#This Row],[rest of Italy fit]]+CIa</f>
        <v>71.588696626111599</v>
      </c>
      <c r="AC11" s="104">
        <f>MAX(Tabella3[[#This Row],[rest of Italy fit]]-CIa,0)</f>
        <v>0</v>
      </c>
      <c r="AD11" s="8"/>
      <c r="AE11" s="147" t="s">
        <v>1</v>
      </c>
      <c r="AF11" s="148">
        <f>AVERAGE(Tabella3[Italy data])</f>
        <v>432.37931034482756</v>
      </c>
      <c r="AG11" s="3"/>
      <c r="AS11" s="134"/>
    </row>
    <row r="12" spans="2:45" x14ac:dyDescent="0.3">
      <c r="B12" s="9">
        <v>43889</v>
      </c>
      <c r="C12" s="4">
        <f t="shared" si="0"/>
        <v>5</v>
      </c>
      <c r="D12" s="104">
        <f>'dpc-covid19-ita-andamento-naz'!K6</f>
        <v>21</v>
      </c>
      <c r="E12" s="104">
        <f>(Tabella3[[#This Row],[Italy cumul. Data]]-D11)</f>
        <v>4</v>
      </c>
      <c r="F12" s="104">
        <f>Tabella3[[#This Row],[Italy data]]*NOT(ISBLANK(Tabella3[[#This Row],[Italy data]]))</f>
        <v>4</v>
      </c>
      <c r="G12" s="136">
        <f>Tabella8[[#This Row],[Italy fit]]</f>
        <v>1.2027748832253984E-4</v>
      </c>
      <c r="H12" s="109">
        <f>Tabella3[[#This Row],[Lombardy fit]]+Tabella3[[#This Row],[rest of Italy fit]]</f>
        <v>3.7991821276706562E-2</v>
      </c>
      <c r="I12" s="104">
        <f>Kf*_xlfn.LOGNORM.DIST(Tabella3[[#This Row],[Day]],mu_f,sigma_f,FALSE)</f>
        <v>4.0500826778753379E-4</v>
      </c>
      <c r="J12" s="104">
        <f>Tabella3[[#This Row],[Italy sum of regions]]*NOT(ISBLANK(Tabella3[[#This Row],[Italy data]]))</f>
        <v>3.7991821276706562E-2</v>
      </c>
      <c r="K12" s="104">
        <f>Tabella3[[#This Row],[Italy fit]]*NOT(ISBLANK(Tabella3[[#This Row],[Italy data]]))</f>
        <v>4.0500826778753379E-4</v>
      </c>
      <c r="L12" s="104">
        <f>Tabella3[[#This Row],[Italy fit]]+CIf</f>
        <v>229.24319458220077</v>
      </c>
      <c r="M12" s="104">
        <f>MAX(Tabella3[[#This Row],[Italy fit]]-CIf,0)</f>
        <v>0</v>
      </c>
      <c r="N12" s="4">
        <f>Tabella8[[#This Row],[Lombardy]]</f>
        <v>17</v>
      </c>
      <c r="O12" s="104">
        <f>(Tabella3[[#This Row],[Lombardy cumul. Data]]-N11)</f>
        <v>3</v>
      </c>
      <c r="P12" s="104">
        <f>Tabella3[[#This Row],[Lombardy data]]*NOT(ISBLANK(Tabella3[[#This Row],[Lombardy data]]))</f>
        <v>3</v>
      </c>
      <c r="Q12" s="10">
        <f>Tabella8[[#This Row],[Lombardy fit]]</f>
        <v>1.2895991913804881E-2</v>
      </c>
      <c r="R12" s="104">
        <f>Kl*_xlfn.LOGNORM.DIST(Tabella3[[#This Row],[Day]],mu_l,sigma_l,FALSE)</f>
        <v>3.0190558635937538E-2</v>
      </c>
      <c r="S12" s="104">
        <f>Tabella3[[#This Row],[Lombardy fit]]*NOT(ISBLANK(Tabella3[[#This Row],[Lombardy data]]))</f>
        <v>3.0190558635937538E-2</v>
      </c>
      <c r="T12" s="104">
        <f>Tabella3[[#This Row],[Lombardy fit]]+CIl</f>
        <v>119.17820403793768</v>
      </c>
      <c r="U12" s="104">
        <f>MAX(Tabella3[[#This Row],[Lombardy fit]]-CIl,0)</f>
        <v>0</v>
      </c>
      <c r="V12" s="10">
        <f>Tabella8[[#This Row],[rest of Italy ]]</f>
        <v>4</v>
      </c>
      <c r="W12" s="10">
        <f>(Tabella3[[#This Row],[rest of Italy cum. Data]]-V11)</f>
        <v>1</v>
      </c>
      <c r="X12" s="104">
        <f>Tabella3[[#This Row],[rest of Italy data]]*NOT(ISBLANK(Tabella3[[#This Row],[rest of Italy data]]))</f>
        <v>1</v>
      </c>
      <c r="Y12" s="10">
        <f>Tabella8[[#This Row],[rest of Italy fit]]</f>
        <v>3.2701564326910485E-3</v>
      </c>
      <c r="Z12" s="104">
        <f>Ka*_xlfn.LOGNORM.DIST(Tabella3[[#This Row],[Day]],mu_a,sigma_a,FALSE)</f>
        <v>7.8012626407690236E-3</v>
      </c>
      <c r="AA12" s="104">
        <f>Tabella3[[#This Row],[rest of Italy fit]]*NOT(ISBLANK(Tabella3[[#This Row],[rest of Italy data]]))</f>
        <v>7.8012626407690236E-3</v>
      </c>
      <c r="AB12" s="104">
        <f>Tabella3[[#This Row],[rest of Italy fit]]+CIa</f>
        <v>71.595840203478744</v>
      </c>
      <c r="AC12" s="104">
        <f>MAX(Tabella3[[#This Row],[rest of Italy fit]]-CIa,0)</f>
        <v>0</v>
      </c>
      <c r="AD12" s="1"/>
      <c r="AE12" s="147" t="s">
        <v>2</v>
      </c>
      <c r="AF12" s="149">
        <f>COUNT(Tabella3[Italy data])-COUNT(AF8:AF10)</f>
        <v>58</v>
      </c>
      <c r="AS12" s="134"/>
    </row>
    <row r="13" spans="2:45" x14ac:dyDescent="0.3">
      <c r="B13" s="9">
        <v>43890</v>
      </c>
      <c r="C13" s="4">
        <f t="shared" si="0"/>
        <v>6</v>
      </c>
      <c r="D13" s="104">
        <f>'dpc-covid19-ita-andamento-naz'!K7</f>
        <v>29</v>
      </c>
      <c r="E13" s="104">
        <f>(Tabella3[[#This Row],[Italy cumul. Data]]-D12)</f>
        <v>8</v>
      </c>
      <c r="F13" s="104">
        <f>Tabella3[[#This Row],[Italy data]]*NOT(ISBLANK(Tabella3[[#This Row],[Italy data]]))</f>
        <v>8</v>
      </c>
      <c r="G13" s="136">
        <f>Tabella8[[#This Row],[Italy fit]]</f>
        <v>2.2714672017694511E-3</v>
      </c>
      <c r="H13" s="109">
        <f>Tabella3[[#This Row],[Lombardy fit]]+Tabella3[[#This Row],[rest of Italy fit]]</f>
        <v>0.22714633564141576</v>
      </c>
      <c r="I13" s="104">
        <f>Kf*_xlfn.LOGNORM.DIST(Tabella3[[#This Row],[Day]],mu_f,sigma_f,FALSE)</f>
        <v>5.8292060799140554E-3</v>
      </c>
      <c r="J13" s="104">
        <f>Tabella3[[#This Row],[Italy sum of regions]]*NOT(ISBLANK(Tabella3[[#This Row],[Italy data]]))</f>
        <v>0.22714633564141576</v>
      </c>
      <c r="K13" s="104">
        <f>Tabella3[[#This Row],[Italy fit]]*NOT(ISBLANK(Tabella3[[#This Row],[Italy data]]))</f>
        <v>5.8292060799140554E-3</v>
      </c>
      <c r="L13" s="104">
        <f>Tabella3[[#This Row],[Italy fit]]+CIf</f>
        <v>229.24861878001289</v>
      </c>
      <c r="M13" s="104">
        <f>MAX(Tabella3[[#This Row],[Italy fit]]-CIf,0)</f>
        <v>0</v>
      </c>
      <c r="N13" s="4">
        <f>Tabella8[[#This Row],[Lombardy]]</f>
        <v>23</v>
      </c>
      <c r="O13" s="104">
        <f>(Tabella3[[#This Row],[Lombardy cumul. Data]]-N12)</f>
        <v>6</v>
      </c>
      <c r="P13" s="104">
        <f>Tabella3[[#This Row],[Lombardy data]]*NOT(ISBLANK(Tabella3[[#This Row],[Lombardy data]]))</f>
        <v>6</v>
      </c>
      <c r="Q13" s="10">
        <f>Tabella8[[#This Row],[Lombardy fit]]</f>
        <v>9.9738561521447222E-2</v>
      </c>
      <c r="R13" s="104">
        <f>Kl*_xlfn.LOGNORM.DIST(Tabella3[[#This Row],[Day]],mu_l,sigma_l,FALSE)</f>
        <v>0.17845598157094808</v>
      </c>
      <c r="S13" s="104">
        <f>Tabella3[[#This Row],[Lombardy fit]]*NOT(ISBLANK(Tabella3[[#This Row],[Lombardy data]]))</f>
        <v>0.17845598157094808</v>
      </c>
      <c r="T13" s="104">
        <f>Tabella3[[#This Row],[Lombardy fit]]+CIl</f>
        <v>119.32646946087269</v>
      </c>
      <c r="U13" s="104">
        <f>MAX(Tabella3[[#This Row],[Lombardy fit]]-CIl,0)</f>
        <v>0</v>
      </c>
      <c r="V13" s="10">
        <f>Tabella8[[#This Row],[rest of Italy ]]</f>
        <v>6</v>
      </c>
      <c r="W13" s="10">
        <f>(Tabella3[[#This Row],[rest of Italy cum. Data]]-V12)</f>
        <v>2</v>
      </c>
      <c r="X13" s="104">
        <f>Tabella3[[#This Row],[rest of Italy data]]*NOT(ISBLANK(Tabella3[[#This Row],[rest of Italy data]]))</f>
        <v>2</v>
      </c>
      <c r="Y13" s="10">
        <f>Tabella8[[#This Row],[rest of Italy fit]]</f>
        <v>2.6499546868562714E-2</v>
      </c>
      <c r="Z13" s="104">
        <f>Ka*_xlfn.LOGNORM.DIST(Tabella3[[#This Row],[Day]],mu_a,sigma_a,FALSE)</f>
        <v>4.8690354070467672E-2</v>
      </c>
      <c r="AA13" s="104">
        <f>Tabella3[[#This Row],[rest of Italy fit]]*NOT(ISBLANK(Tabella3[[#This Row],[rest of Italy data]]))</f>
        <v>4.8690354070467672E-2</v>
      </c>
      <c r="AB13" s="104">
        <f>Tabella3[[#This Row],[rest of Italy fit]]+CIa</f>
        <v>71.636729294908449</v>
      </c>
      <c r="AC13" s="104">
        <f>MAX(Tabella3[[#This Row],[rest of Italy fit]]-CIa,0)</f>
        <v>0</v>
      </c>
      <c r="AD13" s="1"/>
      <c r="AE13" s="147" t="s">
        <v>3</v>
      </c>
      <c r="AF13" s="148" cm="1">
        <f t="array" ref="AF13">SQRT(SUM((Tabella3[Colonna1]-Tabella3[Colonna2])^2)/dfw)</f>
        <v>74.799627087675248</v>
      </c>
      <c r="AS13" s="134"/>
    </row>
    <row r="14" spans="2:45" ht="16.2" x14ac:dyDescent="0.3">
      <c r="B14" s="18">
        <v>43891</v>
      </c>
      <c r="C14" s="4">
        <f t="shared" si="0"/>
        <v>7</v>
      </c>
      <c r="D14" s="104">
        <f>'dpc-covid19-ita-andamento-naz'!K8</f>
        <v>34</v>
      </c>
      <c r="E14" s="104">
        <f>(Tabella3[[#This Row],[Italy cumul. Data]]-D13)</f>
        <v>5</v>
      </c>
      <c r="F14" s="104">
        <f>Tabella3[[#This Row],[Italy data]]*NOT(ISBLANK(Tabella3[[#This Row],[Italy data]]))</f>
        <v>5</v>
      </c>
      <c r="G14" s="136">
        <f>Tabella8[[#This Row],[Italy fit]]</f>
        <v>2.2211162979490599E-2</v>
      </c>
      <c r="H14" s="109">
        <f>Tabella3[[#This Row],[Lombardy fit]]+Tabella3[[#This Row],[rest of Italy fit]]</f>
        <v>0.89498113114790478</v>
      </c>
      <c r="I14" s="104">
        <f>Kf*_xlfn.LOGNORM.DIST(Tabella3[[#This Row],[Day]],mu_f,sigma_f,FALSE)</f>
        <v>4.5015646431430148E-2</v>
      </c>
      <c r="J14" s="104">
        <f>Tabella3[[#This Row],[Italy sum of regions]]*NOT(ISBLANK(Tabella3[[#This Row],[Italy data]]))</f>
        <v>0.89498113114790478</v>
      </c>
      <c r="K14" s="104">
        <f>Tabella3[[#This Row],[Italy fit]]*NOT(ISBLANK(Tabella3[[#This Row],[Italy data]]))</f>
        <v>4.5015646431430148E-2</v>
      </c>
      <c r="L14" s="104">
        <f>Tabella3[[#This Row],[Italy fit]]+CIf</f>
        <v>229.28780522036442</v>
      </c>
      <c r="M14" s="104">
        <f>MAX(Tabella3[[#This Row],[Italy fit]]-CIf,0)</f>
        <v>0</v>
      </c>
      <c r="N14" s="4">
        <f>Tabella8[[#This Row],[Lombardy]]</f>
        <v>24</v>
      </c>
      <c r="O14" s="104">
        <f>(Tabella3[[#This Row],[Lombardy cumul. Data]]-N13)</f>
        <v>1</v>
      </c>
      <c r="P14" s="104">
        <f>Tabella3[[#This Row],[Lombardy data]]*NOT(ISBLANK(Tabella3[[#This Row],[Lombardy data]]))</f>
        <v>1</v>
      </c>
      <c r="Q14" s="10">
        <f>Tabella8[[#This Row],[Lombardy fit]]</f>
        <v>0.49006299816223559</v>
      </c>
      <c r="R14" s="104">
        <f>Kl*_xlfn.LOGNORM.DIST(Tabella3[[#This Row],[Day]],mu_l,sigma_l,FALSE)</f>
        <v>0.69450961035597292</v>
      </c>
      <c r="S14" s="104">
        <f>Tabella3[[#This Row],[Lombardy fit]]*NOT(ISBLANK(Tabella3[[#This Row],[Lombardy data]]))</f>
        <v>0.69450961035597292</v>
      </c>
      <c r="T14" s="104">
        <f>Tabella3[[#This Row],[Lombardy fit]]+CIl</f>
        <v>119.84252308965772</v>
      </c>
      <c r="U14" s="104">
        <f>MAX(Tabella3[[#This Row],[Lombardy fit]]-CIl,0)</f>
        <v>0</v>
      </c>
      <c r="V14" s="10">
        <f>Tabella8[[#This Row],[rest of Italy ]]</f>
        <v>10</v>
      </c>
      <c r="W14" s="10">
        <f>(Tabella3[[#This Row],[rest of Italy cum. Data]]-V13)</f>
        <v>4</v>
      </c>
      <c r="X14" s="104">
        <f>Tabella3[[#This Row],[rest of Italy data]]*NOT(ISBLANK(Tabella3[[#This Row],[rest of Italy data]]))</f>
        <v>4</v>
      </c>
      <c r="Y14" s="10">
        <f>Tabella8[[#This Row],[rest of Italy fit]]</f>
        <v>0.13671689715006971</v>
      </c>
      <c r="Z14" s="104">
        <f>Ka*_xlfn.LOGNORM.DIST(Tabella3[[#This Row],[Day]],mu_a,sigma_a,FALSE)</f>
        <v>0.20047152079193192</v>
      </c>
      <c r="AA14" s="104">
        <f>Tabella3[[#This Row],[rest of Italy fit]]*NOT(ISBLANK(Tabella3[[#This Row],[rest of Italy data]]))</f>
        <v>0.20047152079193192</v>
      </c>
      <c r="AB14" s="104">
        <f>Tabella3[[#This Row],[rest of Italy fit]]+CIa</f>
        <v>71.788510461629912</v>
      </c>
      <c r="AC14" s="104">
        <f>MAX(Tabella3[[#This Row],[rest of Italy fit]]-CIa,0)</f>
        <v>0</v>
      </c>
      <c r="AD14" s="1"/>
      <c r="AE14" s="147" t="s">
        <v>292</v>
      </c>
      <c r="AF14" s="150" cm="1">
        <f t="array" ref="AF14">1-SUM((Tabella3[Colonna1]-Tabella3[Colonna2])^2)/SUM((Tabella3[Colonna1]-Mean_of_yw)^2)</f>
        <v>0.98060747387674929</v>
      </c>
      <c r="AS14" s="134"/>
    </row>
    <row r="15" spans="2:45" x14ac:dyDescent="0.3">
      <c r="B15" s="9">
        <v>43892</v>
      </c>
      <c r="C15" s="4">
        <f t="shared" si="0"/>
        <v>8</v>
      </c>
      <c r="D15" s="104">
        <f>'dpc-covid19-ita-andamento-naz'!K9</f>
        <v>52</v>
      </c>
      <c r="E15" s="104">
        <f>(Tabella3[[#This Row],[Italy cumul. Data]]-D14)</f>
        <v>18</v>
      </c>
      <c r="F15" s="104">
        <f>Tabella3[[#This Row],[Italy data]]*NOT(ISBLANK(Tabella3[[#This Row],[Italy data]]))</f>
        <v>18</v>
      </c>
      <c r="G15" s="136">
        <f>Tabella8[[#This Row],[Italy fit]]</f>
        <v>0.13772771402073292</v>
      </c>
      <c r="H15" s="109">
        <f>Tabella3[[#This Row],[Lombardy fit]]+Tabella3[[#This Row],[rest of Italy fit]]</f>
        <v>2.6455029345088334</v>
      </c>
      <c r="I15" s="104">
        <f>Kf*_xlfn.LOGNORM.DIST(Tabella3[[#This Row],[Day]],mu_f,sigma_f,FALSE)</f>
        <v>0.22627931352648295</v>
      </c>
      <c r="J15" s="104">
        <f>Tabella3[[#This Row],[Italy sum of regions]]*NOT(ISBLANK(Tabella3[[#This Row],[Italy data]]))</f>
        <v>2.6455029345088334</v>
      </c>
      <c r="K15" s="104">
        <f>Tabella3[[#This Row],[Italy fit]]*NOT(ISBLANK(Tabella3[[#This Row],[Italy data]]))</f>
        <v>0.22627931352648295</v>
      </c>
      <c r="L15" s="104">
        <f>Tabella3[[#This Row],[Italy fit]]+CIf</f>
        <v>229.46906888745946</v>
      </c>
      <c r="M15" s="104">
        <f>MAX(Tabella3[[#This Row],[Italy fit]]-CIf,0)</f>
        <v>0</v>
      </c>
      <c r="N15" s="4">
        <f>Tabella8[[#This Row],[Lombardy]]</f>
        <v>38</v>
      </c>
      <c r="O15" s="104">
        <f>(Tabella3[[#This Row],[Lombardy cumul. Data]]-N14)</f>
        <v>14</v>
      </c>
      <c r="P15" s="104">
        <f>Tabella3[[#This Row],[Lombardy data]]*NOT(ISBLANK(Tabella3[[#This Row],[Lombardy data]]))</f>
        <v>14</v>
      </c>
      <c r="Q15" s="10">
        <f>Tabella8[[#This Row],[Lombardy fit]]</f>
        <v>1.7586605481015192</v>
      </c>
      <c r="R15" s="104">
        <f>Kl*_xlfn.LOGNORM.DIST(Tabella3[[#This Row],[Day]],mu_l,sigma_l,FALSE)</f>
        <v>2.0265578159770854</v>
      </c>
      <c r="S15" s="104">
        <f>Tabella3[[#This Row],[Lombardy fit]]*NOT(ISBLANK(Tabella3[[#This Row],[Lombardy data]]))</f>
        <v>2.0265578159770854</v>
      </c>
      <c r="T15" s="104">
        <f>Tabella3[[#This Row],[Lombardy fit]]+CIl</f>
        <v>121.17457129527882</v>
      </c>
      <c r="U15" s="104">
        <f>MAX(Tabella3[[#This Row],[Lombardy fit]]-CIl,0)</f>
        <v>0</v>
      </c>
      <c r="V15" s="10">
        <f>Tabella8[[#This Row],[rest of Italy ]]</f>
        <v>14</v>
      </c>
      <c r="W15" s="10">
        <f>(Tabella3[[#This Row],[rest of Italy cum. Data]]-V14)</f>
        <v>4</v>
      </c>
      <c r="X15" s="104">
        <f>Tabella3[[#This Row],[rest of Italy data]]*NOT(ISBLANK(Tabella3[[#This Row],[rest of Italy data]]))</f>
        <v>4</v>
      </c>
      <c r="Y15" s="10">
        <f>Tabella8[[#This Row],[rest of Italy fit]]</f>
        <v>0.51529511201228195</v>
      </c>
      <c r="Z15" s="104">
        <f>Ka*_xlfn.LOGNORM.DIST(Tabella3[[#This Row],[Day]],mu_a,sigma_a,FALSE)</f>
        <v>0.61894511853174805</v>
      </c>
      <c r="AA15" s="104">
        <f>Tabella3[[#This Row],[rest of Italy fit]]*NOT(ISBLANK(Tabella3[[#This Row],[rest of Italy data]]))</f>
        <v>0.61894511853174805</v>
      </c>
      <c r="AB15" s="104">
        <f>Tabella3[[#This Row],[rest of Italy fit]]+CIa</f>
        <v>72.206984059369717</v>
      </c>
      <c r="AC15" s="104">
        <f>MAX(Tabella3[[#This Row],[rest of Italy fit]]-CIa,0)</f>
        <v>0</v>
      </c>
      <c r="AD15" s="1"/>
      <c r="AE15" s="147" t="s">
        <v>5</v>
      </c>
      <c r="AF15" s="150">
        <f>TINV(0.05,dfw)</f>
        <v>2.0017174841452352</v>
      </c>
      <c r="AS15" s="134"/>
    </row>
    <row r="16" spans="2:45" x14ac:dyDescent="0.3">
      <c r="B16" s="9">
        <v>43893</v>
      </c>
      <c r="C16" s="4">
        <f t="shared" si="0"/>
        <v>9</v>
      </c>
      <c r="D16" s="104">
        <f>'dpc-covid19-ita-andamento-naz'!K10</f>
        <v>79</v>
      </c>
      <c r="E16" s="104">
        <f>(Tabella3[[#This Row],[Italy cumul. Data]]-D15)</f>
        <v>27</v>
      </c>
      <c r="F16" s="104">
        <f>Tabella3[[#This Row],[Italy data]]*NOT(ISBLANK(Tabella3[[#This Row],[Italy data]]))</f>
        <v>27</v>
      </c>
      <c r="G16" s="136">
        <f>Tabella8[[#This Row],[Italy fit]]</f>
        <v>0.61364003481157581</v>
      </c>
      <c r="H16" s="109">
        <f>Tabella3[[#This Row],[Lombardy fit]]+Tabella3[[#This Row],[rest of Italy fit]]</f>
        <v>6.3529613830601068</v>
      </c>
      <c r="I16" s="104">
        <f>Kf*_xlfn.LOGNORM.DIST(Tabella3[[#This Row],[Day]],mu_f,sigma_f,FALSE)</f>
        <v>0.83374270336809919</v>
      </c>
      <c r="J16" s="104">
        <f>Tabella3[[#This Row],[Italy sum of regions]]*NOT(ISBLANK(Tabella3[[#This Row],[Italy data]]))</f>
        <v>6.3529613830601068</v>
      </c>
      <c r="K16" s="104">
        <f>Tabella3[[#This Row],[Italy fit]]*NOT(ISBLANK(Tabella3[[#This Row],[Italy data]]))</f>
        <v>0.83374270336809919</v>
      </c>
      <c r="L16" s="104">
        <f>Tabella3[[#This Row],[Italy fit]]+CIf</f>
        <v>230.07653227730108</v>
      </c>
      <c r="M16" s="104">
        <f>MAX(Tabella3[[#This Row],[Italy fit]]-CIf,0)</f>
        <v>0</v>
      </c>
      <c r="N16" s="4">
        <f>Tabella8[[#This Row],[Lombardy]]</f>
        <v>55</v>
      </c>
      <c r="O16" s="104">
        <f>(Tabella3[[#This Row],[Lombardy cumul. Data]]-N15)</f>
        <v>17</v>
      </c>
      <c r="P16" s="104">
        <f>Tabella3[[#This Row],[Lombardy data]]*NOT(ISBLANK(Tabella3[[#This Row],[Lombardy data]]))</f>
        <v>17</v>
      </c>
      <c r="Q16" s="10">
        <f>Tabella8[[#This Row],[Lombardy fit]]</f>
        <v>5.0233830678144296</v>
      </c>
      <c r="R16" s="104">
        <f>Kl*_xlfn.LOGNORM.DIST(Tabella3[[#This Row],[Day]],mu_l,sigma_l,FALSE)</f>
        <v>4.8022538395250915</v>
      </c>
      <c r="S16" s="104">
        <f>Tabella3[[#This Row],[Lombardy fit]]*NOT(ISBLANK(Tabella3[[#This Row],[Lombardy data]]))</f>
        <v>4.8022538395250915</v>
      </c>
      <c r="T16" s="104">
        <f>Tabella3[[#This Row],[Lombardy fit]]+CIl</f>
        <v>123.95026731882683</v>
      </c>
      <c r="U16" s="104">
        <f>MAX(Tabella3[[#This Row],[Lombardy fit]]-CIl,0)</f>
        <v>0</v>
      </c>
      <c r="V16" s="10">
        <f>Tabella8[[#This Row],[rest of Italy ]]</f>
        <v>24</v>
      </c>
      <c r="W16" s="10">
        <f>(Tabella3[[#This Row],[rest of Italy cum. Data]]-V15)</f>
        <v>10</v>
      </c>
      <c r="X16" s="104">
        <f>Tabella3[[#This Row],[rest of Italy data]]*NOT(ISBLANK(Tabella3[[#This Row],[rest of Italy data]]))</f>
        <v>10</v>
      </c>
      <c r="Y16" s="10">
        <f>Tabella8[[#This Row],[rest of Italy fit]]</f>
        <v>1.5448094802669017</v>
      </c>
      <c r="Z16" s="104">
        <f>Ka*_xlfn.LOGNORM.DIST(Tabella3[[#This Row],[Day]],mu_a,sigma_a,FALSE)</f>
        <v>1.5507075435350157</v>
      </c>
      <c r="AA16" s="104">
        <f>Tabella3[[#This Row],[rest of Italy fit]]*NOT(ISBLANK(Tabella3[[#This Row],[rest of Italy data]]))</f>
        <v>1.5507075435350157</v>
      </c>
      <c r="AB16" s="104">
        <f>Tabella3[[#This Row],[rest of Italy fit]]+CIa</f>
        <v>73.138746484372987</v>
      </c>
      <c r="AC16" s="104">
        <f>MAX(Tabella3[[#This Row],[rest of Italy fit]]-CIa,0)</f>
        <v>0</v>
      </c>
      <c r="AD16" s="1"/>
      <c r="AE16" s="147" t="s">
        <v>6</v>
      </c>
      <c r="AF16" s="148">
        <f>Critical_tw*SE_of_yw</f>
        <v>149.72772134894308</v>
      </c>
      <c r="AS16" s="134"/>
    </row>
    <row r="17" spans="2:45" ht="15" thickBot="1" x14ac:dyDescent="0.35">
      <c r="B17" s="9">
        <v>43894</v>
      </c>
      <c r="C17" s="4">
        <f t="shared" si="0"/>
        <v>10</v>
      </c>
      <c r="D17" s="104">
        <f>'dpc-covid19-ita-andamento-naz'!K11</f>
        <v>107</v>
      </c>
      <c r="E17" s="104">
        <f>(Tabella3[[#This Row],[Italy cumul. Data]]-D16)</f>
        <v>28</v>
      </c>
      <c r="F17" s="104">
        <f>Tabella3[[#This Row],[Italy data]]*NOT(ISBLANK(Tabella3[[#This Row],[Italy data]]))</f>
        <v>28</v>
      </c>
      <c r="G17" s="136">
        <f>Tabella8[[#This Row],[Italy fit]]</f>
        <v>2.1320480484178956</v>
      </c>
      <c r="H17" s="109">
        <f>Tabella3[[#This Row],[Lombardy fit]]+Tabella3[[#This Row],[rest of Italy fit]]</f>
        <v>13.056076397439057</v>
      </c>
      <c r="I17" s="104">
        <f>Kf*_xlfn.LOGNORM.DIST(Tabella3[[#This Row],[Day]],mu_f,sigma_f,FALSE)</f>
        <v>2.4335082506158314</v>
      </c>
      <c r="J17" s="104">
        <f>Tabella3[[#This Row],[Italy sum of regions]]*NOT(ISBLANK(Tabella3[[#This Row],[Italy data]]))</f>
        <v>13.056076397439057</v>
      </c>
      <c r="K17" s="104">
        <f>Tabella3[[#This Row],[Italy fit]]*NOT(ISBLANK(Tabella3[[#This Row],[Italy data]]))</f>
        <v>2.4335082506158314</v>
      </c>
      <c r="L17" s="104">
        <f>Tabella3[[#This Row],[Italy fit]]+CIf</f>
        <v>231.67629782454881</v>
      </c>
      <c r="M17" s="104">
        <f>MAX(Tabella3[[#This Row],[Italy fit]]-CIf,0)</f>
        <v>0</v>
      </c>
      <c r="N17" s="4">
        <f>Tabella8[[#This Row],[Lombardy]]</f>
        <v>73</v>
      </c>
      <c r="O17" s="104">
        <f>(Tabella3[[#This Row],[Lombardy cumul. Data]]-N16)</f>
        <v>18</v>
      </c>
      <c r="P17" s="104">
        <f>Tabella3[[#This Row],[Lombardy data]]*NOT(ISBLANK(Tabella3[[#This Row],[Lombardy data]]))</f>
        <v>18</v>
      </c>
      <c r="Q17" s="10">
        <f>Tabella8[[#This Row],[Lombardy fit]]</f>
        <v>12.082996983046794</v>
      </c>
      <c r="R17" s="104">
        <f>Kl*_xlfn.LOGNORM.DIST(Tabella3[[#This Row],[Day]],mu_l,sigma_l,FALSE)</f>
        <v>9.7360319565158697</v>
      </c>
      <c r="S17" s="104">
        <f>Tabella3[[#This Row],[Lombardy fit]]*NOT(ISBLANK(Tabella3[[#This Row],[Lombardy data]]))</f>
        <v>9.7360319565158697</v>
      </c>
      <c r="T17" s="104">
        <f>Tabella3[[#This Row],[Lombardy fit]]+CIl</f>
        <v>128.8840454358176</v>
      </c>
      <c r="U17" s="104">
        <f>MAX(Tabella3[[#This Row],[Lombardy fit]]-CIl,0)</f>
        <v>0</v>
      </c>
      <c r="V17" s="10">
        <f>Tabella8[[#This Row],[rest of Italy ]]</f>
        <v>34</v>
      </c>
      <c r="W17" s="10">
        <f>(Tabella3[[#This Row],[rest of Italy cum. Data]]-V16)</f>
        <v>10</v>
      </c>
      <c r="X17" s="104">
        <f>Tabella3[[#This Row],[rest of Italy data]]*NOT(ISBLANK(Tabella3[[#This Row],[rest of Italy data]]))</f>
        <v>10</v>
      </c>
      <c r="Y17" s="10">
        <f>Tabella8[[#This Row],[rest of Italy fit]]</f>
        <v>3.8954138610912019</v>
      </c>
      <c r="Z17" s="104">
        <f>Ka*_xlfn.LOGNORM.DIST(Tabella3[[#This Row],[Day]],mu_a,sigma_a,FALSE)</f>
        <v>3.3200444409231875</v>
      </c>
      <c r="AA17" s="104">
        <f>Tabella3[[#This Row],[rest of Italy fit]]*NOT(ISBLANK(Tabella3[[#This Row],[rest of Italy data]]))</f>
        <v>3.3200444409231875</v>
      </c>
      <c r="AB17" s="104">
        <f>Tabella3[[#This Row],[rest of Italy fit]]+CIa</f>
        <v>74.908083381761159</v>
      </c>
      <c r="AC17" s="104">
        <f>MAX(Tabella3[[#This Row],[rest of Italy fit]]-CIa,0)</f>
        <v>0</v>
      </c>
      <c r="AD17" s="1"/>
      <c r="AE17" s="151" t="s">
        <v>99</v>
      </c>
      <c r="AF17" s="152">
        <f>MAX(Tabella3[Italy sum of regions])</f>
        <v>753.70673225916744</v>
      </c>
      <c r="AS17" s="135"/>
    </row>
    <row r="18" spans="2:45" ht="15" thickTop="1" x14ac:dyDescent="0.3">
      <c r="B18" s="18">
        <v>43895</v>
      </c>
      <c r="C18" s="4">
        <f t="shared" si="0"/>
        <v>11</v>
      </c>
      <c r="D18" s="104">
        <f>'dpc-covid19-ita-andamento-naz'!K12</f>
        <v>148</v>
      </c>
      <c r="E18" s="104">
        <f>(Tabella3[[#This Row],[Italy cumul. Data]]-D17)</f>
        <v>41</v>
      </c>
      <c r="F18" s="104">
        <f>Tabella3[[#This Row],[Italy data]]*NOT(ISBLANK(Tabella3[[#This Row],[Italy data]]))</f>
        <v>41</v>
      </c>
      <c r="G18" s="136">
        <f>Tabella8[[#This Row],[Italy fit]]</f>
        <v>6.1105988386481052</v>
      </c>
      <c r="H18" s="109">
        <f>Tabella3[[#This Row],[Lombardy fit]]+Tabella3[[#This Row],[rest of Italy fit]]</f>
        <v>23.795220207408324</v>
      </c>
      <c r="I18" s="104">
        <f>Kf*_xlfn.LOGNORM.DIST(Tabella3[[#This Row],[Day]],mu_f,sigma_f,FALSE)</f>
        <v>5.9338751854068255</v>
      </c>
      <c r="J18" s="104">
        <f>Tabella3[[#This Row],[Italy sum of regions]]*NOT(ISBLANK(Tabella3[[#This Row],[Italy data]]))</f>
        <v>23.795220207408324</v>
      </c>
      <c r="K18" s="104">
        <f>Tabella3[[#This Row],[Italy fit]]*NOT(ISBLANK(Tabella3[[#This Row],[Italy data]]))</f>
        <v>5.9338751854068255</v>
      </c>
      <c r="L18" s="104">
        <f>Tabella3[[#This Row],[Italy fit]]+CIf</f>
        <v>235.17666475933981</v>
      </c>
      <c r="M18" s="104">
        <f>MAX(Tabella3[[#This Row],[Italy fit]]-CIf,0)</f>
        <v>0</v>
      </c>
      <c r="N18" s="4">
        <f>Tabella8[[#This Row],[Lombardy]]</f>
        <v>98</v>
      </c>
      <c r="O18" s="104">
        <f>(Tabella3[[#This Row],[Lombardy cumul. Data]]-N17)</f>
        <v>25</v>
      </c>
      <c r="P18" s="104">
        <f>Tabella3[[#This Row],[Lombardy data]]*NOT(ISBLANK(Tabella3[[#This Row],[Lombardy data]]))</f>
        <v>25</v>
      </c>
      <c r="Q18" s="10">
        <f>Tabella8[[#This Row],[Lombardy fit]]</f>
        <v>25.441162838426159</v>
      </c>
      <c r="R18" s="104">
        <f>Kl*_xlfn.LOGNORM.DIST(Tabella3[[#This Row],[Day]],mu_l,sigma_l,FALSE)</f>
        <v>17.501442613772433</v>
      </c>
      <c r="S18" s="104">
        <f>Tabella3[[#This Row],[Lombardy fit]]*NOT(ISBLANK(Tabella3[[#This Row],[Lombardy data]]))</f>
        <v>17.501442613772433</v>
      </c>
      <c r="T18" s="104">
        <f>Tabella3[[#This Row],[Lombardy fit]]+CIl</f>
        <v>136.64945609307418</v>
      </c>
      <c r="U18" s="104">
        <f>MAX(Tabella3[[#This Row],[Lombardy fit]]-CIl,0)</f>
        <v>0</v>
      </c>
      <c r="V18" s="10">
        <f>Tabella8[[#This Row],[rest of Italy ]]</f>
        <v>50</v>
      </c>
      <c r="W18" s="10">
        <f>(Tabella3[[#This Row],[rest of Italy cum. Data]]-V17)</f>
        <v>16</v>
      </c>
      <c r="X18" s="104">
        <f>Tabella3[[#This Row],[rest of Italy data]]*NOT(ISBLANK(Tabella3[[#This Row],[rest of Italy data]]))</f>
        <v>16</v>
      </c>
      <c r="Y18" s="10">
        <f>Tabella8[[#This Row],[rest of Italy fit]]</f>
        <v>8.5864095639181297</v>
      </c>
      <c r="Z18" s="104">
        <f>Ka*_xlfn.LOGNORM.DIST(Tabella3[[#This Row],[Day]],mu_a,sigma_a,FALSE)</f>
        <v>6.293777593635892</v>
      </c>
      <c r="AA18" s="104">
        <f>Tabella3[[#This Row],[rest of Italy fit]]*NOT(ISBLANK(Tabella3[[#This Row],[rest of Italy data]]))</f>
        <v>6.293777593635892</v>
      </c>
      <c r="AB18" s="104">
        <f>Tabella3[[#This Row],[rest of Italy fit]]+CIa</f>
        <v>77.88181653447387</v>
      </c>
      <c r="AC18" s="104">
        <f>MAX(Tabella3[[#This Row],[rest of Italy fit]]-CIa,0)</f>
        <v>0</v>
      </c>
      <c r="AD18" s="1"/>
      <c r="AE18" s="151" t="s">
        <v>129</v>
      </c>
      <c r="AF18" s="153">
        <f>_xlfn.XLOOKUP(Peak_w,Tabella3[Italy sum of regions],Tabella3[Date])</f>
        <v>43919</v>
      </c>
      <c r="AS18" s="60">
        <f>MAX($AF$26)</f>
        <v>0.95616232187633798</v>
      </c>
    </row>
    <row r="19" spans="2:45" x14ac:dyDescent="0.3">
      <c r="B19" s="9">
        <v>43896</v>
      </c>
      <c r="C19" s="4">
        <f t="shared" si="0"/>
        <v>12</v>
      </c>
      <c r="D19" s="104">
        <f>'dpc-covid19-ita-andamento-naz'!K13</f>
        <v>197</v>
      </c>
      <c r="E19" s="104">
        <f>(Tabella3[[#This Row],[Italy cumul. Data]]-D18)</f>
        <v>49</v>
      </c>
      <c r="F19" s="104">
        <f>Tabella3[[#This Row],[Italy data]]*NOT(ISBLANK(Tabella3[[#This Row],[Italy data]]))</f>
        <v>49</v>
      </c>
      <c r="G19" s="136">
        <f>Tabella8[[#This Row],[Italy fit]]</f>
        <v>15.037516169387148</v>
      </c>
      <c r="H19" s="109">
        <f>Tabella3[[#This Row],[Lombardy fit]]+Tabella3[[#This Row],[rest of Italy fit]]</f>
        <v>39.446183482166234</v>
      </c>
      <c r="I19" s="104">
        <f>Kf*_xlfn.LOGNORM.DIST(Tabella3[[#This Row],[Day]],mu_f,sigma_f,FALSE)</f>
        <v>12.553628338172226</v>
      </c>
      <c r="J19" s="104">
        <f>Tabella3[[#This Row],[Italy sum of regions]]*NOT(ISBLANK(Tabella3[[#This Row],[Italy data]]))</f>
        <v>39.446183482166234</v>
      </c>
      <c r="K19" s="104">
        <f>Tabella3[[#This Row],[Italy fit]]*NOT(ISBLANK(Tabella3[[#This Row],[Italy data]]))</f>
        <v>12.553628338172226</v>
      </c>
      <c r="L19" s="104">
        <f>Tabella3[[#This Row],[Italy fit]]+CIf</f>
        <v>241.7964179121052</v>
      </c>
      <c r="M19" s="104">
        <f>MAX(Tabella3[[#This Row],[Italy fit]]-CIf,0)</f>
        <v>0</v>
      </c>
      <c r="N19" s="4">
        <f>Tabella8[[#This Row],[Lombardy]]</f>
        <v>135</v>
      </c>
      <c r="O19" s="104">
        <f>(Tabella3[[#This Row],[Lombardy cumul. Data]]-N18)</f>
        <v>37</v>
      </c>
      <c r="P19" s="104">
        <f>Tabella3[[#This Row],[Lombardy data]]*NOT(ISBLANK(Tabella3[[#This Row],[Lombardy data]]))</f>
        <v>37</v>
      </c>
      <c r="Q19" s="10">
        <f>Tabella8[[#This Row],[Lombardy fit]]</f>
        <v>48.203510219797678</v>
      </c>
      <c r="R19" s="104">
        <f>Kl*_xlfn.LOGNORM.DIST(Tabella3[[#This Row],[Day]],mu_l,sigma_l,FALSE)</f>
        <v>28.611449092577335</v>
      </c>
      <c r="S19" s="104">
        <f>Tabella3[[#This Row],[Lombardy fit]]*NOT(ISBLANK(Tabella3[[#This Row],[Lombardy data]]))</f>
        <v>28.611449092577335</v>
      </c>
      <c r="T19" s="104">
        <f>Tabella3[[#This Row],[Lombardy fit]]+CIl</f>
        <v>147.75946257187908</v>
      </c>
      <c r="U19" s="104">
        <f>MAX(Tabella3[[#This Row],[Lombardy fit]]-CIl,0)</f>
        <v>0</v>
      </c>
      <c r="V19" s="10">
        <f>Tabella8[[#This Row],[rest of Italy ]]</f>
        <v>62</v>
      </c>
      <c r="W19" s="10">
        <f>(Tabella3[[#This Row],[rest of Italy cum. Data]]-V18)</f>
        <v>12</v>
      </c>
      <c r="X19" s="104">
        <f>Tabella3[[#This Row],[rest of Italy data]]*NOT(ISBLANK(Tabella3[[#This Row],[rest of Italy data]]))</f>
        <v>12</v>
      </c>
      <c r="Y19" s="10">
        <f>Tabella8[[#This Row],[rest of Italy fit]]</f>
        <v>17.005945959212557</v>
      </c>
      <c r="Z19" s="104">
        <f>Ka*_xlfn.LOGNORM.DIST(Tabella3[[#This Row],[Day]],mu_a,sigma_a,FALSE)</f>
        <v>10.834734389588899</v>
      </c>
      <c r="AA19" s="104">
        <f>Tabella3[[#This Row],[rest of Italy fit]]*NOT(ISBLANK(Tabella3[[#This Row],[rest of Italy data]]))</f>
        <v>10.834734389588899</v>
      </c>
      <c r="AB19" s="104">
        <f>Tabella3[[#This Row],[rest of Italy fit]]+CIa</f>
        <v>82.422773330426878</v>
      </c>
      <c r="AC19" s="104">
        <f>MAX(Tabella3[[#This Row],[rest of Italy fit]]-CIa,0)</f>
        <v>0</v>
      </c>
      <c r="AD19" s="1"/>
      <c r="AE19" s="22" t="s">
        <v>78</v>
      </c>
      <c r="AF19" s="3" t="s">
        <v>118</v>
      </c>
      <c r="AS19" s="61">
        <f>COUNT($AF$20,$AF$21,$AF$22)</f>
        <v>3</v>
      </c>
    </row>
    <row r="20" spans="2:45" x14ac:dyDescent="0.3">
      <c r="B20" s="9">
        <v>43897</v>
      </c>
      <c r="C20" s="4">
        <f t="shared" si="0"/>
        <v>13</v>
      </c>
      <c r="D20" s="104">
        <f>'dpc-covid19-ita-andamento-naz'!K14</f>
        <v>233</v>
      </c>
      <c r="E20" s="104">
        <f>(Tabella3[[#This Row],[Italy cumul. Data]]-D19)</f>
        <v>36</v>
      </c>
      <c r="F20" s="104">
        <f>Tabella3[[#This Row],[Italy data]]*NOT(ISBLANK(Tabella3[[#This Row],[Italy data]]))</f>
        <v>36</v>
      </c>
      <c r="G20" s="136">
        <f>Tabella8[[#This Row],[Italy fit]]</f>
        <v>32.723583839783821</v>
      </c>
      <c r="H20" s="109">
        <f>Tabella3[[#This Row],[Lombardy fit]]+Tabella3[[#This Row],[rest of Italy fit]]</f>
        <v>60.592179915801211</v>
      </c>
      <c r="I20" s="104">
        <f>Kf*_xlfn.LOGNORM.DIST(Tabella3[[#This Row],[Day]],mu_f,sigma_f,FALSE)</f>
        <v>23.689849648791476</v>
      </c>
      <c r="J20" s="104">
        <f>Tabella3[[#This Row],[Italy sum of regions]]*NOT(ISBLANK(Tabella3[[#This Row],[Italy data]]))</f>
        <v>60.592179915801211</v>
      </c>
      <c r="K20" s="104">
        <f>Tabella3[[#This Row],[Italy fit]]*NOT(ISBLANK(Tabella3[[#This Row],[Italy data]]))</f>
        <v>23.689849648791476</v>
      </c>
      <c r="L20" s="104">
        <f>Tabella3[[#This Row],[Italy fit]]+CIf</f>
        <v>252.93263922272445</v>
      </c>
      <c r="M20" s="104">
        <f>MAX(Tabella3[[#This Row],[Italy fit]]-CIf,0)</f>
        <v>0</v>
      </c>
      <c r="N20" s="4">
        <f>Tabella8[[#This Row],[Lombardy]]</f>
        <v>154</v>
      </c>
      <c r="O20" s="104">
        <f>(Tabella3[[#This Row],[Lombardy cumul. Data]]-N19)</f>
        <v>19</v>
      </c>
      <c r="P20" s="104">
        <f>Tabella3[[#This Row],[Lombardy data]]*NOT(ISBLANK(Tabella3[[#This Row],[Lombardy data]]))</f>
        <v>19</v>
      </c>
      <c r="Q20" s="10">
        <f>Tabella8[[#This Row],[Lombardy fit]]</f>
        <v>83.872181073891952</v>
      </c>
      <c r="R20" s="104">
        <f>Kl*_xlfn.LOGNORM.DIST(Tabella3[[#This Row],[Day]],mu_l,sigma_l,FALSE)</f>
        <v>43.336435234482018</v>
      </c>
      <c r="S20" s="104">
        <f>Tabella3[[#This Row],[Lombardy fit]]*NOT(ISBLANK(Tabella3[[#This Row],[Lombardy data]]))</f>
        <v>43.336435234482018</v>
      </c>
      <c r="T20" s="104">
        <f>Tabella3[[#This Row],[Lombardy fit]]+CIl</f>
        <v>162.48444871378376</v>
      </c>
      <c r="U20" s="104">
        <f>MAX(Tabella3[[#This Row],[Lombardy fit]]-CIl,0)</f>
        <v>0</v>
      </c>
      <c r="V20" s="10">
        <f>Tabella8[[#This Row],[rest of Italy ]]</f>
        <v>79</v>
      </c>
      <c r="W20" s="10">
        <f>(Tabella3[[#This Row],[rest of Italy cum. Data]]-V19)</f>
        <v>17</v>
      </c>
      <c r="X20" s="104">
        <f>Tabella3[[#This Row],[rest of Italy data]]*NOT(ISBLANK(Tabella3[[#This Row],[rest of Italy data]]))</f>
        <v>17</v>
      </c>
      <c r="Y20" s="10">
        <f>Tabella8[[#This Row],[rest of Italy fit]]</f>
        <v>30.883543547934824</v>
      </c>
      <c r="Z20" s="104">
        <f>Ka*_xlfn.LOGNORM.DIST(Tabella3[[#This Row],[Day]],mu_a,sigma_a,FALSE)</f>
        <v>17.255744681319193</v>
      </c>
      <c r="AA20" s="104">
        <f>Tabella3[[#This Row],[rest of Italy fit]]*NOT(ISBLANK(Tabella3[[#This Row],[rest of Italy data]]))</f>
        <v>17.255744681319193</v>
      </c>
      <c r="AB20" s="104">
        <f>Tabella3[[#This Row],[rest of Italy fit]]+CIa</f>
        <v>88.843783622157162</v>
      </c>
      <c r="AC20" s="104">
        <f>MAX(Tabella3[[#This Row],[rest of Italy fit]]-CIa,0)</f>
        <v>0</v>
      </c>
      <c r="AD20" s="1"/>
      <c r="AE20" s="17" t="s">
        <v>0</v>
      </c>
      <c r="AF20" s="5">
        <f>Kr</f>
        <v>14999.999976124256</v>
      </c>
      <c r="AS20" s="61">
        <f>{32767;32767;0.000001;0;FALSE;FALSE;FALSE;1;2;1;0.0001;TRUE}</f>
        <v>32767</v>
      </c>
    </row>
    <row r="21" spans="2:45" x14ac:dyDescent="0.3">
      <c r="B21" s="18">
        <v>43898</v>
      </c>
      <c r="C21" s="4">
        <f t="shared" si="0"/>
        <v>14</v>
      </c>
      <c r="D21" s="104">
        <f>'dpc-covid19-ita-andamento-naz'!K15</f>
        <v>366</v>
      </c>
      <c r="E21" s="104">
        <f>(Tabella3[[#This Row],[Italy cumul. Data]]-D20)</f>
        <v>133</v>
      </c>
      <c r="F21" s="104">
        <f>Tabella3[[#This Row],[Italy data]]*NOT(ISBLANK(Tabella3[[#This Row],[Italy data]]))</f>
        <v>133</v>
      </c>
      <c r="G21" s="136">
        <f>Tabella8[[#This Row],[Italy fit]]</f>
        <v>64.383304984168021</v>
      </c>
      <c r="H21" s="109">
        <f>Tabella3[[#This Row],[Lombardy fit]]+Tabella3[[#This Row],[rest of Italy fit]]</f>
        <v>87.453930800429589</v>
      </c>
      <c r="I21" s="104">
        <f>Kf*_xlfn.LOGNORM.DIST(Tabella3[[#This Row],[Day]],mu_f,sigma_f,FALSE)</f>
        <v>40.716106606059206</v>
      </c>
      <c r="J21" s="104">
        <f>Tabella3[[#This Row],[Italy sum of regions]]*NOT(ISBLANK(Tabella3[[#This Row],[Italy data]]))</f>
        <v>87.453930800429589</v>
      </c>
      <c r="K21" s="104">
        <f>Tabella3[[#This Row],[Italy fit]]*NOT(ISBLANK(Tabella3[[#This Row],[Italy data]]))</f>
        <v>40.716106606059206</v>
      </c>
      <c r="L21" s="104">
        <f>Tabella3[[#This Row],[Italy fit]]+CIf</f>
        <v>269.95889617999217</v>
      </c>
      <c r="M21" s="104">
        <f>MAX(Tabella3[[#This Row],[Italy fit]]-CIf,0)</f>
        <v>0</v>
      </c>
      <c r="N21" s="4">
        <f>Tabella8[[#This Row],[Lombardy]]</f>
        <v>267</v>
      </c>
      <c r="O21" s="104">
        <f>(Tabella3[[#This Row],[Lombardy cumul. Data]]-N20)</f>
        <v>113</v>
      </c>
      <c r="P21" s="104">
        <f>Tabella3[[#This Row],[Lombardy data]]*NOT(ISBLANK(Tabella3[[#This Row],[Lombardy data]]))</f>
        <v>113</v>
      </c>
      <c r="Q21" s="10">
        <f>Tabella8[[#This Row],[Lombardy fit]]</f>
        <v>136.08249590093126</v>
      </c>
      <c r="R21" s="104">
        <f>Kl*_xlfn.LOGNORM.DIST(Tabella3[[#This Row],[Day]],mu_l,sigma_l,FALSE)</f>
        <v>61.670807924056909</v>
      </c>
      <c r="S21" s="104">
        <f>Tabella3[[#This Row],[Lombardy fit]]*NOT(ISBLANK(Tabella3[[#This Row],[Lombardy data]]))</f>
        <v>61.670807924056909</v>
      </c>
      <c r="T21" s="104">
        <f>Tabella3[[#This Row],[Lombardy fit]]+CIl</f>
        <v>180.81882140335864</v>
      </c>
      <c r="U21" s="104">
        <f>MAX(Tabella3[[#This Row],[Lombardy fit]]-CIl,0)</f>
        <v>0</v>
      </c>
      <c r="V21" s="10">
        <f>Tabella8[[#This Row],[rest of Italy ]]</f>
        <v>99</v>
      </c>
      <c r="W21" s="10">
        <f>(Tabella3[[#This Row],[rest of Italy cum. Data]]-V20)</f>
        <v>20</v>
      </c>
      <c r="X21" s="104">
        <f>Tabella3[[#This Row],[rest of Italy data]]*NOT(ISBLANK(Tabella3[[#This Row],[rest of Italy data]]))</f>
        <v>20</v>
      </c>
      <c r="Y21" s="10">
        <f>Tabella8[[#This Row],[rest of Italy fit]]</f>
        <v>52.220788742509427</v>
      </c>
      <c r="Z21" s="104">
        <f>Ka*_xlfn.LOGNORM.DIST(Tabella3[[#This Row],[Day]],mu_a,sigma_a,FALSE)</f>
        <v>25.783122876372683</v>
      </c>
      <c r="AA21" s="104">
        <f>Tabella3[[#This Row],[rest of Italy fit]]*NOT(ISBLANK(Tabella3[[#This Row],[rest of Italy data]]))</f>
        <v>25.783122876372683</v>
      </c>
      <c r="AB21" s="104">
        <f>Tabella3[[#This Row],[rest of Italy fit]]+CIa</f>
        <v>97.371161817210663</v>
      </c>
      <c r="AC21" s="104">
        <f>MAX(Tabella3[[#This Row],[rest of Italy fit]]-CIa,0)</f>
        <v>0</v>
      </c>
      <c r="AD21" s="1"/>
      <c r="AE21" s="117" t="s">
        <v>308</v>
      </c>
      <c r="AF21" s="34">
        <f>mu_r</f>
        <v>3.6437753262391341</v>
      </c>
      <c r="AS21" s="61">
        <f>{0;0;1;100;0;FALSE;FALSE;0.075;0;0;FALSE;30}</f>
        <v>0</v>
      </c>
    </row>
    <row r="22" spans="2:45" x14ac:dyDescent="0.3">
      <c r="B22" s="9">
        <v>43899</v>
      </c>
      <c r="C22" s="4">
        <f t="shared" si="0"/>
        <v>15</v>
      </c>
      <c r="D22" s="104">
        <f>'dpc-covid19-ita-andamento-naz'!K16</f>
        <v>463</v>
      </c>
      <c r="E22" s="104">
        <f>(Tabella3[[#This Row],[Italy cumul. Data]]-D21)</f>
        <v>97</v>
      </c>
      <c r="F22" s="104">
        <f>Tabella3[[#This Row],[Italy data]]*NOT(ISBLANK(Tabella3[[#This Row],[Italy data]]))</f>
        <v>97</v>
      </c>
      <c r="G22" s="136">
        <f>Tabella8[[#This Row],[Italy fit]]</f>
        <v>116.50098376776548</v>
      </c>
      <c r="H22" s="109">
        <f>Tabella3[[#This Row],[Lombardy fit]]+Tabella3[[#This Row],[rest of Italy fit]]</f>
        <v>119.87828154229183</v>
      </c>
      <c r="I22" s="104">
        <f>Kf*_xlfn.LOGNORM.DIST(Tabella3[[#This Row],[Day]],mu_f,sigma_f,FALSE)</f>
        <v>64.763386590910756</v>
      </c>
      <c r="J22" s="104">
        <f>Tabella3[[#This Row],[Italy sum of regions]]*NOT(ISBLANK(Tabella3[[#This Row],[Italy data]]))</f>
        <v>119.87828154229183</v>
      </c>
      <c r="K22" s="104">
        <f>Tabella3[[#This Row],[Italy fit]]*NOT(ISBLANK(Tabella3[[#This Row],[Italy data]]))</f>
        <v>64.763386590910756</v>
      </c>
      <c r="L22" s="104">
        <f>Tabella3[[#This Row],[Italy fit]]+CIf</f>
        <v>294.00617616484374</v>
      </c>
      <c r="M22" s="104">
        <f>MAX(Tabella3[[#This Row],[Italy fit]]-CIf,0)</f>
        <v>0</v>
      </c>
      <c r="N22" s="4">
        <f>Tabella8[[#This Row],[Lombardy]]</f>
        <v>333</v>
      </c>
      <c r="O22" s="104">
        <f>(Tabella3[[#This Row],[Lombardy cumul. Data]]-N21)</f>
        <v>66</v>
      </c>
      <c r="P22" s="104">
        <f>Tabella3[[#This Row],[Lombardy data]]*NOT(ISBLANK(Tabella3[[#This Row],[Lombardy data]]))</f>
        <v>66</v>
      </c>
      <c r="Q22" s="10">
        <f>Tabella8[[#This Row],[Lombardy fit]]</f>
        <v>208.3292450687064</v>
      </c>
      <c r="R22" s="104">
        <f>Kl*_xlfn.LOGNORM.DIST(Tabella3[[#This Row],[Day]],mu_l,sigma_l,FALSE)</f>
        <v>83.344068430864382</v>
      </c>
      <c r="S22" s="104">
        <f>Tabella3[[#This Row],[Lombardy fit]]*NOT(ISBLANK(Tabella3[[#This Row],[Lombardy data]]))</f>
        <v>83.344068430864382</v>
      </c>
      <c r="T22" s="104">
        <f>Tabella3[[#This Row],[Lombardy fit]]+CIl</f>
        <v>202.49208191016612</v>
      </c>
      <c r="U22" s="104">
        <f>MAX(Tabella3[[#This Row],[Lombardy fit]]-CIl,0)</f>
        <v>0</v>
      </c>
      <c r="V22" s="10">
        <f>Tabella8[[#This Row],[rest of Italy ]]</f>
        <v>130</v>
      </c>
      <c r="W22" s="10">
        <f>(Tabella3[[#This Row],[rest of Italy cum. Data]]-V21)</f>
        <v>31</v>
      </c>
      <c r="X22" s="104">
        <f>Tabella3[[#This Row],[rest of Italy data]]*NOT(ISBLANK(Tabella3[[#This Row],[rest of Italy data]]))</f>
        <v>31</v>
      </c>
      <c r="Y22" s="10">
        <f>Tabella8[[#This Row],[rest of Italy fit]]</f>
        <v>83.192340478017726</v>
      </c>
      <c r="Z22" s="104">
        <f>Ka*_xlfn.LOGNORM.DIST(Tabella3[[#This Row],[Day]],mu_a,sigma_a,FALSE)</f>
        <v>36.534213111427455</v>
      </c>
      <c r="AA22" s="104">
        <f>Tabella3[[#This Row],[rest of Italy fit]]*NOT(ISBLANK(Tabella3[[#This Row],[rest of Italy data]]))</f>
        <v>36.534213111427455</v>
      </c>
      <c r="AB22" s="104">
        <f>Tabella3[[#This Row],[rest of Italy fit]]+CIa</f>
        <v>108.12225205226542</v>
      </c>
      <c r="AC22" s="104">
        <f>MAX(Tabella3[[#This Row],[rest of Italy fit]]-CIa,0)</f>
        <v>0</v>
      </c>
      <c r="AD22" s="1"/>
      <c r="AE22" s="17" t="s">
        <v>309</v>
      </c>
      <c r="AF22" s="34">
        <f>sigma_r</f>
        <v>0.42524875276905943</v>
      </c>
      <c r="AS22" s="61">
        <f>{32767;32767;0.000001;0;FALSE;FALSE;FALSE;1;2;1;0.0001;TRUE}</f>
        <v>32767</v>
      </c>
    </row>
    <row r="23" spans="2:45" x14ac:dyDescent="0.3">
      <c r="B23" s="18">
        <v>43900</v>
      </c>
      <c r="C23" s="4">
        <f t="shared" si="0"/>
        <v>16</v>
      </c>
      <c r="D23" s="104">
        <f>'dpc-covid19-ita-andamento-naz'!K17</f>
        <v>631</v>
      </c>
      <c r="E23" s="104">
        <f>(Tabella3[[#This Row],[Italy cumul. Data]]-D22)</f>
        <v>168</v>
      </c>
      <c r="F23" s="104">
        <f>Tabella3[[#This Row],[Italy data]]*NOT(ISBLANK(Tabella3[[#This Row],[Italy data]]))</f>
        <v>168</v>
      </c>
      <c r="G23" s="136">
        <f>Tabella8[[#This Row],[Italy fit]]</f>
        <v>196.49107565085549</v>
      </c>
      <c r="H23" s="109">
        <f>Tabella3[[#This Row],[Lombardy fit]]+Tabella3[[#This Row],[rest of Italy fit]]</f>
        <v>157.37376150836417</v>
      </c>
      <c r="I23" s="104">
        <f>Kf*_xlfn.LOGNORM.DIST(Tabella3[[#This Row],[Day]],mu_f,sigma_f,FALSE)</f>
        <v>96.535211938548031</v>
      </c>
      <c r="J23" s="104">
        <f>Tabella3[[#This Row],[Italy sum of regions]]*NOT(ISBLANK(Tabella3[[#This Row],[Italy data]]))</f>
        <v>157.37376150836417</v>
      </c>
      <c r="K23" s="104">
        <f>Tabella3[[#This Row],[Italy fit]]*NOT(ISBLANK(Tabella3[[#This Row],[Italy data]]))</f>
        <v>96.535211938548031</v>
      </c>
      <c r="L23" s="104">
        <f>Tabella3[[#This Row],[Italy fit]]+CIf</f>
        <v>325.77800151248101</v>
      </c>
      <c r="M23" s="104">
        <f>MAX(Tabella3[[#This Row],[Italy fit]]-CIf,0)</f>
        <v>0</v>
      </c>
      <c r="N23" s="4">
        <f>Tabella8[[#This Row],[Lombardy]]</f>
        <v>468</v>
      </c>
      <c r="O23" s="104">
        <f>(Tabella3[[#This Row],[Lombardy cumul. Data]]-N22)</f>
        <v>135</v>
      </c>
      <c r="P23" s="104">
        <f>Tabella3[[#This Row],[Lombardy data]]*NOT(ISBLANK(Tabella3[[#This Row],[Lombardy data]]))</f>
        <v>135</v>
      </c>
      <c r="Q23" s="10">
        <f>Tabella8[[#This Row],[Lombardy fit]]</f>
        <v>303.72134856665798</v>
      </c>
      <c r="R23" s="104">
        <f>Kl*_xlfn.LOGNORM.DIST(Tabella3[[#This Row],[Day]],mu_l,sigma_l,FALSE)</f>
        <v>107.8641101456838</v>
      </c>
      <c r="S23" s="104">
        <f>Tabella3[[#This Row],[Lombardy fit]]*NOT(ISBLANK(Tabella3[[#This Row],[Lombardy data]]))</f>
        <v>107.8641101456838</v>
      </c>
      <c r="T23" s="104">
        <f>Tabella3[[#This Row],[Lombardy fit]]+CIl</f>
        <v>227.01212362498552</v>
      </c>
      <c r="U23" s="104">
        <f>MAX(Tabella3[[#This Row],[Lombardy fit]]-CIl,0)</f>
        <v>0</v>
      </c>
      <c r="V23" s="10">
        <f>Tabella8[[#This Row],[rest of Italy ]]</f>
        <v>163</v>
      </c>
      <c r="W23" s="10">
        <f>(Tabella3[[#This Row],[rest of Italy cum. Data]]-V22)</f>
        <v>33</v>
      </c>
      <c r="X23" s="104">
        <f>Tabella3[[#This Row],[rest of Italy data]]*NOT(ISBLANK(Tabella3[[#This Row],[rest of Italy data]]))</f>
        <v>33</v>
      </c>
      <c r="Y23" s="10">
        <f>Tabella8[[#This Row],[rest of Italy fit]]</f>
        <v>126.03191823669579</v>
      </c>
      <c r="Z23" s="104">
        <f>Ka*_xlfn.LOGNORM.DIST(Tabella3[[#This Row],[Day]],mu_a,sigma_a,FALSE)</f>
        <v>49.509651362680373</v>
      </c>
      <c r="AA23" s="104">
        <f>Tabella3[[#This Row],[rest of Italy fit]]*NOT(ISBLANK(Tabella3[[#This Row],[rest of Italy data]]))</f>
        <v>49.509651362680373</v>
      </c>
      <c r="AB23" s="104">
        <f>Tabella3[[#This Row],[rest of Italy fit]]+CIa</f>
        <v>121.09769030351835</v>
      </c>
      <c r="AC23" s="104">
        <f>MAX(Tabella3[[#This Row],[rest of Italy fit]]-CIa,0)</f>
        <v>0</v>
      </c>
      <c r="AD23" s="1"/>
      <c r="AE23" s="2" t="s">
        <v>1</v>
      </c>
      <c r="AF23" s="6">
        <f>AVERAGE(Tabella3[Lombardy data])</f>
        <v>219.55172413793105</v>
      </c>
      <c r="AS23" s="62">
        <f>{0;0;1;100;0;FALSE;FALSE;0.075;0;0;FALSE;30}</f>
        <v>0</v>
      </c>
    </row>
    <row r="24" spans="2:45" x14ac:dyDescent="0.3">
      <c r="B24" s="9">
        <v>43901</v>
      </c>
      <c r="C24" s="4">
        <f t="shared" si="0"/>
        <v>17</v>
      </c>
      <c r="D24" s="104">
        <f>'dpc-covid19-ita-andamento-naz'!K18</f>
        <v>827</v>
      </c>
      <c r="E24" s="104">
        <f>(Tabella3[[#This Row],[Italy cumul. Data]]-D23)</f>
        <v>196</v>
      </c>
      <c r="F24" s="104">
        <f>Tabella3[[#This Row],[Italy data]]*NOT(ISBLANK(Tabella3[[#This Row],[Italy data]]))</f>
        <v>196</v>
      </c>
      <c r="G24" s="136">
        <f>Tabella8[[#This Row],[Italy fit]]</f>
        <v>312.20618413893664</v>
      </c>
      <c r="H24" s="109">
        <f>Tabella3[[#This Row],[Lombardy fit]]+Tabella3[[#This Row],[rest of Italy fit]]</f>
        <v>199.17673512959965</v>
      </c>
      <c r="I24" s="104">
        <f>Kf*_xlfn.LOGNORM.DIST(Tabella3[[#This Row],[Day]],mu_f,sigma_f,FALSE)</f>
        <v>136.19182354957368</v>
      </c>
      <c r="J24" s="104">
        <f>Tabella3[[#This Row],[Italy sum of regions]]*NOT(ISBLANK(Tabella3[[#This Row],[Italy data]]))</f>
        <v>199.17673512959965</v>
      </c>
      <c r="K24" s="104">
        <f>Tabella3[[#This Row],[Italy fit]]*NOT(ISBLANK(Tabella3[[#This Row],[Italy data]]))</f>
        <v>136.19182354957368</v>
      </c>
      <c r="L24" s="104">
        <f>Tabella3[[#This Row],[Italy fit]]+CIf</f>
        <v>365.43461312350667</v>
      </c>
      <c r="M24" s="104">
        <f>MAX(Tabella3[[#This Row],[Italy fit]]-CIf,0)</f>
        <v>0</v>
      </c>
      <c r="N24" s="4">
        <f>Tabella8[[#This Row],[Lombardy]]</f>
        <v>617</v>
      </c>
      <c r="O24" s="104">
        <f>(Tabella3[[#This Row],[Lombardy cumul. Data]]-N23)</f>
        <v>149</v>
      </c>
      <c r="P24" s="104">
        <f>Tabella3[[#This Row],[Lombardy data]]*NOT(ISBLANK(Tabella3[[#This Row],[Lombardy data]]))</f>
        <v>149</v>
      </c>
      <c r="Q24" s="10">
        <f>Tabella8[[#This Row],[Lombardy fit]]</f>
        <v>424.78991839519915</v>
      </c>
      <c r="R24" s="104">
        <f>Kl*_xlfn.LOGNORM.DIST(Tabella3[[#This Row],[Day]],mu_l,sigma_l,FALSE)</f>
        <v>134.57839462858956</v>
      </c>
      <c r="S24" s="104">
        <f>Tabella3[[#This Row],[Lombardy fit]]*NOT(ISBLANK(Tabella3[[#This Row],[Lombardy data]]))</f>
        <v>134.57839462858956</v>
      </c>
      <c r="T24" s="104">
        <f>Tabella3[[#This Row],[Lombardy fit]]+CIl</f>
        <v>253.7264081078913</v>
      </c>
      <c r="U24" s="104">
        <f>MAX(Tabella3[[#This Row],[Lombardy fit]]-CIl,0)</f>
        <v>15.430381149287825</v>
      </c>
      <c r="V24" s="10">
        <f>Tabella8[[#This Row],[rest of Italy ]]</f>
        <v>210</v>
      </c>
      <c r="W24" s="10">
        <f>(Tabella3[[#This Row],[rest of Italy cum. Data]]-V23)</f>
        <v>47</v>
      </c>
      <c r="X24" s="104">
        <f>Tabella3[[#This Row],[rest of Italy data]]*NOT(ISBLANK(Tabella3[[#This Row],[rest of Italy data]]))</f>
        <v>47</v>
      </c>
      <c r="Y24" s="10">
        <f>Tabella8[[#This Row],[rest of Italy fit]]</f>
        <v>182.91714966296232</v>
      </c>
      <c r="Z24" s="104">
        <f>Ka*_xlfn.LOGNORM.DIST(Tabella3[[#This Row],[Day]],mu_a,sigma_a,FALSE)</f>
        <v>64.598340501010071</v>
      </c>
      <c r="AA24" s="104">
        <f>Tabella3[[#This Row],[rest of Italy fit]]*NOT(ISBLANK(Tabella3[[#This Row],[rest of Italy data]]))</f>
        <v>64.598340501010071</v>
      </c>
      <c r="AB24" s="104">
        <f>Tabella3[[#This Row],[rest of Italy fit]]+CIa</f>
        <v>136.18637944184803</v>
      </c>
      <c r="AC24" s="104">
        <f>MAX(Tabella3[[#This Row],[rest of Italy fit]]-CIa,0)</f>
        <v>0</v>
      </c>
      <c r="AD24" s="1"/>
      <c r="AE24" s="2" t="s">
        <v>2</v>
      </c>
      <c r="AF24" s="1">
        <f>COUNT(Tabella3[Lombardy data])-COUNT(AF20:AF22)</f>
        <v>55</v>
      </c>
      <c r="AS24" s="63"/>
    </row>
    <row r="25" spans="2:45" x14ac:dyDescent="0.3">
      <c r="B25" s="18">
        <v>43902</v>
      </c>
      <c r="C25" s="4">
        <f t="shared" si="0"/>
        <v>18</v>
      </c>
      <c r="D25" s="104">
        <f>'dpc-covid19-ita-andamento-naz'!K19</f>
        <v>1016</v>
      </c>
      <c r="E25" s="104">
        <f>(Tabella3[[#This Row],[Italy cumul. Data]]-D24)</f>
        <v>189</v>
      </c>
      <c r="F25" s="104">
        <f>Tabella3[[#This Row],[Italy data]]*NOT(ISBLANK(Tabella3[[#This Row],[Italy data]]))</f>
        <v>189</v>
      </c>
      <c r="G25" s="136">
        <f>Tabella8[[#This Row],[Italy fit]]</f>
        <v>471.37007458393191</v>
      </c>
      <c r="H25" s="109">
        <f>Tabella3[[#This Row],[Lombardy fit]]+Tabella3[[#This Row],[rest of Italy fit]]</f>
        <v>244.33214471952397</v>
      </c>
      <c r="I25" s="104">
        <f>Kf*_xlfn.LOGNORM.DIST(Tabella3[[#This Row],[Day]],mu_f,sigma_f,FALSE)</f>
        <v>183.31643159928666</v>
      </c>
      <c r="J25" s="104">
        <f>Tabella3[[#This Row],[Italy sum of regions]]*NOT(ISBLANK(Tabella3[[#This Row],[Italy data]]))</f>
        <v>244.33214471952397</v>
      </c>
      <c r="K25" s="104">
        <f>Tabella3[[#This Row],[Italy fit]]*NOT(ISBLANK(Tabella3[[#This Row],[Italy data]]))</f>
        <v>183.31643159928666</v>
      </c>
      <c r="L25" s="104">
        <f>Tabella3[[#This Row],[Italy fit]]+CIf</f>
        <v>412.55922117321961</v>
      </c>
      <c r="M25" s="104">
        <f>MAX(Tabella3[[#This Row],[Italy fit]]-CIf,0)</f>
        <v>0</v>
      </c>
      <c r="N25" s="4">
        <f>Tabella8[[#This Row],[Lombardy]]</f>
        <v>744</v>
      </c>
      <c r="O25" s="104">
        <f>(Tabella3[[#This Row],[Lombardy cumul. Data]]-N24)</f>
        <v>127</v>
      </c>
      <c r="P25" s="104">
        <f>Tabella3[[#This Row],[Lombardy data]]*NOT(ISBLANK(Tabella3[[#This Row],[Lombardy data]]))</f>
        <v>127</v>
      </c>
      <c r="Q25" s="10">
        <f>Tabella8[[#This Row],[Lombardy fit]]</f>
        <v>573.36103008558632</v>
      </c>
      <c r="R25" s="104">
        <f>Kl*_xlfn.LOGNORM.DIST(Tabella3[[#This Row],[Day]],mu_l,sigma_l,FALSE)</f>
        <v>162.74033837506386</v>
      </c>
      <c r="S25" s="104">
        <f>Tabella3[[#This Row],[Lombardy fit]]*NOT(ISBLANK(Tabella3[[#This Row],[Lombardy data]]))</f>
        <v>162.74033837506386</v>
      </c>
      <c r="T25" s="104">
        <f>Tabella3[[#This Row],[Lombardy fit]]+CIl</f>
        <v>281.88835185436562</v>
      </c>
      <c r="U25" s="104">
        <f>MAX(Tabella3[[#This Row],[Lombardy fit]]-CIl,0)</f>
        <v>43.592324895762118</v>
      </c>
      <c r="V25" s="10">
        <f>Tabella8[[#This Row],[rest of Italy ]]</f>
        <v>272</v>
      </c>
      <c r="W25" s="10">
        <f>(Tabella3[[#This Row],[rest of Italy cum. Data]]-V24)</f>
        <v>62</v>
      </c>
      <c r="X25" s="104">
        <f>Tabella3[[#This Row],[rest of Italy data]]*NOT(ISBLANK(Tabella3[[#This Row],[rest of Italy data]]))</f>
        <v>62</v>
      </c>
      <c r="Y25" s="10">
        <f>Tabella8[[#This Row],[rest of Italy fit]]</f>
        <v>255.86438644768168</v>
      </c>
      <c r="Z25" s="104">
        <f>Ka*_xlfn.LOGNORM.DIST(Tabella3[[#This Row],[Day]],mu_a,sigma_a,FALSE)</f>
        <v>81.59180634446011</v>
      </c>
      <c r="AA25" s="104">
        <f>Tabella3[[#This Row],[rest of Italy fit]]*NOT(ISBLANK(Tabella3[[#This Row],[rest of Italy data]]))</f>
        <v>81.59180634446011</v>
      </c>
      <c r="AB25" s="104">
        <f>Tabella3[[#This Row],[rest of Italy fit]]+CIa</f>
        <v>153.17984528529809</v>
      </c>
      <c r="AC25" s="104">
        <f>MAX(Tabella3[[#This Row],[rest of Italy fit]]-CIa,0)</f>
        <v>10.003767403622135</v>
      </c>
      <c r="AD25" s="1"/>
      <c r="AE25" s="2" t="s">
        <v>3</v>
      </c>
      <c r="AF25" s="6" cm="1">
        <f t="array" ref="AF25">SQRT(SUM((Tabella3[Colonna3]-Tabella3[Colonna32])^2)/dfl)</f>
        <v>59.453767936138455</v>
      </c>
      <c r="AS25" s="64"/>
    </row>
    <row r="26" spans="2:45" ht="16.2" x14ac:dyDescent="0.3">
      <c r="B26" s="9">
        <v>43903</v>
      </c>
      <c r="C26" s="4">
        <f t="shared" si="0"/>
        <v>19</v>
      </c>
      <c r="D26" s="104">
        <f>'dpc-covid19-ita-andamento-naz'!K20</f>
        <v>1266</v>
      </c>
      <c r="E26" s="104">
        <f>(Tabella3[[#This Row],[Italy cumul. Data]]-D25)</f>
        <v>250</v>
      </c>
      <c r="F26" s="104">
        <f>Tabella3[[#This Row],[Italy data]]*NOT(ISBLANK(Tabella3[[#This Row],[Italy data]]))</f>
        <v>250</v>
      </c>
      <c r="G26" s="136">
        <f>Tabella8[[#This Row],[Italy fit]]</f>
        <v>681.01604800161465</v>
      </c>
      <c r="H26" s="109">
        <f>Tabella3[[#This Row],[Lombardy fit]]+Tabella3[[#This Row],[rest of Italy fit]]</f>
        <v>291.77592285928506</v>
      </c>
      <c r="I26" s="104">
        <f>Kf*_xlfn.LOGNORM.DIST(Tabella3[[#This Row],[Day]],mu_f,sigma_f,FALSE)</f>
        <v>236.95740092469643</v>
      </c>
      <c r="J26" s="104">
        <f>Tabella3[[#This Row],[Italy sum of regions]]*NOT(ISBLANK(Tabella3[[#This Row],[Italy data]]))</f>
        <v>291.77592285928506</v>
      </c>
      <c r="K26" s="104">
        <f>Tabella3[[#This Row],[Italy fit]]*NOT(ISBLANK(Tabella3[[#This Row],[Italy data]]))</f>
        <v>236.95740092469643</v>
      </c>
      <c r="L26" s="104">
        <f>Tabella3[[#This Row],[Italy fit]]+CIf</f>
        <v>466.20019049862941</v>
      </c>
      <c r="M26" s="104">
        <f>MAX(Tabella3[[#This Row],[Italy fit]]-CIf,0)</f>
        <v>7.7146113507634482</v>
      </c>
      <c r="N26" s="4">
        <f>Tabella8[[#This Row],[Lombardy]]</f>
        <v>890</v>
      </c>
      <c r="O26" s="104">
        <f>(Tabella3[[#This Row],[Lombardy cumul. Data]]-N25)</f>
        <v>146</v>
      </c>
      <c r="P26" s="104">
        <f>Tabella3[[#This Row],[Lombardy data]]*NOT(ISBLANK(Tabella3[[#This Row],[Lombardy data]]))</f>
        <v>146</v>
      </c>
      <c r="Q26" s="10">
        <f>Tabella8[[#This Row],[Lombardy fit]]</f>
        <v>750.49345734159601</v>
      </c>
      <c r="R26" s="104">
        <f>Kl*_xlfn.LOGNORM.DIST(Tabella3[[#This Row],[Day]],mu_l,sigma_l,FALSE)</f>
        <v>191.57161190519227</v>
      </c>
      <c r="S26" s="104">
        <f>Tabella3[[#This Row],[Lombardy fit]]*NOT(ISBLANK(Tabella3[[#This Row],[Lombardy data]]))</f>
        <v>191.57161190519227</v>
      </c>
      <c r="T26" s="104">
        <f>Tabella3[[#This Row],[Lombardy fit]]+CIl</f>
        <v>310.71962538449401</v>
      </c>
      <c r="U26" s="104">
        <f>MAX(Tabella3[[#This Row],[Lombardy fit]]-CIl,0)</f>
        <v>72.423598425890532</v>
      </c>
      <c r="V26" s="10">
        <f>Tabella8[[#This Row],[rest of Italy ]]</f>
        <v>376</v>
      </c>
      <c r="W26" s="10">
        <f>(Tabella3[[#This Row],[rest of Italy cum. Data]]-V25)</f>
        <v>104</v>
      </c>
      <c r="X26" s="104">
        <f>Tabella3[[#This Row],[rest of Italy data]]*NOT(ISBLANK(Tabella3[[#This Row],[rest of Italy data]]))</f>
        <v>104</v>
      </c>
      <c r="Y26" s="10">
        <f>Tabella8[[#This Row],[rest of Italy fit]]</f>
        <v>346.64104894540247</v>
      </c>
      <c r="Z26" s="104">
        <f>Ka*_xlfn.LOGNORM.DIST(Tabella3[[#This Row],[Day]],mu_a,sigma_a,FALSE)</f>
        <v>100.20431095409278</v>
      </c>
      <c r="AA26" s="104">
        <f>Tabella3[[#This Row],[rest of Italy fit]]*NOT(ISBLANK(Tabella3[[#This Row],[rest of Italy data]]))</f>
        <v>100.20431095409278</v>
      </c>
      <c r="AB26" s="104">
        <f>Tabella3[[#This Row],[rest of Italy fit]]+CIa</f>
        <v>171.79234989493074</v>
      </c>
      <c r="AC26" s="104">
        <f>MAX(Tabella3[[#This Row],[rest of Italy fit]]-CIa,0)</f>
        <v>28.6162720132548</v>
      </c>
      <c r="AD26" s="1"/>
      <c r="AE26" s="2" t="s">
        <v>4</v>
      </c>
      <c r="AF26" s="7" cm="1">
        <f t="array" ref="AF26">1-SUM((Tabella3[Colonna3]-Tabella3[Colonna32])^2)/SUM((Tabella3[Colonna3]-Mean_of_yl)^2)</f>
        <v>0.95616232187633798</v>
      </c>
      <c r="AS26" s="64"/>
    </row>
    <row r="27" spans="2:45" ht="15" thickBot="1" x14ac:dyDescent="0.35">
      <c r="B27" s="9">
        <v>43904</v>
      </c>
      <c r="C27" s="4">
        <f t="shared" si="0"/>
        <v>20</v>
      </c>
      <c r="D27" s="104">
        <f>'dpc-covid19-ita-andamento-naz'!K21</f>
        <v>1441</v>
      </c>
      <c r="E27" s="104">
        <f>(Tabella3[[#This Row],[Italy cumul. Data]]-D26)</f>
        <v>175</v>
      </c>
      <c r="F27" s="104">
        <f>Tabella3[[#This Row],[Italy data]]*NOT(ISBLANK(Tabella3[[#This Row],[Italy data]]))</f>
        <v>175</v>
      </c>
      <c r="G27" s="136">
        <f>Tabella8[[#This Row],[Italy fit]]</f>
        <v>946.99808315178439</v>
      </c>
      <c r="H27" s="109">
        <f>Tabella3[[#This Row],[Lombardy fit]]+Tabella3[[#This Row],[rest of Italy fit]]</f>
        <v>340.41012937084997</v>
      </c>
      <c r="I27" s="104">
        <f>Kf*_xlfn.LOGNORM.DIST(Tabella3[[#This Row],[Day]],mu_f,sigma_f,FALSE)</f>
        <v>295.7278952725668</v>
      </c>
      <c r="J27" s="104">
        <f>Tabella3[[#This Row],[Italy sum of regions]]*NOT(ISBLANK(Tabella3[[#This Row],[Italy data]]))</f>
        <v>340.41012937084997</v>
      </c>
      <c r="K27" s="104">
        <f>Tabella3[[#This Row],[Italy fit]]*NOT(ISBLANK(Tabella3[[#This Row],[Italy data]]))</f>
        <v>295.7278952725668</v>
      </c>
      <c r="L27" s="104">
        <f>Tabella3[[#This Row],[Italy fit]]+CIf</f>
        <v>524.97068484649981</v>
      </c>
      <c r="M27" s="104">
        <f>MAX(Tabella3[[#This Row],[Italy fit]]-CIf,0)</f>
        <v>66.485105698633816</v>
      </c>
      <c r="N27" s="4">
        <f>Tabella8[[#This Row],[Lombardy]]</f>
        <v>966</v>
      </c>
      <c r="O27" s="104">
        <f>(Tabella3[[#This Row],[Lombardy cumul. Data]]-N26)</f>
        <v>76</v>
      </c>
      <c r="P27" s="104">
        <f>Tabella3[[#This Row],[Lombardy data]]*NOT(ISBLANK(Tabella3[[#This Row],[Lombardy data]]))</f>
        <v>76</v>
      </c>
      <c r="Q27" s="10">
        <f>Tabella8[[#This Row],[Lombardy fit]]</f>
        <v>956.47415376469405</v>
      </c>
      <c r="R27" s="104">
        <f>Kl*_xlfn.LOGNORM.DIST(Tabella3[[#This Row],[Day]],mu_l,sigma_l,FALSE)</f>
        <v>220.31466762205912</v>
      </c>
      <c r="S27" s="104">
        <f>Tabella3[[#This Row],[Lombardy fit]]*NOT(ISBLANK(Tabella3[[#This Row],[Lombardy data]]))</f>
        <v>220.31466762205912</v>
      </c>
      <c r="T27" s="104">
        <f>Tabella3[[#This Row],[Lombardy fit]]+CIl</f>
        <v>339.46268110136089</v>
      </c>
      <c r="U27" s="104">
        <f>MAX(Tabella3[[#This Row],[Lombardy fit]]-CIl,0)</f>
        <v>101.16665414275738</v>
      </c>
      <c r="V27" s="10">
        <f>Tabella8[[#This Row],[rest of Italy ]]</f>
        <v>475</v>
      </c>
      <c r="W27" s="10">
        <f>(Tabella3[[#This Row],[rest of Italy cum. Data]]-V26)</f>
        <v>99</v>
      </c>
      <c r="X27" s="104">
        <f>Tabella3[[#This Row],[rest of Italy data]]*NOT(ISBLANK(Tabella3[[#This Row],[rest of Italy data]]))</f>
        <v>99</v>
      </c>
      <c r="Y27" s="10">
        <f>Tabella8[[#This Row],[rest of Italy fit]]</f>
        <v>456.6995780742028</v>
      </c>
      <c r="Z27" s="104">
        <f>Ka*_xlfn.LOGNORM.DIST(Tabella3[[#This Row],[Day]],mu_a,sigma_a,FALSE)</f>
        <v>120.09546174879087</v>
      </c>
      <c r="AA27" s="104">
        <f>Tabella3[[#This Row],[rest of Italy fit]]*NOT(ISBLANK(Tabella3[[#This Row],[rest of Italy data]]))</f>
        <v>120.09546174879087</v>
      </c>
      <c r="AB27" s="104">
        <f>Tabella3[[#This Row],[rest of Italy fit]]+CIa</f>
        <v>191.68350068962883</v>
      </c>
      <c r="AC27" s="104">
        <f>MAX(Tabella3[[#This Row],[rest of Italy fit]]-CIa,0)</f>
        <v>48.507422807952892</v>
      </c>
      <c r="AD27" s="1"/>
      <c r="AE27" s="2" t="s">
        <v>5</v>
      </c>
      <c r="AF27" s="7">
        <f>TINV(0.05,dfl)</f>
        <v>2.0040447832891455</v>
      </c>
      <c r="AS27" s="65"/>
    </row>
    <row r="28" spans="2:45" ht="15" thickTop="1" x14ac:dyDescent="0.3">
      <c r="B28" s="9">
        <v>43905</v>
      </c>
      <c r="C28" s="4">
        <f t="shared" si="0"/>
        <v>21</v>
      </c>
      <c r="D28" s="104">
        <f>'dpc-covid19-ita-andamento-naz'!K22</f>
        <v>1809</v>
      </c>
      <c r="E28" s="104">
        <f>(Tabella3[[#This Row],[Italy cumul. Data]]-D27)</f>
        <v>368</v>
      </c>
      <c r="F28" s="104">
        <f>Tabella3[[#This Row],[Italy data]]*NOT(ISBLANK(Tabella3[[#This Row],[Italy data]]))</f>
        <v>368</v>
      </c>
      <c r="G28" s="136">
        <f>Tabella8[[#This Row],[Italy fit]]</f>
        <v>1273.6205973441831</v>
      </c>
      <c r="H28" s="109">
        <f>Tabella3[[#This Row],[Lombardy fit]]+Tabella3[[#This Row],[rest of Italy fit]]</f>
        <v>389.1656355627332</v>
      </c>
      <c r="I28" s="104">
        <f>Kf*_xlfn.LOGNORM.DIST(Tabella3[[#This Row],[Day]],mu_f,sigma_f,FALSE)</f>
        <v>357.93947101712985</v>
      </c>
      <c r="J28" s="104">
        <f>Tabella3[[#This Row],[Italy sum of regions]]*NOT(ISBLANK(Tabella3[[#This Row],[Italy data]]))</f>
        <v>389.1656355627332</v>
      </c>
      <c r="K28" s="104">
        <f>Tabella3[[#This Row],[Italy fit]]*NOT(ISBLANK(Tabella3[[#This Row],[Italy data]]))</f>
        <v>357.93947101712985</v>
      </c>
      <c r="L28" s="104">
        <f>Tabella3[[#This Row],[Italy fit]]+CIf</f>
        <v>587.1822605910628</v>
      </c>
      <c r="M28" s="104">
        <f>MAX(Tabella3[[#This Row],[Italy fit]]-CIf,0)</f>
        <v>128.69668144319687</v>
      </c>
      <c r="N28" s="4">
        <f>Tabella8[[#This Row],[Lombardy]]</f>
        <v>1218</v>
      </c>
      <c r="O28" s="104">
        <f>(Tabella3[[#This Row],[Lombardy cumul. Data]]-N27)</f>
        <v>252</v>
      </c>
      <c r="P28" s="104">
        <f>Tabella3[[#This Row],[Lombardy data]]*NOT(ISBLANK(Tabella3[[#This Row],[Lombardy data]]))</f>
        <v>252</v>
      </c>
      <c r="Q28" s="10">
        <f>Tabella8[[#This Row],[Lombardy fit]]</f>
        <v>1190.8601861559616</v>
      </c>
      <c r="R28" s="104">
        <f>Kl*_xlfn.LOGNORM.DIST(Tabella3[[#This Row],[Day]],mu_l,sigma_l,FALSE)</f>
        <v>248.2728968466985</v>
      </c>
      <c r="S28" s="104">
        <f>Tabella3[[#This Row],[Lombardy fit]]*NOT(ISBLANK(Tabella3[[#This Row],[Lombardy data]]))</f>
        <v>248.2728968466985</v>
      </c>
      <c r="T28" s="104">
        <f>Tabella3[[#This Row],[Lombardy fit]]+CIl</f>
        <v>367.42091032600024</v>
      </c>
      <c r="U28" s="104">
        <f>MAX(Tabella3[[#This Row],[Lombardy fit]]-CIl,0)</f>
        <v>129.12488336739676</v>
      </c>
      <c r="V28" s="10">
        <f>Tabella8[[#This Row],[rest of Italy ]]</f>
        <v>591</v>
      </c>
      <c r="W28" s="10">
        <f>(Tabella3[[#This Row],[rest of Italy cum. Data]]-V27)</f>
        <v>116</v>
      </c>
      <c r="X28" s="104">
        <f>Tabella3[[#This Row],[rest of Italy data]]*NOT(ISBLANK(Tabella3[[#This Row],[rest of Italy data]]))</f>
        <v>116</v>
      </c>
      <c r="Y28" s="10">
        <f>Tabella8[[#This Row],[rest of Italy fit]]</f>
        <v>587.13413811033445</v>
      </c>
      <c r="Z28" s="104">
        <f>Ka*_xlfn.LOGNORM.DIST(Tabella3[[#This Row],[Day]],mu_a,sigma_a,FALSE)</f>
        <v>140.89273871603473</v>
      </c>
      <c r="AA28" s="104">
        <f>Tabella3[[#This Row],[rest of Italy fit]]*NOT(ISBLANK(Tabella3[[#This Row],[rest of Italy data]]))</f>
        <v>140.89273871603473</v>
      </c>
      <c r="AB28" s="104">
        <f>Tabella3[[#This Row],[rest of Italy fit]]+CIa</f>
        <v>212.4807776568727</v>
      </c>
      <c r="AC28" s="104">
        <f>MAX(Tabella3[[#This Row],[rest of Italy fit]]-CIa,0)</f>
        <v>69.304699775196752</v>
      </c>
      <c r="AD28" s="1"/>
      <c r="AE28" s="2" t="s">
        <v>6</v>
      </c>
      <c r="AF28" s="6">
        <f>Critical_tl*SE_of_yl</f>
        <v>119.14801347930174</v>
      </c>
      <c r="AS28" s="66">
        <f>MAX($AF$39)</f>
        <v>0.9832100793731342</v>
      </c>
    </row>
    <row r="29" spans="2:45" x14ac:dyDescent="0.3">
      <c r="B29" s="9">
        <v>43906</v>
      </c>
      <c r="C29" s="4">
        <f t="shared" si="0"/>
        <v>22</v>
      </c>
      <c r="D29" s="104">
        <f>'dpc-covid19-ita-andamento-naz'!K23</f>
        <v>2158</v>
      </c>
      <c r="E29" s="104">
        <f>(Tabella3[[#This Row],[Italy cumul. Data]]-D28)</f>
        <v>349</v>
      </c>
      <c r="F29" s="104">
        <f>Tabella3[[#This Row],[Italy data]]*NOT(ISBLANK(Tabella3[[#This Row],[Italy data]]))</f>
        <v>349</v>
      </c>
      <c r="G29" s="136">
        <f>Tabella8[[#This Row],[Italy fit]]</f>
        <v>1663.4091492629568</v>
      </c>
      <c r="H29" s="109">
        <f>Tabella3[[#This Row],[Lombardy fit]]+Tabella3[[#This Row],[rest of Italy fit]]</f>
        <v>437.05021153461649</v>
      </c>
      <c r="I29" s="104">
        <f>Kf*_xlfn.LOGNORM.DIST(Tabella3[[#This Row],[Day]],mu_f,sigma_f,FALSE)</f>
        <v>421.74685756677758</v>
      </c>
      <c r="J29" s="104">
        <f>Tabella3[[#This Row],[Italy sum of regions]]*NOT(ISBLANK(Tabella3[[#This Row],[Italy data]]))</f>
        <v>437.05021153461649</v>
      </c>
      <c r="K29" s="104">
        <f>Tabella3[[#This Row],[Italy fit]]*NOT(ISBLANK(Tabella3[[#This Row],[Italy data]]))</f>
        <v>421.74685756677758</v>
      </c>
      <c r="L29" s="104">
        <f>Tabella3[[#This Row],[Italy fit]]+CIf</f>
        <v>650.98964714071053</v>
      </c>
      <c r="M29" s="104">
        <f>MAX(Tabella3[[#This Row],[Italy fit]]-CIf,0)</f>
        <v>192.5040679928446</v>
      </c>
      <c r="N29" s="4">
        <f>Tabella8[[#This Row],[Lombardy]]</f>
        <v>1420</v>
      </c>
      <c r="O29" s="104">
        <f>(Tabella3[[#This Row],[Lombardy cumul. Data]]-N28)</f>
        <v>202</v>
      </c>
      <c r="P29" s="104">
        <f>Tabella3[[#This Row],[Lombardy data]]*NOT(ISBLANK(Tabella3[[#This Row],[Lombardy data]]))</f>
        <v>202</v>
      </c>
      <c r="Q29" s="10">
        <f>Tabella8[[#This Row],[Lombardy fit]]</f>
        <v>1452.5544279828835</v>
      </c>
      <c r="R29" s="104">
        <f>Kl*_xlfn.LOGNORM.DIST(Tabella3[[#This Row],[Day]],mu_l,sigma_l,FALSE)</f>
        <v>274.83808130659384</v>
      </c>
      <c r="S29" s="104">
        <f>Tabella3[[#This Row],[Lombardy fit]]*NOT(ISBLANK(Tabella3[[#This Row],[Lombardy data]]))</f>
        <v>274.83808130659384</v>
      </c>
      <c r="T29" s="104">
        <f>Tabella3[[#This Row],[Lombardy fit]]+CIl</f>
        <v>393.9860947858956</v>
      </c>
      <c r="U29" s="104">
        <f>MAX(Tabella3[[#This Row],[Lombardy fit]]-CIl,0)</f>
        <v>155.6900678272921</v>
      </c>
      <c r="V29" s="10">
        <f>Tabella8[[#This Row],[rest of Italy ]]</f>
        <v>738</v>
      </c>
      <c r="W29" s="10">
        <f>(Tabella3[[#This Row],[rest of Italy cum. Data]]-V28)</f>
        <v>147</v>
      </c>
      <c r="X29" s="104">
        <f>Tabella3[[#This Row],[rest of Italy data]]*NOT(ISBLANK(Tabella3[[#This Row],[rest of Italy data]]))</f>
        <v>147</v>
      </c>
      <c r="Y29" s="10">
        <f>Tabella8[[#This Row],[rest of Italy fit]]</f>
        <v>738.65902058893437</v>
      </c>
      <c r="Z29" s="104">
        <f>Ka*_xlfn.LOGNORM.DIST(Tabella3[[#This Row],[Day]],mu_a,sigma_a,FALSE)</f>
        <v>162.21213022802266</v>
      </c>
      <c r="AA29" s="104">
        <f>Tabella3[[#This Row],[rest of Italy fit]]*NOT(ISBLANK(Tabella3[[#This Row],[rest of Italy data]]))</f>
        <v>162.21213022802266</v>
      </c>
      <c r="AB29" s="104">
        <f>Tabella3[[#This Row],[rest of Italy fit]]+CIa</f>
        <v>233.80016916886063</v>
      </c>
      <c r="AC29" s="104">
        <f>MAX(Tabella3[[#This Row],[rest of Italy fit]]-CIa,0)</f>
        <v>90.624091287184683</v>
      </c>
      <c r="AD29" s="1"/>
      <c r="AE29" s="23" t="s">
        <v>307</v>
      </c>
      <c r="AF29" s="140">
        <f>Kl*_xlfn.LOGNORM.DIST(EXP(mu_l-sigma_l^2),mu_l,sigma_l,FALSE)</f>
        <v>402.86070239129828</v>
      </c>
      <c r="AS29" s="67">
        <f>COUNT($AF$33,$AF$34,$AF$35)</f>
        <v>3</v>
      </c>
    </row>
    <row r="30" spans="2:45" x14ac:dyDescent="0.3">
      <c r="B30" s="9">
        <v>43907</v>
      </c>
      <c r="C30" s="4">
        <f t="shared" si="0"/>
        <v>23</v>
      </c>
      <c r="D30" s="104">
        <f>'dpc-covid19-ita-andamento-naz'!K24</f>
        <v>2503</v>
      </c>
      <c r="E30" s="104">
        <f>(Tabella3[[#This Row],[Italy cumul. Data]]-D29)</f>
        <v>345</v>
      </c>
      <c r="F30" s="104">
        <f>Tabella3[[#This Row],[Italy data]]*NOT(ISBLANK(Tabella3[[#This Row],[Italy data]]))</f>
        <v>345</v>
      </c>
      <c r="G30" s="136">
        <f>Tabella8[[#This Row],[Italy fit]]</f>
        <v>2117.0235887570384</v>
      </c>
      <c r="H30" s="109">
        <f>Tabella3[[#This Row],[Lombardy fit]]+Tabella3[[#This Row],[rest of Italy fit]]</f>
        <v>483.18203053515617</v>
      </c>
      <c r="I30" s="104">
        <f>Kf*_xlfn.LOGNORM.DIST(Tabella3[[#This Row],[Day]],mu_f,sigma_f,FALSE)</f>
        <v>485.28545592887212</v>
      </c>
      <c r="J30" s="104">
        <f>Tabella3[[#This Row],[Italy sum of regions]]*NOT(ISBLANK(Tabella3[[#This Row],[Italy data]]))</f>
        <v>483.18203053515617</v>
      </c>
      <c r="K30" s="104">
        <f>Tabella3[[#This Row],[Italy fit]]*NOT(ISBLANK(Tabella3[[#This Row],[Italy data]]))</f>
        <v>485.28545592887212</v>
      </c>
      <c r="L30" s="104">
        <f>Tabella3[[#This Row],[Italy fit]]+CIf</f>
        <v>714.52824550280513</v>
      </c>
      <c r="M30" s="104">
        <f>MAX(Tabella3[[#This Row],[Italy fit]]-CIf,0)</f>
        <v>256.04266635493912</v>
      </c>
      <c r="N30" s="4">
        <f>Tabella8[[#This Row],[Lombardy]]</f>
        <v>1640</v>
      </c>
      <c r="O30" s="104">
        <f>(Tabella3[[#This Row],[Lombardy cumul. Data]]-N29)</f>
        <v>220</v>
      </c>
      <c r="P30" s="104">
        <f>Tabella3[[#This Row],[Lombardy data]]*NOT(ISBLANK(Tabella3[[#This Row],[Lombardy data]]))</f>
        <v>220</v>
      </c>
      <c r="Q30" s="10">
        <f>Tabella8[[#This Row],[Lombardy fit]]</f>
        <v>1739.9027743389897</v>
      </c>
      <c r="R30" s="104">
        <f>Kl*_xlfn.LOGNORM.DIST(Tabella3[[#This Row],[Day]],mu_l,sigma_l,FALSE)</f>
        <v>299.5062524342963</v>
      </c>
      <c r="S30" s="104">
        <f>Tabella3[[#This Row],[Lombardy fit]]*NOT(ISBLANK(Tabella3[[#This Row],[Lombardy data]]))</f>
        <v>299.5062524342963</v>
      </c>
      <c r="T30" s="104">
        <f>Tabella3[[#This Row],[Lombardy fit]]+CIl</f>
        <v>418.65426591359801</v>
      </c>
      <c r="U30" s="104">
        <f>MAX(Tabella3[[#This Row],[Lombardy fit]]-CIl,0)</f>
        <v>180.35823895499456</v>
      </c>
      <c r="V30" s="10">
        <f>Tabella8[[#This Row],[rest of Italy ]]</f>
        <v>863</v>
      </c>
      <c r="W30" s="10">
        <f>(Tabella3[[#This Row],[rest of Italy cum. Data]]-V29)</f>
        <v>125</v>
      </c>
      <c r="X30" s="104">
        <f>Tabella3[[#This Row],[rest of Italy data]]*NOT(ISBLANK(Tabella3[[#This Row],[rest of Italy data]]))</f>
        <v>125</v>
      </c>
      <c r="Y30" s="10">
        <f>Tabella8[[#This Row],[rest of Italy fit]]</f>
        <v>911.60625375721361</v>
      </c>
      <c r="Z30" s="104">
        <f>Ka*_xlfn.LOGNORM.DIST(Tabella3[[#This Row],[Day]],mu_a,sigma_a,FALSE)</f>
        <v>183.6757781008599</v>
      </c>
      <c r="AA30" s="104">
        <f>Tabella3[[#This Row],[rest of Italy fit]]*NOT(ISBLANK(Tabella3[[#This Row],[rest of Italy data]]))</f>
        <v>183.6757781008599</v>
      </c>
      <c r="AB30" s="104">
        <f>Tabella3[[#This Row],[rest of Italy fit]]+CIa</f>
        <v>255.26381704169788</v>
      </c>
      <c r="AC30" s="104">
        <f>MAX(Tabella3[[#This Row],[rest of Italy fit]]-CIa,0)</f>
        <v>112.08773916002193</v>
      </c>
      <c r="AD30" s="1"/>
      <c r="AE30" s="23" t="s">
        <v>129</v>
      </c>
      <c r="AF30" s="39">
        <f>_xlfn.XLOOKUP(ROUND(EXP(mu_l-sigma_l^2),0),Tabella3[Day],Tabella3[Date])</f>
        <v>43916</v>
      </c>
      <c r="AS30" s="67">
        <f>{32767;32767;0.000001;0;FALSE;FALSE;FALSE;1;2;1;0.0001;TRUE}</f>
        <v>32767</v>
      </c>
    </row>
    <row r="31" spans="2:45" x14ac:dyDescent="0.3">
      <c r="B31" s="9">
        <v>43908</v>
      </c>
      <c r="C31" s="4">
        <f t="shared" si="0"/>
        <v>24</v>
      </c>
      <c r="D31" s="104">
        <f>'dpc-covid19-ita-andamento-naz'!K25</f>
        <v>2978</v>
      </c>
      <c r="E31" s="104">
        <f>(Tabella3[[#This Row],[Italy cumul. Data]]-D30)</f>
        <v>475</v>
      </c>
      <c r="F31" s="104">
        <f>Tabella3[[#This Row],[Italy data]]*NOT(ISBLANK(Tabella3[[#This Row],[Italy data]]))</f>
        <v>475</v>
      </c>
      <c r="G31" s="136">
        <f>Tabella8[[#This Row],[Italy fit]]</f>
        <v>2633.2995268948448</v>
      </c>
      <c r="H31" s="109">
        <f>Tabella3[[#This Row],[Lombardy fit]]+Tabella3[[#This Row],[rest of Italy fit]]</f>
        <v>526.80995859683981</v>
      </c>
      <c r="I31" s="104">
        <f>Kf*_xlfn.LOGNORM.DIST(Tabella3[[#This Row],[Day]],mu_f,sigma_f,FALSE)</f>
        <v>546.78886226223699</v>
      </c>
      <c r="J31" s="104">
        <f>Tabella3[[#This Row],[Italy sum of regions]]*NOT(ISBLANK(Tabella3[[#This Row],[Italy data]]))</f>
        <v>526.80995859683981</v>
      </c>
      <c r="K31" s="104">
        <f>Tabella3[[#This Row],[Italy fit]]*NOT(ISBLANK(Tabella3[[#This Row],[Italy data]]))</f>
        <v>546.78886226223699</v>
      </c>
      <c r="L31" s="104">
        <f>Tabella3[[#This Row],[Italy fit]]+CIf</f>
        <v>776.03165183617</v>
      </c>
      <c r="M31" s="104">
        <f>MAX(Tabella3[[#This Row],[Italy fit]]-CIf,0)</f>
        <v>317.54607268830398</v>
      </c>
      <c r="N31" s="4">
        <f>Tabella8[[#This Row],[Lombardy]]</f>
        <v>1959</v>
      </c>
      <c r="O31" s="104">
        <f>(Tabella3[[#This Row],[Lombardy cumul. Data]]-N30)</f>
        <v>319</v>
      </c>
      <c r="P31" s="104">
        <f>Tabella3[[#This Row],[Lombardy data]]*NOT(ISBLANK(Tabella3[[#This Row],[Lombardy data]]))</f>
        <v>319</v>
      </c>
      <c r="Q31" s="10">
        <f>Tabella8[[#This Row],[Lombardy fit]]</f>
        <v>2050.8021878002378</v>
      </c>
      <c r="R31" s="104">
        <f>Kl*_xlfn.LOGNORM.DIST(Tabella3[[#This Row],[Day]],mu_l,sigma_l,FALSE)</f>
        <v>321.88384341065421</v>
      </c>
      <c r="S31" s="104">
        <f>Tabella3[[#This Row],[Lombardy fit]]*NOT(ISBLANK(Tabella3[[#This Row],[Lombardy data]]))</f>
        <v>321.88384341065421</v>
      </c>
      <c r="T31" s="104">
        <f>Tabella3[[#This Row],[Lombardy fit]]+CIl</f>
        <v>441.03185688995598</v>
      </c>
      <c r="U31" s="104">
        <f>MAX(Tabella3[[#This Row],[Lombardy fit]]-CIl,0)</f>
        <v>202.73582993135247</v>
      </c>
      <c r="V31" s="10">
        <f>Tabella8[[#This Row],[rest of Italy ]]</f>
        <v>1019</v>
      </c>
      <c r="W31" s="10">
        <f>(Tabella3[[#This Row],[rest of Italy cum. Data]]-V30)</f>
        <v>156</v>
      </c>
      <c r="X31" s="104">
        <f>Tabella3[[#This Row],[rest of Italy data]]*NOT(ISBLANK(Tabella3[[#This Row],[rest of Italy data]]))</f>
        <v>156</v>
      </c>
      <c r="Y31" s="10">
        <f>Tabella8[[#This Row],[rest of Italy fit]]</f>
        <v>1105.9391260352513</v>
      </c>
      <c r="Z31" s="104">
        <f>Ka*_xlfn.LOGNORM.DIST(Tabella3[[#This Row],[Day]],mu_a,sigma_a,FALSE)</f>
        <v>204.92611518618563</v>
      </c>
      <c r="AA31" s="104">
        <f>Tabella3[[#This Row],[rest of Italy fit]]*NOT(ISBLANK(Tabella3[[#This Row],[rest of Italy data]]))</f>
        <v>204.92611518618563</v>
      </c>
      <c r="AB31" s="104">
        <f>Tabella3[[#This Row],[rest of Italy fit]]+CIa</f>
        <v>276.51415412702363</v>
      </c>
      <c r="AC31" s="104">
        <f>MAX(Tabella3[[#This Row],[rest of Italy fit]]-CIa,0)</f>
        <v>133.33807624534765</v>
      </c>
      <c r="AD31" s="1"/>
      <c r="AE31" s="86"/>
      <c r="AF31" s="83"/>
      <c r="AS31" s="67">
        <f>{0;0;1;100;0;FALSE;FALSE;0.075;0;0;FALSE;30}</f>
        <v>0</v>
      </c>
    </row>
    <row r="32" spans="2:45" x14ac:dyDescent="0.3">
      <c r="B32" s="9">
        <v>43909</v>
      </c>
      <c r="C32" s="4">
        <f t="shared" si="0"/>
        <v>25</v>
      </c>
      <c r="D32" s="104">
        <f>'dpc-covid19-ita-andamento-naz'!K26</f>
        <v>3405</v>
      </c>
      <c r="E32" s="104">
        <f>(Tabella3[[#This Row],[Italy cumul. Data]]-D31)</f>
        <v>427</v>
      </c>
      <c r="F32" s="104">
        <f>Tabella3[[#This Row],[Italy data]]*NOT(ISBLANK(Tabella3[[#This Row],[Italy data]]))</f>
        <v>427</v>
      </c>
      <c r="G32" s="136">
        <f>Tabella8[[#This Row],[Italy fit]]</f>
        <v>3209.3942287112754</v>
      </c>
      <c r="H32" s="109">
        <f>Tabella3[[#This Row],[Lombardy fit]]+Tabella3[[#This Row],[rest of Italy fit]]</f>
        <v>567.32270902754681</v>
      </c>
      <c r="I32" s="104">
        <f>Kf*_xlfn.LOGNORM.DIST(Tabella3[[#This Row],[Day]],mu_f,sigma_f,FALSE)</f>
        <v>604.67947145629853</v>
      </c>
      <c r="J32" s="104">
        <f>Tabella3[[#This Row],[Italy sum of regions]]*NOT(ISBLANK(Tabella3[[#This Row],[Italy data]]))</f>
        <v>567.32270902754681</v>
      </c>
      <c r="K32" s="104">
        <f>Tabella3[[#This Row],[Italy fit]]*NOT(ISBLANK(Tabella3[[#This Row],[Italy data]]))</f>
        <v>604.67947145629853</v>
      </c>
      <c r="L32" s="104">
        <f>Tabella3[[#This Row],[Italy fit]]+CIf</f>
        <v>833.92226103023154</v>
      </c>
      <c r="M32" s="104">
        <f>MAX(Tabella3[[#This Row],[Italy fit]]-CIf,0)</f>
        <v>375.43668188236552</v>
      </c>
      <c r="N32" s="4">
        <f>Tabella8[[#This Row],[Lombardy]]</f>
        <v>2168</v>
      </c>
      <c r="O32" s="104">
        <f>(Tabella3[[#This Row],[Lombardy cumul. Data]]-N31)</f>
        <v>209</v>
      </c>
      <c r="P32" s="104">
        <f>Tabella3[[#This Row],[Lombardy data]]*NOT(ISBLANK(Tabella3[[#This Row],[Lombardy data]]))</f>
        <v>209</v>
      </c>
      <c r="Q32" s="10">
        <f>Tabella8[[#This Row],[Lombardy fit]]</f>
        <v>2382.8109415010099</v>
      </c>
      <c r="R32" s="104">
        <f>Kl*_xlfn.LOGNORM.DIST(Tabella3[[#This Row],[Day]],mu_l,sigma_l,FALSE)</f>
        <v>341.68629536575514</v>
      </c>
      <c r="S32" s="104">
        <f>Tabella3[[#This Row],[Lombardy fit]]*NOT(ISBLANK(Tabella3[[#This Row],[Lombardy data]]))</f>
        <v>341.68629536575514</v>
      </c>
      <c r="T32" s="104">
        <f>Tabella3[[#This Row],[Lombardy fit]]+CIl</f>
        <v>460.83430884505685</v>
      </c>
      <c r="U32" s="104">
        <f>MAX(Tabella3[[#This Row],[Lombardy fit]]-CIl,0)</f>
        <v>222.5382818864534</v>
      </c>
      <c r="V32" s="10">
        <f>Tabella8[[#This Row],[rest of Italy ]]</f>
        <v>1237</v>
      </c>
      <c r="W32" s="10">
        <f>(Tabella3[[#This Row],[rest of Italy cum. Data]]-V31)</f>
        <v>218</v>
      </c>
      <c r="X32" s="104">
        <f>Tabella3[[#This Row],[rest of Italy data]]*NOT(ISBLANK(Tabella3[[#This Row],[rest of Italy data]]))</f>
        <v>218</v>
      </c>
      <c r="Y32" s="10">
        <f>Tabella8[[#This Row],[rest of Italy fit]]</f>
        <v>1321.2780449412539</v>
      </c>
      <c r="Z32" s="104">
        <f>Ka*_xlfn.LOGNORM.DIST(Tabella3[[#This Row],[Day]],mu_a,sigma_a,FALSE)</f>
        <v>225.63641366179166</v>
      </c>
      <c r="AA32" s="104">
        <f>Tabella3[[#This Row],[rest of Italy fit]]*NOT(ISBLANK(Tabella3[[#This Row],[rest of Italy data]]))</f>
        <v>225.63641366179166</v>
      </c>
      <c r="AB32" s="104">
        <f>Tabella3[[#This Row],[rest of Italy fit]]+CIa</f>
        <v>297.22445260262964</v>
      </c>
      <c r="AC32" s="104">
        <f>MAX(Tabella3[[#This Row],[rest of Italy fit]]-CIa,0)</f>
        <v>154.04837472095369</v>
      </c>
      <c r="AD32" s="1"/>
      <c r="AE32" s="40" t="s">
        <v>83</v>
      </c>
      <c r="AF32" s="41" t="s">
        <v>120</v>
      </c>
      <c r="AS32" s="67">
        <f>{32767;32767;0.000001;0;FALSE;FALSE;FALSE;1;2;1;0.0001;TRUE}</f>
        <v>32767</v>
      </c>
    </row>
    <row r="33" spans="2:45" ht="15" thickBot="1" x14ac:dyDescent="0.35">
      <c r="B33" s="9">
        <v>43910</v>
      </c>
      <c r="C33" s="4">
        <f t="shared" si="0"/>
        <v>26</v>
      </c>
      <c r="D33" s="104">
        <f>'dpc-covid19-ita-andamento-naz'!K27</f>
        <v>4032</v>
      </c>
      <c r="E33" s="104">
        <f>(Tabella3[[#This Row],[Italy cumul. Data]]-D32)</f>
        <v>627</v>
      </c>
      <c r="F33" s="104">
        <f>Tabella3[[#This Row],[Italy data]]*NOT(ISBLANK(Tabella3[[#This Row],[Italy data]]))</f>
        <v>627</v>
      </c>
      <c r="G33" s="136">
        <f>Tabella8[[#This Row],[Italy fit]]</f>
        <v>3841.0086018173238</v>
      </c>
      <c r="H33" s="109">
        <f>Tabella3[[#This Row],[Lombardy fit]]+Tabella3[[#This Row],[rest of Italy fit]]</f>
        <v>604.24918874617549</v>
      </c>
      <c r="I33" s="104">
        <f>Kf*_xlfn.LOGNORM.DIST(Tabella3[[#This Row],[Day]],mu_f,sigma_f,FALSE)</f>
        <v>657.63005074500302</v>
      </c>
      <c r="J33" s="104">
        <f>Tabella3[[#This Row],[Italy sum of regions]]*NOT(ISBLANK(Tabella3[[#This Row],[Italy data]]))</f>
        <v>604.24918874617549</v>
      </c>
      <c r="K33" s="104">
        <f>Tabella3[[#This Row],[Italy fit]]*NOT(ISBLANK(Tabella3[[#This Row],[Italy data]]))</f>
        <v>657.63005074500302</v>
      </c>
      <c r="L33" s="104">
        <f>Tabella3[[#This Row],[Italy fit]]+CIf</f>
        <v>886.87284031893603</v>
      </c>
      <c r="M33" s="104">
        <f>MAX(Tabella3[[#This Row],[Italy fit]]-CIf,0)</f>
        <v>428.38726117107001</v>
      </c>
      <c r="N33" s="4">
        <f>Tabella8[[#This Row],[Lombardy]]</f>
        <v>2549</v>
      </c>
      <c r="O33" s="104">
        <f>(Tabella3[[#This Row],[Lombardy cumul. Data]]-N32)</f>
        <v>381</v>
      </c>
      <c r="P33" s="104">
        <f>Tabella3[[#This Row],[Lombardy data]]*NOT(ISBLANK(Tabella3[[#This Row],[Lombardy data]]))</f>
        <v>381</v>
      </c>
      <c r="Q33" s="10">
        <f>Tabella8[[#This Row],[Lombardy fit]]</f>
        <v>2733.25458387873</v>
      </c>
      <c r="R33" s="104">
        <f>Kl*_xlfn.LOGNORM.DIST(Tabella3[[#This Row],[Day]],mu_l,sigma_l,FALSE)</f>
        <v>358.73123112778705</v>
      </c>
      <c r="S33" s="104">
        <f>Tabella3[[#This Row],[Lombardy fit]]*NOT(ISBLANK(Tabella3[[#This Row],[Lombardy data]]))</f>
        <v>358.73123112778705</v>
      </c>
      <c r="T33" s="104">
        <f>Tabella3[[#This Row],[Lombardy fit]]+CIl</f>
        <v>477.87924460708882</v>
      </c>
      <c r="U33" s="104">
        <f>MAX(Tabella3[[#This Row],[Lombardy fit]]-CIl,0)</f>
        <v>239.58321764848532</v>
      </c>
      <c r="V33" s="10">
        <f>Tabella8[[#This Row],[rest of Italy ]]</f>
        <v>1483</v>
      </c>
      <c r="W33" s="10">
        <f>(Tabella3[[#This Row],[rest of Italy cum. Data]]-V32)</f>
        <v>246</v>
      </c>
      <c r="X33" s="104">
        <f>Tabella3[[#This Row],[rest of Italy data]]*NOT(ISBLANK(Tabella3[[#This Row],[rest of Italy data]]))</f>
        <v>246</v>
      </c>
      <c r="Y33" s="10">
        <f>Tabella8[[#This Row],[rest of Italy fit]]</f>
        <v>1556.935229640517</v>
      </c>
      <c r="Z33" s="104">
        <f>Ka*_xlfn.LOGNORM.DIST(Tabella3[[#This Row],[Day]],mu_a,sigma_a,FALSE)</f>
        <v>245.51795761838846</v>
      </c>
      <c r="AA33" s="104">
        <f>Tabella3[[#This Row],[rest of Italy fit]]*NOT(ISBLANK(Tabella3[[#This Row],[rest of Italy data]]))</f>
        <v>245.51795761838846</v>
      </c>
      <c r="AB33" s="104">
        <f>Tabella3[[#This Row],[rest of Italy fit]]+CIa</f>
        <v>317.10599655922647</v>
      </c>
      <c r="AC33" s="104">
        <f>MAX(Tabella3[[#This Row],[rest of Italy fit]]-CIa,0)</f>
        <v>173.92991867755049</v>
      </c>
      <c r="AD33" s="1"/>
      <c r="AE33" s="17" t="s">
        <v>0</v>
      </c>
      <c r="AF33" s="5">
        <f>Ko</f>
        <v>17513.960039777561</v>
      </c>
      <c r="AS33" s="67">
        <f>{0;0;1;100;0;FALSE;FALSE;0.075;0;0;FALSE;30}</f>
        <v>0</v>
      </c>
    </row>
    <row r="34" spans="2:45" x14ac:dyDescent="0.3">
      <c r="B34" s="9">
        <v>43911</v>
      </c>
      <c r="C34" s="4">
        <f t="shared" si="0"/>
        <v>27</v>
      </c>
      <c r="D34" s="104">
        <f>'dpc-covid19-ita-andamento-naz'!K28</f>
        <v>4825</v>
      </c>
      <c r="E34" s="104">
        <f>(Tabella3[[#This Row],[Italy cumul. Data]]-D33)</f>
        <v>793</v>
      </c>
      <c r="F34" s="104">
        <f>Tabella3[[#This Row],[Italy data]]*NOT(ISBLANK(Tabella3[[#This Row],[Italy data]]))</f>
        <v>793</v>
      </c>
      <c r="G34" s="136">
        <f>Tabella8[[#This Row],[Italy fit]]</f>
        <v>4522.6567315189286</v>
      </c>
      <c r="H34" s="109">
        <f>Tabella3[[#This Row],[Lombardy fit]]+Tabella3[[#This Row],[rest of Italy fit]]</f>
        <v>637.25230693104845</v>
      </c>
      <c r="I34" s="104">
        <f>Kf*_xlfn.LOGNORM.DIST(Tabella3[[#This Row],[Day]],mu_f,sigma_f,FALSE)</f>
        <v>704.59772465852859</v>
      </c>
      <c r="J34" s="104">
        <f>Tabella3[[#This Row],[Italy sum of regions]]*NOT(ISBLANK(Tabella3[[#This Row],[Italy data]]))</f>
        <v>637.25230693104845</v>
      </c>
      <c r="K34" s="104">
        <f>Tabella3[[#This Row],[Italy fit]]*NOT(ISBLANK(Tabella3[[#This Row],[Italy data]]))</f>
        <v>704.59772465852859</v>
      </c>
      <c r="L34" s="104">
        <f>Tabella3[[#This Row],[Italy fit]]+CIf</f>
        <v>933.8405142324616</v>
      </c>
      <c r="M34" s="104">
        <f>MAX(Tabella3[[#This Row],[Italy fit]]-CIf,0)</f>
        <v>475.35493508459558</v>
      </c>
      <c r="N34" s="4">
        <f>Tabella8[[#This Row],[Lombardy]]</f>
        <v>3095</v>
      </c>
      <c r="O34" s="104">
        <f>(Tabella3[[#This Row],[Lombardy cumul. Data]]-N33)</f>
        <v>546</v>
      </c>
      <c r="P34" s="104">
        <f>Tabella3[[#This Row],[Lombardy data]]*NOT(ISBLANK(Tabella3[[#This Row],[Lombardy data]]))</f>
        <v>546</v>
      </c>
      <c r="Q34" s="10">
        <f>Tabella8[[#This Row],[Lombardy fit]]</f>
        <v>3099.3231563953636</v>
      </c>
      <c r="R34" s="104">
        <f>Kl*_xlfn.LOGNORM.DIST(Tabella3[[#This Row],[Day]],mu_l,sigma_l,FALSE)</f>
        <v>372.92807522296982</v>
      </c>
      <c r="S34" s="104">
        <f>Tabella3[[#This Row],[Lombardy fit]]*NOT(ISBLANK(Tabella3[[#This Row],[Lombardy data]]))</f>
        <v>372.92807522296982</v>
      </c>
      <c r="T34" s="104">
        <f>Tabella3[[#This Row],[Lombardy fit]]+CIl</f>
        <v>492.07608870227159</v>
      </c>
      <c r="U34" s="104">
        <f>MAX(Tabella3[[#This Row],[Lombardy fit]]-CIl,0)</f>
        <v>253.78006174366809</v>
      </c>
      <c r="V34" s="10">
        <f>Tabella8[[#This Row],[rest of Italy ]]</f>
        <v>1730</v>
      </c>
      <c r="W34" s="10">
        <f>(Tabella3[[#This Row],[rest of Italy cum. Data]]-V33)</f>
        <v>247</v>
      </c>
      <c r="X34" s="104">
        <f>Tabella3[[#This Row],[rest of Italy data]]*NOT(ISBLANK(Tabella3[[#This Row],[rest of Italy data]]))</f>
        <v>247</v>
      </c>
      <c r="Y34" s="10">
        <f>Tabella8[[#This Row],[rest of Italy fit]]</f>
        <v>1811.9550466386506</v>
      </c>
      <c r="Z34" s="104">
        <f>Ka*_xlfn.LOGNORM.DIST(Tabella3[[#This Row],[Day]],mu_a,sigma_a,FALSE)</f>
        <v>264.32423170807857</v>
      </c>
      <c r="AA34" s="104">
        <f>Tabella3[[#This Row],[rest of Italy fit]]*NOT(ISBLANK(Tabella3[[#This Row],[rest of Italy data]]))</f>
        <v>264.32423170807857</v>
      </c>
      <c r="AB34" s="104">
        <f>Tabella3[[#This Row],[rest of Italy fit]]+CIa</f>
        <v>335.91227064891655</v>
      </c>
      <c r="AC34" s="104">
        <f>MAX(Tabella3[[#This Row],[rest of Italy fit]]-CIa,0)</f>
        <v>192.7361927672406</v>
      </c>
      <c r="AD34" s="1"/>
      <c r="AE34" s="117" t="s">
        <v>308</v>
      </c>
      <c r="AF34" s="34">
        <f>mu_o</f>
        <v>3.8530173821615179</v>
      </c>
      <c r="AS34" s="68"/>
    </row>
    <row r="35" spans="2:45" x14ac:dyDescent="0.3">
      <c r="B35" s="9">
        <v>43912</v>
      </c>
      <c r="C35" s="4">
        <f t="shared" si="0"/>
        <v>28</v>
      </c>
      <c r="D35" s="104">
        <f>'dpc-covid19-ita-andamento-naz'!K29</f>
        <v>5476</v>
      </c>
      <c r="E35" s="104">
        <f>(Tabella3[[#This Row],[Italy cumul. Data]]-D34)</f>
        <v>651</v>
      </c>
      <c r="F35" s="104">
        <f>Tabella3[[#This Row],[Italy data]]*NOT(ISBLANK(Tabella3[[#This Row],[Italy data]]))</f>
        <v>651</v>
      </c>
      <c r="G35" s="136">
        <f>Tabella8[[#This Row],[Italy fit]]</f>
        <v>5247.95708245478</v>
      </c>
      <c r="H35" s="109">
        <f>Tabella3[[#This Row],[Lombardy fit]]+Tabella3[[#This Row],[rest of Italy fit]]</f>
        <v>666.11828296707426</v>
      </c>
      <c r="I35" s="104">
        <f>Kf*_xlfn.LOGNORM.DIST(Tabella3[[#This Row],[Day]],mu_f,sigma_f,FALSE)</f>
        <v>744.83406312153375</v>
      </c>
      <c r="J35" s="104">
        <f>Tabella3[[#This Row],[Italy sum of regions]]*NOT(ISBLANK(Tabella3[[#This Row],[Italy data]]))</f>
        <v>666.11828296707426</v>
      </c>
      <c r="K35" s="104">
        <f>Tabella3[[#This Row],[Italy fit]]*NOT(ISBLANK(Tabella3[[#This Row],[Italy data]]))</f>
        <v>744.83406312153375</v>
      </c>
      <c r="L35" s="104">
        <f>Tabella3[[#This Row],[Italy fit]]+CIf</f>
        <v>974.07685269546675</v>
      </c>
      <c r="M35" s="104">
        <f>MAX(Tabella3[[#This Row],[Italy fit]]-CIf,0)</f>
        <v>515.59127354760074</v>
      </c>
      <c r="N35" s="4">
        <f>Tabella8[[#This Row],[Lombardy]]</f>
        <v>3456</v>
      </c>
      <c r="O35" s="104">
        <f>(Tabella3[[#This Row],[Lombardy cumul. Data]]-N34)</f>
        <v>361</v>
      </c>
      <c r="P35" s="104">
        <f>Tabella3[[#This Row],[Lombardy data]]*NOT(ISBLANK(Tabella3[[#This Row],[Lombardy data]]))</f>
        <v>361</v>
      </c>
      <c r="Q35" s="10">
        <f>Tabella8[[#This Row],[Lombardy fit]]</f>
        <v>3478.1569177160136</v>
      </c>
      <c r="R35" s="104">
        <f>Kl*_xlfn.LOGNORM.DIST(Tabella3[[#This Row],[Day]],mu_l,sigma_l,FALSE)</f>
        <v>384.26567788633099</v>
      </c>
      <c r="S35" s="104">
        <f>Tabella3[[#This Row],[Lombardy fit]]*NOT(ISBLANK(Tabella3[[#This Row],[Lombardy data]]))</f>
        <v>384.26567788633099</v>
      </c>
      <c r="T35" s="104">
        <f>Tabella3[[#This Row],[Lombardy fit]]+CIl</f>
        <v>503.41369136563276</v>
      </c>
      <c r="U35" s="104">
        <f>MAX(Tabella3[[#This Row],[Lombardy fit]]-CIl,0)</f>
        <v>265.11766440702922</v>
      </c>
      <c r="V35" s="10">
        <f>Tabella8[[#This Row],[rest of Italy ]]</f>
        <v>2020</v>
      </c>
      <c r="W35" s="10">
        <f>(Tabella3[[#This Row],[rest of Italy cum. Data]]-V34)</f>
        <v>290</v>
      </c>
      <c r="X35" s="104">
        <f>Tabella3[[#This Row],[rest of Italy data]]*NOT(ISBLANK(Tabella3[[#This Row],[rest of Italy data]]))</f>
        <v>290</v>
      </c>
      <c r="Y35" s="10">
        <f>Tabella8[[#This Row],[rest of Italy fit]]</f>
        <v>2085.1572400887871</v>
      </c>
      <c r="Z35" s="104">
        <f>Ka*_xlfn.LOGNORM.DIST(Tabella3[[#This Row],[Day]],mu_a,sigma_a,FALSE)</f>
        <v>281.85260508074333</v>
      </c>
      <c r="AA35" s="104">
        <f>Tabella3[[#This Row],[rest of Italy fit]]*NOT(ISBLANK(Tabella3[[#This Row],[rest of Italy data]]))</f>
        <v>281.85260508074333</v>
      </c>
      <c r="AB35" s="104">
        <f>Tabella3[[#This Row],[rest of Italy fit]]+CIa</f>
        <v>353.44064402158131</v>
      </c>
      <c r="AC35" s="104">
        <f>MAX(Tabella3[[#This Row],[rest of Italy fit]]-CIa,0)</f>
        <v>210.26456613990536</v>
      </c>
      <c r="AE35" s="17" t="s">
        <v>309</v>
      </c>
      <c r="AF35" s="34">
        <f>sigma_o</f>
        <v>0.44147361010061748</v>
      </c>
      <c r="AI35" s="1"/>
      <c r="AS35" s="64"/>
    </row>
    <row r="36" spans="2:45" x14ac:dyDescent="0.3">
      <c r="B36" s="18">
        <v>43913</v>
      </c>
      <c r="C36" s="4">
        <f t="shared" si="0"/>
        <v>29</v>
      </c>
      <c r="D36" s="104">
        <f>'dpc-covid19-ita-andamento-naz'!K30</f>
        <v>6077</v>
      </c>
      <c r="E36" s="104">
        <f>(Tabella3[[#This Row],[Italy cumul. Data]]-D35)</f>
        <v>601</v>
      </c>
      <c r="F36" s="104">
        <f>Tabella3[[#This Row],[Italy data]]*NOT(ISBLANK(Tabella3[[#This Row],[Italy data]]))</f>
        <v>601</v>
      </c>
      <c r="G36" s="136">
        <f>Tabella8[[#This Row],[Italy fit]]</f>
        <v>6009.9238275309008</v>
      </c>
      <c r="H36" s="109">
        <f>Tabella3[[#This Row],[Lombardy fit]]+Tabella3[[#This Row],[rest of Italy fit]]</f>
        <v>690.74317255393362</v>
      </c>
      <c r="I36" s="104">
        <f>Kf*_xlfn.LOGNORM.DIST(Tabella3[[#This Row],[Day]],mu_f,sigma_f,FALSE)</f>
        <v>777.87609715298436</v>
      </c>
      <c r="J36" s="104">
        <f>Tabella3[[#This Row],[Italy sum of regions]]*NOT(ISBLANK(Tabella3[[#This Row],[Italy data]]))</f>
        <v>690.74317255393362</v>
      </c>
      <c r="K36" s="104">
        <f>Tabella3[[#This Row],[Italy fit]]*NOT(ISBLANK(Tabella3[[#This Row],[Italy data]]))</f>
        <v>777.87609715298436</v>
      </c>
      <c r="L36" s="104">
        <f>Tabella3[[#This Row],[Italy fit]]+CIf</f>
        <v>1007.1188867269174</v>
      </c>
      <c r="M36" s="104">
        <f>MAX(Tabella3[[#This Row],[Italy fit]]-CIf,0)</f>
        <v>548.63330757905135</v>
      </c>
      <c r="N36" s="4">
        <f>Tabella8[[#This Row],[Lombardy]]</f>
        <v>3776</v>
      </c>
      <c r="O36" s="104">
        <f>(Tabella3[[#This Row],[Lombardy cumul. Data]]-N35)</f>
        <v>320</v>
      </c>
      <c r="P36" s="104">
        <f>Tabella3[[#This Row],[Lombardy data]]*NOT(ISBLANK(Tabella3[[#This Row],[Lombardy data]]))</f>
        <v>320</v>
      </c>
      <c r="Q36" s="10">
        <f>Tabella8[[#This Row],[Lombardy fit]]</f>
        <v>3866.9192149868513</v>
      </c>
      <c r="R36" s="104">
        <f>Kl*_xlfn.LOGNORM.DIST(Tabella3[[#This Row],[Day]],mu_l,sigma_l,FALSE)</f>
        <v>392.79916045631137</v>
      </c>
      <c r="S36" s="104">
        <f>Tabella3[[#This Row],[Lombardy fit]]*NOT(ISBLANK(Tabella3[[#This Row],[Lombardy data]]))</f>
        <v>392.79916045631137</v>
      </c>
      <c r="T36" s="104">
        <f>Tabella3[[#This Row],[Lombardy fit]]+CIl</f>
        <v>511.94717393561314</v>
      </c>
      <c r="U36" s="104">
        <f>MAX(Tabella3[[#This Row],[Lombardy fit]]-CIl,0)</f>
        <v>273.6511469770096</v>
      </c>
      <c r="V36" s="10">
        <f>Tabella8[[#This Row],[rest of Italy ]]</f>
        <v>2301</v>
      </c>
      <c r="W36" s="10">
        <f>(Tabella3[[#This Row],[rest of Italy cum. Data]]-V35)</f>
        <v>281</v>
      </c>
      <c r="X36" s="104">
        <f>Tabella3[[#This Row],[rest of Italy data]]*NOT(ISBLANK(Tabella3[[#This Row],[rest of Italy data]]))</f>
        <v>281</v>
      </c>
      <c r="Y36" s="10">
        <f>Tabella8[[#This Row],[rest of Italy fit]]</f>
        <v>2375.1808029961703</v>
      </c>
      <c r="Z36" s="104">
        <f>Ka*_xlfn.LOGNORM.DIST(Tabella3[[#This Row],[Day]],mu_a,sigma_a,FALSE)</f>
        <v>297.94401209762225</v>
      </c>
      <c r="AA36" s="104">
        <f>Tabella3[[#This Row],[rest of Italy fit]]*NOT(ISBLANK(Tabella3[[#This Row],[rest of Italy data]]))</f>
        <v>297.94401209762225</v>
      </c>
      <c r="AB36" s="104">
        <f>Tabella3[[#This Row],[rest of Italy fit]]+CIa</f>
        <v>369.53205103846022</v>
      </c>
      <c r="AC36" s="104">
        <f>MAX(Tabella3[[#This Row],[rest of Italy fit]]-CIa,0)</f>
        <v>226.35597315678427</v>
      </c>
      <c r="AE36" s="2" t="s">
        <v>1</v>
      </c>
      <c r="AF36" s="6">
        <f>AVERAGE(Tabella3[rest of Italy data])</f>
        <v>212.82758620689654</v>
      </c>
      <c r="AS36" s="64"/>
    </row>
    <row r="37" spans="2:45" x14ac:dyDescent="0.3">
      <c r="B37" s="9">
        <v>43914</v>
      </c>
      <c r="C37" s="4">
        <f t="shared" si="0"/>
        <v>30</v>
      </c>
      <c r="D37" s="104">
        <f>'dpc-covid19-ita-andamento-naz'!K31</f>
        <v>6820</v>
      </c>
      <c r="E37" s="104">
        <f>(Tabella3[[#This Row],[Italy cumul. Data]]-D36)</f>
        <v>743</v>
      </c>
      <c r="F37" s="104">
        <f>Tabella3[[#This Row],[Italy data]]*NOT(ISBLANK(Tabella3[[#This Row],[Italy data]]))</f>
        <v>743</v>
      </c>
      <c r="G37" s="136">
        <f>Tabella8[[#This Row],[Italy fit]]</f>
        <v>6801.2417890732377</v>
      </c>
      <c r="H37" s="109">
        <f>Tabella3[[#This Row],[Lombardy fit]]+Tabella3[[#This Row],[rest of Italy fit]]</f>
        <v>711.1179901425545</v>
      </c>
      <c r="I37" s="104">
        <f>Kf*_xlfn.LOGNORM.DIST(Tabella3[[#This Row],[Day]],mu_f,sigma_f,FALSE)</f>
        <v>803.52336736043446</v>
      </c>
      <c r="J37" s="104">
        <f>Tabella3[[#This Row],[Italy sum of regions]]*NOT(ISBLANK(Tabella3[[#This Row],[Italy data]]))</f>
        <v>711.1179901425545</v>
      </c>
      <c r="K37" s="104">
        <f>Tabella3[[#This Row],[Italy fit]]*NOT(ISBLANK(Tabella3[[#This Row],[Italy data]]))</f>
        <v>803.52336736043446</v>
      </c>
      <c r="L37" s="104">
        <f>Tabella3[[#This Row],[Italy fit]]+CIf</f>
        <v>1032.7661569343675</v>
      </c>
      <c r="M37" s="104">
        <f>MAX(Tabella3[[#This Row],[Italy fit]]-CIf,0)</f>
        <v>574.28057778650145</v>
      </c>
      <c r="N37" s="4">
        <f>Tabella8[[#This Row],[Lombardy]]</f>
        <v>4178</v>
      </c>
      <c r="O37" s="104">
        <f>(Tabella3[[#This Row],[Lombardy cumul. Data]]-N36)</f>
        <v>402</v>
      </c>
      <c r="P37" s="104">
        <f>Tabella3[[#This Row],[Lombardy data]]*NOT(ISBLANK(Tabella3[[#This Row],[Lombardy data]]))</f>
        <v>402</v>
      </c>
      <c r="Q37" s="10">
        <f>Tabella8[[#This Row],[Lombardy fit]]</f>
        <v>4262.8561975774501</v>
      </c>
      <c r="R37" s="104">
        <f>Kl*_xlfn.LOGNORM.DIST(Tabella3[[#This Row],[Day]],mu_l,sigma_l,FALSE)</f>
        <v>398.63687991824418</v>
      </c>
      <c r="S37" s="104">
        <f>Tabella3[[#This Row],[Lombardy fit]]*NOT(ISBLANK(Tabella3[[#This Row],[Lombardy data]]))</f>
        <v>398.63687991824418</v>
      </c>
      <c r="T37" s="104">
        <f>Tabella3[[#This Row],[Lombardy fit]]+CIl</f>
        <v>517.78489339754594</v>
      </c>
      <c r="U37" s="104">
        <f>MAX(Tabella3[[#This Row],[Lombardy fit]]-CIl,0)</f>
        <v>279.48886643894241</v>
      </c>
      <c r="V37" s="10">
        <f>Tabella8[[#This Row],[rest of Italy ]]</f>
        <v>2642</v>
      </c>
      <c r="W37" s="10">
        <f>(Tabella3[[#This Row],[rest of Italy cum. Data]]-V36)</f>
        <v>341</v>
      </c>
      <c r="X37" s="104">
        <f>Tabella3[[#This Row],[rest of Italy data]]*NOT(ISBLANK(Tabella3[[#This Row],[rest of Italy data]]))</f>
        <v>341</v>
      </c>
      <c r="Y37" s="10">
        <f>Tabella8[[#This Row],[rest of Italy fit]]</f>
        <v>2680.5267293699458</v>
      </c>
      <c r="Z37" s="104">
        <f>Ka*_xlfn.LOGNORM.DIST(Tabella3[[#This Row],[Day]],mu_a,sigma_a,FALSE)</f>
        <v>312.48111022431033</v>
      </c>
      <c r="AA37" s="104">
        <f>Tabella3[[#This Row],[rest of Italy fit]]*NOT(ISBLANK(Tabella3[[#This Row],[rest of Italy data]]))</f>
        <v>312.48111022431033</v>
      </c>
      <c r="AB37" s="104">
        <f>Tabella3[[#This Row],[rest of Italy fit]]+CIa</f>
        <v>384.0691491651483</v>
      </c>
      <c r="AC37" s="104">
        <f>MAX(Tabella3[[#This Row],[rest of Italy fit]]-CIa,0)</f>
        <v>240.89307128347235</v>
      </c>
      <c r="AE37" s="2" t="s">
        <v>2</v>
      </c>
      <c r="AF37" s="1">
        <f>COUNT(Tabella3[rest of Italy data])-COUNT(AF33:AF35)</f>
        <v>55</v>
      </c>
      <c r="AS37" s="64"/>
    </row>
    <row r="38" spans="2:45" x14ac:dyDescent="0.3">
      <c r="B38" s="9">
        <v>43915</v>
      </c>
      <c r="C38" s="4">
        <f t="shared" si="0"/>
        <v>31</v>
      </c>
      <c r="D38" s="104">
        <f>'dpc-covid19-ita-andamento-naz'!K32</f>
        <v>7503</v>
      </c>
      <c r="E38" s="104">
        <f>(Tabella3[[#This Row],[Italy cumul. Data]]-D37)</f>
        <v>683</v>
      </c>
      <c r="F38" s="104">
        <f>Tabella3[[#This Row],[Italy data]]*NOT(ISBLANK(Tabella3[[#This Row],[Italy data]]))</f>
        <v>683</v>
      </c>
      <c r="G38" s="136">
        <f>Tabella8[[#This Row],[Italy fit]]</f>
        <v>7614.5134707144825</v>
      </c>
      <c r="H38" s="109">
        <f>Tabella3[[#This Row],[Lombardy fit]]+Tabella3[[#This Row],[rest of Italy fit]]</f>
        <v>727.31348085526008</v>
      </c>
      <c r="I38" s="104">
        <f>Kf*_xlfn.LOGNORM.DIST(Tabella3[[#This Row],[Day]],mu_f,sigma_f,FALSE)</f>
        <v>821.80581194861452</v>
      </c>
      <c r="J38" s="104">
        <f>Tabella3[[#This Row],[Italy sum of regions]]*NOT(ISBLANK(Tabella3[[#This Row],[Italy data]]))</f>
        <v>727.31348085526008</v>
      </c>
      <c r="K38" s="104">
        <f>Tabella3[[#This Row],[Italy fit]]*NOT(ISBLANK(Tabella3[[#This Row],[Italy data]]))</f>
        <v>821.80581194861452</v>
      </c>
      <c r="L38" s="104">
        <f>Tabella3[[#This Row],[Italy fit]]+CIf</f>
        <v>1051.0486015225474</v>
      </c>
      <c r="M38" s="104">
        <f>MAX(Tabella3[[#This Row],[Italy fit]]-CIf,0)</f>
        <v>592.56302237468151</v>
      </c>
      <c r="N38" s="4">
        <f>Tabella8[[#This Row],[Lombardy]]</f>
        <v>4474</v>
      </c>
      <c r="O38" s="104">
        <f>(Tabella3[[#This Row],[Lombardy cumul. Data]]-N37)</f>
        <v>296</v>
      </c>
      <c r="P38" s="104">
        <f>Tabella3[[#This Row],[Lombardy data]]*NOT(ISBLANK(Tabella3[[#This Row],[Lombardy data]]))</f>
        <v>296</v>
      </c>
      <c r="Q38" s="10">
        <f>Tabella8[[#This Row],[Lombardy fit]]</f>
        <v>4663.343823509942</v>
      </c>
      <c r="R38" s="104">
        <f>Kl*_xlfn.LOGNORM.DIST(Tabella3[[#This Row],[Day]],mu_l,sigma_l,FALSE)</f>
        <v>401.9281324775593</v>
      </c>
      <c r="S38" s="104">
        <f>Tabella3[[#This Row],[Lombardy fit]]*NOT(ISBLANK(Tabella3[[#This Row],[Lombardy data]]))</f>
        <v>401.9281324775593</v>
      </c>
      <c r="T38" s="104">
        <f>Tabella3[[#This Row],[Lombardy fit]]+CIl</f>
        <v>521.07614595686107</v>
      </c>
      <c r="U38" s="104">
        <f>MAX(Tabella3[[#This Row],[Lombardy fit]]-CIl,0)</f>
        <v>282.78011899825754</v>
      </c>
      <c r="V38" s="10">
        <f>Tabella8[[#This Row],[rest of Italy ]]</f>
        <v>3029</v>
      </c>
      <c r="W38" s="10">
        <f>(Tabella3[[#This Row],[rest of Italy cum. Data]]-V37)</f>
        <v>387</v>
      </c>
      <c r="X38" s="104">
        <f>Tabella3[[#This Row],[rest of Italy data]]*NOT(ISBLANK(Tabella3[[#This Row],[rest of Italy data]]))</f>
        <v>387</v>
      </c>
      <c r="Y38" s="10">
        <f>Tabella8[[#This Row],[rest of Italy fit]]</f>
        <v>2999.5983457797674</v>
      </c>
      <c r="Z38" s="104">
        <f>Ka*_xlfn.LOGNORM.DIST(Tabella3[[#This Row],[Day]],mu_a,sigma_a,FALSE)</f>
        <v>325.38534837770078</v>
      </c>
      <c r="AA38" s="104">
        <f>Tabella3[[#This Row],[rest of Italy fit]]*NOT(ISBLANK(Tabella3[[#This Row],[rest of Italy data]]))</f>
        <v>325.38534837770078</v>
      </c>
      <c r="AB38" s="104">
        <f>Tabella3[[#This Row],[rest of Italy fit]]+CIa</f>
        <v>396.97338731853876</v>
      </c>
      <c r="AC38" s="104">
        <f>MAX(Tabella3[[#This Row],[rest of Italy fit]]-CIa,0)</f>
        <v>253.7973094368628</v>
      </c>
      <c r="AE38" s="2" t="s">
        <v>3</v>
      </c>
      <c r="AF38" s="6" cm="1">
        <f t="array" ref="AF38">SQRT(SUM((Tabella3[Colonna33]-Tabella3[Colonna322])^2)/dfa)</f>
        <v>35.721776049008177</v>
      </c>
      <c r="AS38" s="64"/>
    </row>
    <row r="39" spans="2:45" ht="16.2" x14ac:dyDescent="0.3">
      <c r="B39" s="9">
        <v>43916</v>
      </c>
      <c r="C39" s="4">
        <f t="shared" si="0"/>
        <v>32</v>
      </c>
      <c r="D39" s="104">
        <f>'dpc-covid19-ita-andamento-naz'!K33</f>
        <v>8165</v>
      </c>
      <c r="E39" s="104">
        <f>(Tabella3[[#This Row],[Italy cumul. Data]]-D38)</f>
        <v>662</v>
      </c>
      <c r="F39" s="104">
        <f>Tabella3[[#This Row],[Italy data]]*NOT(ISBLANK(Tabella3[[#This Row],[Italy data]]))</f>
        <v>662</v>
      </c>
      <c r="G39" s="136">
        <f>Tabella8[[#This Row],[Italy fit]]</f>
        <v>8442.4711650988538</v>
      </c>
      <c r="H39" s="109">
        <f>Tabella3[[#This Row],[Lombardy fit]]+Tabella3[[#This Row],[rest of Italy fit]]</f>
        <v>739.46530658260042</v>
      </c>
      <c r="I39" s="104">
        <f>Kf*_xlfn.LOGNORM.DIST(Tabella3[[#This Row],[Day]],mu_f,sigma_f,FALSE)</f>
        <v>832.9466608542466</v>
      </c>
      <c r="J39" s="104">
        <f>Tabella3[[#This Row],[Italy sum of regions]]*NOT(ISBLANK(Tabella3[[#This Row],[Italy data]]))</f>
        <v>739.46530658260042</v>
      </c>
      <c r="K39" s="104">
        <f>Tabella3[[#This Row],[Italy fit]]*NOT(ISBLANK(Tabella3[[#This Row],[Italy data]]))</f>
        <v>832.9466608542466</v>
      </c>
      <c r="L39" s="104">
        <f>Tabella3[[#This Row],[Italy fit]]+CIf</f>
        <v>1062.1894504281795</v>
      </c>
      <c r="M39" s="104">
        <f>MAX(Tabella3[[#This Row],[Italy fit]]-CIf,0)</f>
        <v>603.70387128031359</v>
      </c>
      <c r="N39" s="4">
        <f>Tabella8[[#This Row],[Lombardy]]</f>
        <v>4861</v>
      </c>
      <c r="O39" s="104">
        <f>(Tabella3[[#This Row],[Lombardy cumul. Data]]-N38)</f>
        <v>387</v>
      </c>
      <c r="P39" s="104">
        <f>Tabella3[[#This Row],[Lombardy data]]*NOT(ISBLANK(Tabella3[[#This Row],[Lombardy data]]))</f>
        <v>387</v>
      </c>
      <c r="Q39" s="10">
        <f>Tabella8[[#This Row],[Lombardy fit]]</f>
        <v>5065.9231103604361</v>
      </c>
      <c r="R39" s="104">
        <f>Kl*_xlfn.LOGNORM.DIST(Tabella3[[#This Row],[Day]],mu_l,sigma_l,FALSE)</f>
        <v>402.85198787350237</v>
      </c>
      <c r="S39" s="104">
        <f>Tabella3[[#This Row],[Lombardy fit]]*NOT(ISBLANK(Tabella3[[#This Row],[Lombardy data]]))</f>
        <v>402.85198787350237</v>
      </c>
      <c r="T39" s="104">
        <f>Tabella3[[#This Row],[Lombardy fit]]+CIl</f>
        <v>522.00000135280413</v>
      </c>
      <c r="U39" s="104">
        <f>MAX(Tabella3[[#This Row],[Lombardy fit]]-CIl,0)</f>
        <v>283.7039743942006</v>
      </c>
      <c r="V39" s="10">
        <f>Tabella8[[#This Row],[rest of Italy ]]</f>
        <v>3304</v>
      </c>
      <c r="W39" s="10">
        <f>(Tabella3[[#This Row],[rest of Italy cum. Data]]-V38)</f>
        <v>275</v>
      </c>
      <c r="X39" s="104">
        <f>Tabella3[[#This Row],[rest of Italy data]]*NOT(ISBLANK(Tabella3[[#This Row],[rest of Italy data]]))</f>
        <v>275</v>
      </c>
      <c r="Y39" s="10">
        <f>Tabella8[[#This Row],[rest of Italy fit]]</f>
        <v>3330.7383245707879</v>
      </c>
      <c r="Z39" s="104">
        <f>Ka*_xlfn.LOGNORM.DIST(Tabella3[[#This Row],[Day]],mu_a,sigma_a,FALSE)</f>
        <v>336.61331870909805</v>
      </c>
      <c r="AA39" s="104">
        <f>Tabella3[[#This Row],[rest of Italy fit]]*NOT(ISBLANK(Tabella3[[#This Row],[rest of Italy data]]))</f>
        <v>336.61331870909805</v>
      </c>
      <c r="AB39" s="104">
        <f>Tabella3[[#This Row],[rest of Italy fit]]+CIa</f>
        <v>408.20135764993603</v>
      </c>
      <c r="AC39" s="104">
        <f>MAX(Tabella3[[#This Row],[rest of Italy fit]]-CIa,0)</f>
        <v>265.02527976826008</v>
      </c>
      <c r="AE39" s="2" t="s">
        <v>4</v>
      </c>
      <c r="AF39" s="7" cm="1">
        <f t="array" ref="AF39">1-SUM((Tabella3[Colonna33]-Tabella3[Colonna322])^2)/SUM((Tabella3[Colonna33]-Mean_of_ya)^2)</f>
        <v>0.9832100793731342</v>
      </c>
      <c r="AS39" s="64"/>
    </row>
    <row r="40" spans="2:45" x14ac:dyDescent="0.3">
      <c r="B40" s="9">
        <v>43917</v>
      </c>
      <c r="C40" s="4">
        <f t="shared" si="0"/>
        <v>33</v>
      </c>
      <c r="D40" s="104">
        <f>'dpc-covid19-ita-andamento-naz'!K34</f>
        <v>9134</v>
      </c>
      <c r="E40" s="104">
        <f>(Tabella3[[#This Row],[Italy cumul. Data]]-D39)</f>
        <v>969</v>
      </c>
      <c r="F40" s="104">
        <f>Tabella3[[#This Row],[Italy data]]*NOT(ISBLANK(Tabella3[[#This Row],[Italy data]]))</f>
        <v>969</v>
      </c>
      <c r="G40" s="136">
        <f>Tabella8[[#This Row],[Italy fit]]</f>
        <v>9278.1508976332971</v>
      </c>
      <c r="H40" s="109">
        <f>Tabella3[[#This Row],[Lombardy fit]]+Tabella3[[#This Row],[rest of Italy fit]]</f>
        <v>747.76016801565356</v>
      </c>
      <c r="I40" s="104">
        <f>Kf*_xlfn.LOGNORM.DIST(Tabella3[[#This Row],[Day]],mu_f,sigma_f,FALSE)</f>
        <v>837.32370614384263</v>
      </c>
      <c r="J40" s="104">
        <f>Tabella3[[#This Row],[Italy sum of regions]]*NOT(ISBLANK(Tabella3[[#This Row],[Italy data]]))</f>
        <v>747.76016801565356</v>
      </c>
      <c r="K40" s="104">
        <f>Tabella3[[#This Row],[Italy fit]]*NOT(ISBLANK(Tabella3[[#This Row],[Italy data]]))</f>
        <v>837.32370614384263</v>
      </c>
      <c r="L40" s="104">
        <f>Tabella3[[#This Row],[Italy fit]]+CIf</f>
        <v>1066.5664957177755</v>
      </c>
      <c r="M40" s="104">
        <f>MAX(Tabella3[[#This Row],[Italy fit]]-CIf,0)</f>
        <v>608.08091656990962</v>
      </c>
      <c r="N40" s="4">
        <f>Tabella8[[#This Row],[Lombardy]]</f>
        <v>5402</v>
      </c>
      <c r="O40" s="104">
        <f>(Tabella3[[#This Row],[Lombardy cumul. Data]]-N39)</f>
        <v>541</v>
      </c>
      <c r="P40" s="104">
        <f>Tabella3[[#This Row],[Lombardy data]]*NOT(ISBLANK(Tabella3[[#This Row],[Lombardy data]]))</f>
        <v>541</v>
      </c>
      <c r="Q40" s="10">
        <f>Tabella8[[#This Row],[Lombardy fit]]</f>
        <v>5468.3248808817289</v>
      </c>
      <c r="R40" s="104">
        <f>Kl*_xlfn.LOGNORM.DIST(Tabella3[[#This Row],[Day]],mu_l,sigma_l,FALSE)</f>
        <v>401.60746764425471</v>
      </c>
      <c r="S40" s="104">
        <f>Tabella3[[#This Row],[Lombardy fit]]*NOT(ISBLANK(Tabella3[[#This Row],[Lombardy data]]))</f>
        <v>401.60746764425471</v>
      </c>
      <c r="T40" s="104">
        <f>Tabella3[[#This Row],[Lombardy fit]]+CIl</f>
        <v>520.75548112355648</v>
      </c>
      <c r="U40" s="104">
        <f>MAX(Tabella3[[#This Row],[Lombardy fit]]-CIl,0)</f>
        <v>282.45945416495294</v>
      </c>
      <c r="V40" s="10">
        <f>Tabella8[[#This Row],[rest of Italy ]]</f>
        <v>3732</v>
      </c>
      <c r="W40" s="10">
        <f>(Tabella3[[#This Row],[rest of Italy cum. Data]]-V39)</f>
        <v>428</v>
      </c>
      <c r="X40" s="104">
        <f>Tabella3[[#This Row],[rest of Italy data]]*NOT(ISBLANK(Tabella3[[#This Row],[rest of Italy data]]))</f>
        <v>428</v>
      </c>
      <c r="Y40" s="10">
        <f>Tabella8[[#This Row],[rest of Italy fit]]</f>
        <v>3672.2618218129683</v>
      </c>
      <c r="Z40" s="104">
        <f>Ka*_xlfn.LOGNORM.DIST(Tabella3[[#This Row],[Day]],mu_a,sigma_a,FALSE)</f>
        <v>346.15270037139891</v>
      </c>
      <c r="AA40" s="104">
        <f>Tabella3[[#This Row],[rest of Italy fit]]*NOT(ISBLANK(Tabella3[[#This Row],[rest of Italy data]]))</f>
        <v>346.15270037139891</v>
      </c>
      <c r="AB40" s="104">
        <f>Tabella3[[#This Row],[rest of Italy fit]]+CIa</f>
        <v>417.74073931223688</v>
      </c>
      <c r="AC40" s="104">
        <f>MAX(Tabella3[[#This Row],[rest of Italy fit]]-CIa,0)</f>
        <v>274.56466143056093</v>
      </c>
      <c r="AE40" s="2" t="s">
        <v>5</v>
      </c>
      <c r="AF40" s="7">
        <f>TINV(0.05,dfa)</f>
        <v>2.0040447832891455</v>
      </c>
      <c r="AS40" s="64"/>
    </row>
    <row r="41" spans="2:45" x14ac:dyDescent="0.3">
      <c r="B41" s="9">
        <v>43918</v>
      </c>
      <c r="C41" s="4">
        <f t="shared" si="0"/>
        <v>34</v>
      </c>
      <c r="D41" s="104">
        <f>'dpc-covid19-ita-andamento-naz'!K35</f>
        <v>10023</v>
      </c>
      <c r="E41" s="104">
        <f>(Tabella3[[#This Row],[Italy cumul. Data]]-D40)</f>
        <v>889</v>
      </c>
      <c r="F41" s="104">
        <f>Tabella3[[#This Row],[Italy data]]*NOT(ISBLANK(Tabella3[[#This Row],[Italy data]]))</f>
        <v>889</v>
      </c>
      <c r="G41" s="136">
        <f>Tabella8[[#This Row],[Italy fit]]</f>
        <v>10115.02792379468</v>
      </c>
      <c r="H41" s="109">
        <f>Tabella3[[#This Row],[Lombardy fit]]+Tabella3[[#This Row],[rest of Italy fit]]</f>
        <v>752.42318835336368</v>
      </c>
      <c r="I41" s="104">
        <f>Kf*_xlfn.LOGNORM.DIST(Tabella3[[#This Row],[Day]],mu_f,sigma_f,FALSE)</f>
        <v>835.43149719707299</v>
      </c>
      <c r="J41" s="104">
        <f>Tabella3[[#This Row],[Italy sum of regions]]*NOT(ISBLANK(Tabella3[[#This Row],[Italy data]]))</f>
        <v>752.42318835336368</v>
      </c>
      <c r="K41" s="104">
        <f>Tabella3[[#This Row],[Italy fit]]*NOT(ISBLANK(Tabella3[[#This Row],[Italy data]]))</f>
        <v>835.43149719707299</v>
      </c>
      <c r="L41" s="104">
        <f>Tabella3[[#This Row],[Italy fit]]+CIf</f>
        <v>1064.6742867710059</v>
      </c>
      <c r="M41" s="104">
        <f>MAX(Tabella3[[#This Row],[Italy fit]]-CIf,0)</f>
        <v>606.18870762313998</v>
      </c>
      <c r="N41" s="4">
        <f>Tabella8[[#This Row],[Lombardy]]</f>
        <v>5944</v>
      </c>
      <c r="O41" s="104">
        <f>(Tabella3[[#This Row],[Lombardy cumul. Data]]-N40)</f>
        <v>542</v>
      </c>
      <c r="P41" s="104">
        <f>Tabella3[[#This Row],[Lombardy data]]*NOT(ISBLANK(Tabella3[[#This Row],[Lombardy data]]))</f>
        <v>542</v>
      </c>
      <c r="Q41" s="10">
        <f>Tabella8[[#This Row],[Lombardy fit]]</f>
        <v>5868.4853966238779</v>
      </c>
      <c r="R41" s="104">
        <f>Kl*_xlfn.LOGNORM.DIST(Tabella3[[#This Row],[Day]],mu_l,sigma_l,FALSE)</f>
        <v>398.40514719636894</v>
      </c>
      <c r="S41" s="104">
        <f>Tabella3[[#This Row],[Lombardy fit]]*NOT(ISBLANK(Tabella3[[#This Row],[Lombardy data]]))</f>
        <v>398.40514719636894</v>
      </c>
      <c r="T41" s="104">
        <f>Tabella3[[#This Row],[Lombardy fit]]+CIl</f>
        <v>517.55316067567071</v>
      </c>
      <c r="U41" s="104">
        <f>MAX(Tabella3[[#This Row],[Lombardy fit]]-CIl,0)</f>
        <v>279.25713371706718</v>
      </c>
      <c r="V41" s="10">
        <f>Tabella8[[#This Row],[rest of Italy ]]</f>
        <v>4079</v>
      </c>
      <c r="W41" s="10">
        <f>(Tabella3[[#This Row],[rest of Italy cum. Data]]-V40)</f>
        <v>347</v>
      </c>
      <c r="X41" s="104">
        <f>Tabella3[[#This Row],[rest of Italy data]]*NOT(ISBLANK(Tabella3[[#This Row],[rest of Italy data]]))</f>
        <v>347</v>
      </c>
      <c r="Y41" s="10">
        <f>Tabella8[[#This Row],[rest of Italy fit]]</f>
        <v>4022.4854599512905</v>
      </c>
      <c r="Z41" s="104">
        <f>Ka*_xlfn.LOGNORM.DIST(Tabella3[[#This Row],[Day]],mu_a,sigma_a,FALSE)</f>
        <v>354.01804115699468</v>
      </c>
      <c r="AA41" s="104">
        <f>Tabella3[[#This Row],[rest of Italy fit]]*NOT(ISBLANK(Tabella3[[#This Row],[rest of Italy data]]))</f>
        <v>354.01804115699468</v>
      </c>
      <c r="AB41" s="104">
        <f>Tabella3[[#This Row],[rest of Italy fit]]+CIa</f>
        <v>425.60608009783266</v>
      </c>
      <c r="AC41" s="104">
        <f>MAX(Tabella3[[#This Row],[rest of Italy fit]]-CIa,0)</f>
        <v>282.43000221615671</v>
      </c>
      <c r="AE41" s="2" t="s">
        <v>6</v>
      </c>
      <c r="AF41" s="6">
        <f>Critical_ta*SE_of_ya</f>
        <v>71.588038940837976</v>
      </c>
      <c r="AS41" s="64"/>
    </row>
    <row r="42" spans="2:45" ht="15" thickBot="1" x14ac:dyDescent="0.35">
      <c r="B42" s="9">
        <v>43919</v>
      </c>
      <c r="C42" s="4">
        <f t="shared" si="0"/>
        <v>35</v>
      </c>
      <c r="D42" s="104">
        <f>'dpc-covid19-ita-andamento-naz'!K36</f>
        <v>10779</v>
      </c>
      <c r="E42" s="104">
        <f>(Tabella3[[#This Row],[Italy cumul. Data]]-D41)</f>
        <v>756</v>
      </c>
      <c r="F42" s="104">
        <f>Tabella3[[#This Row],[Italy data]]*NOT(ISBLANK(Tabella3[[#This Row],[Italy data]]))</f>
        <v>756</v>
      </c>
      <c r="G42" s="136">
        <f>Tabella8[[#This Row],[Italy fit]]</f>
        <v>10947.115657213044</v>
      </c>
      <c r="H42" s="109">
        <f>Tabella3[[#This Row],[Lombardy fit]]+Tabella3[[#This Row],[rest of Italy fit]]</f>
        <v>753.70673225916744</v>
      </c>
      <c r="I42" s="104">
        <f>Kf*_xlfn.LOGNORM.DIST(Tabella3[[#This Row],[Day]],mu_f,sigma_f,FALSE)</f>
        <v>827.84624616918211</v>
      </c>
      <c r="J42" s="104">
        <f>Tabella3[[#This Row],[Italy sum of regions]]*NOT(ISBLANK(Tabella3[[#This Row],[Italy data]]))</f>
        <v>753.70673225916744</v>
      </c>
      <c r="K42" s="104">
        <f>Tabella3[[#This Row],[Italy fit]]*NOT(ISBLANK(Tabella3[[#This Row],[Italy data]]))</f>
        <v>827.84624616918211</v>
      </c>
      <c r="L42" s="104">
        <f>Tabella3[[#This Row],[Italy fit]]+CIf</f>
        <v>1057.0890357431151</v>
      </c>
      <c r="M42" s="104">
        <f>MAX(Tabella3[[#This Row],[Italy fit]]-CIf,0)</f>
        <v>598.6034565952491</v>
      </c>
      <c r="N42" s="4">
        <f>Tabella8[[#This Row],[Lombardy]]</f>
        <v>6360</v>
      </c>
      <c r="O42" s="104">
        <f>(Tabella3[[#This Row],[Lombardy cumul. Data]]-N41)</f>
        <v>416</v>
      </c>
      <c r="P42" s="104">
        <f>Tabella3[[#This Row],[Lombardy data]]*NOT(ISBLANK(Tabella3[[#This Row],[Lombardy data]]))</f>
        <v>416</v>
      </c>
      <c r="Q42" s="10">
        <f>Tabella8[[#This Row],[Lombardy fit]]</f>
        <v>6264.554302356757</v>
      </c>
      <c r="R42" s="104">
        <f>Kl*_xlfn.LOGNORM.DIST(Tabella3[[#This Row],[Day]],mu_l,sigma_l,FALSE)</f>
        <v>393.46016670531475</v>
      </c>
      <c r="S42" s="104">
        <f>Tabella3[[#This Row],[Lombardy fit]]*NOT(ISBLANK(Tabella3[[#This Row],[Lombardy data]]))</f>
        <v>393.46016670531475</v>
      </c>
      <c r="T42" s="104">
        <f>Tabella3[[#This Row],[Lombardy fit]]+CIl</f>
        <v>512.60818018461646</v>
      </c>
      <c r="U42" s="104">
        <f>MAX(Tabella3[[#This Row],[Lombardy fit]]-CIl,0)</f>
        <v>274.31215322601304</v>
      </c>
      <c r="V42" s="10">
        <f>Tabella8[[#This Row],[rest of Italy ]]</f>
        <v>4419</v>
      </c>
      <c r="W42" s="10">
        <f>(Tabella3[[#This Row],[rest of Italy cum. Data]]-V41)</f>
        <v>340</v>
      </c>
      <c r="X42" s="104">
        <f>Tabella3[[#This Row],[rest of Italy data]]*NOT(ISBLANK(Tabella3[[#This Row],[rest of Italy data]]))</f>
        <v>340</v>
      </c>
      <c r="Y42" s="10">
        <f>Tabella8[[#This Row],[rest of Italy fit]]</f>
        <v>4379.7520917989377</v>
      </c>
      <c r="Z42" s="104">
        <f>Ka*_xlfn.LOGNORM.DIST(Tabella3[[#This Row],[Day]],mu_a,sigma_a,FALSE)</f>
        <v>360.24656555385275</v>
      </c>
      <c r="AA42" s="104">
        <f>Tabella3[[#This Row],[rest of Italy fit]]*NOT(ISBLANK(Tabella3[[#This Row],[rest of Italy data]]))</f>
        <v>360.24656555385275</v>
      </c>
      <c r="AB42" s="104">
        <f>Tabella3[[#This Row],[rest of Italy fit]]+CIa</f>
        <v>431.83460449469072</v>
      </c>
      <c r="AC42" s="104">
        <f>MAX(Tabella3[[#This Row],[rest of Italy fit]]-CIa,0)</f>
        <v>288.65852661301477</v>
      </c>
      <c r="AE42" s="42" t="s">
        <v>307</v>
      </c>
      <c r="AF42" s="139">
        <f>Ka*_xlfn.LOGNORM.DIST(EXP(mu_a-sigma_a^2),mu_a,sigma_a,FALSE)</f>
        <v>370.14105077401194</v>
      </c>
      <c r="AS42" s="65"/>
    </row>
    <row r="43" spans="2:45" ht="15" thickTop="1" x14ac:dyDescent="0.3">
      <c r="B43" s="9">
        <v>43920</v>
      </c>
      <c r="C43" s="4">
        <f t="shared" si="0"/>
        <v>36</v>
      </c>
      <c r="D43" s="104">
        <f>'dpc-covid19-ita-andamento-naz'!K37</f>
        <v>11591</v>
      </c>
      <c r="E43" s="104">
        <f>(Tabella3[[#This Row],[Italy cumul. Data]]-D42)</f>
        <v>812</v>
      </c>
      <c r="F43" s="104">
        <f>Tabella3[[#This Row],[Italy data]]*NOT(ISBLANK(Tabella3[[#This Row],[Italy data]]))</f>
        <v>812</v>
      </c>
      <c r="G43" s="136">
        <f>Tabella8[[#This Row],[Italy fit]]</f>
        <v>11769.031352226537</v>
      </c>
      <c r="H43" s="109">
        <f>Tabella3[[#This Row],[Lombardy fit]]+Tabella3[[#This Row],[rest of Italy fit]]</f>
        <v>751.88071999418321</v>
      </c>
      <c r="I43" s="104">
        <f>Kf*_xlfn.LOGNORM.DIST(Tabella3[[#This Row],[Day]],mu_f,sigma_f,FALSE)</f>
        <v>815.19457088681338</v>
      </c>
      <c r="J43" s="104">
        <f>Tabella3[[#This Row],[Italy sum of regions]]*NOT(ISBLANK(Tabella3[[#This Row],[Italy data]]))</f>
        <v>751.88071999418321</v>
      </c>
      <c r="K43" s="104">
        <f>Tabella3[[#This Row],[Italy fit]]*NOT(ISBLANK(Tabella3[[#This Row],[Italy data]]))</f>
        <v>815.19457088681338</v>
      </c>
      <c r="L43" s="104">
        <f>Tabella3[[#This Row],[Italy fit]]+CIf</f>
        <v>1044.4373604607463</v>
      </c>
      <c r="M43" s="104">
        <f>MAX(Tabella3[[#This Row],[Italy fit]]-CIf,0)</f>
        <v>585.95178131288037</v>
      </c>
      <c r="N43" s="4">
        <f>Tabella8[[#This Row],[Lombardy]]</f>
        <v>6818</v>
      </c>
      <c r="O43" s="104">
        <f>(Tabella3[[#This Row],[Lombardy cumul. Data]]-N42)</f>
        <v>458</v>
      </c>
      <c r="P43" s="104">
        <f>Tabella3[[#This Row],[Lombardy data]]*NOT(ISBLANK(Tabella3[[#This Row],[Lombardy data]]))</f>
        <v>458</v>
      </c>
      <c r="Q43" s="10">
        <f>Tabella8[[#This Row],[Lombardy fit]]</f>
        <v>6654.896255074249</v>
      </c>
      <c r="R43" s="104">
        <f>Kl*_xlfn.LOGNORM.DIST(Tabella3[[#This Row],[Day]],mu_l,sigma_l,FALSE)</f>
        <v>386.98657240855869</v>
      </c>
      <c r="S43" s="104">
        <f>Tabella3[[#This Row],[Lombardy fit]]*NOT(ISBLANK(Tabella3[[#This Row],[Lombardy data]]))</f>
        <v>386.98657240855869</v>
      </c>
      <c r="T43" s="104">
        <f>Tabella3[[#This Row],[Lombardy fit]]+CIl</f>
        <v>506.13458588786045</v>
      </c>
      <c r="U43" s="104">
        <f>MAX(Tabella3[[#This Row],[Lombardy fit]]-CIl,0)</f>
        <v>267.83855892925692</v>
      </c>
      <c r="V43" s="10">
        <f>Tabella8[[#This Row],[rest of Italy ]]</f>
        <v>4773</v>
      </c>
      <c r="W43" s="10">
        <f>(Tabella3[[#This Row],[rest of Italy cum. Data]]-V42)</f>
        <v>354</v>
      </c>
      <c r="X43" s="104">
        <f>Tabella3[[#This Row],[rest of Italy data]]*NOT(ISBLANK(Tabella3[[#This Row],[rest of Italy data]]))</f>
        <v>354</v>
      </c>
      <c r="Y43" s="10">
        <f>Tabella8[[#This Row],[rest of Italy fit]]</f>
        <v>4742.451445333847</v>
      </c>
      <c r="Z43" s="104">
        <f>Ka*_xlfn.LOGNORM.DIST(Tabella3[[#This Row],[Day]],mu_a,sigma_a,FALSE)</f>
        <v>364.89414758562458</v>
      </c>
      <c r="AA43" s="104">
        <f>Tabella3[[#This Row],[rest of Italy fit]]*NOT(ISBLANK(Tabella3[[#This Row],[rest of Italy data]]))</f>
        <v>364.89414758562458</v>
      </c>
      <c r="AB43" s="104">
        <f>Tabella3[[#This Row],[rest of Italy fit]]+CIa</f>
        <v>436.48218652646256</v>
      </c>
      <c r="AC43" s="104">
        <f>MAX(Tabella3[[#This Row],[rest of Italy fit]]-CIa,0)</f>
        <v>293.3061086447866</v>
      </c>
      <c r="AE43" s="42" t="s">
        <v>129</v>
      </c>
      <c r="AF43" s="43">
        <f>_xlfn.XLOOKUP(ROUND(EXP(mu_a-sigma_a^2),0),Tabella3[Day],Tabella3[Date])</f>
        <v>43923</v>
      </c>
      <c r="AS43" s="69">
        <f>MAX($AF$52)</f>
        <v>0.95699224823348228</v>
      </c>
    </row>
    <row r="44" spans="2:45" x14ac:dyDescent="0.3">
      <c r="B44" s="9">
        <v>43921</v>
      </c>
      <c r="C44" s="4">
        <f t="shared" si="0"/>
        <v>37</v>
      </c>
      <c r="D44" s="104">
        <f>'dpc-covid19-ita-andamento-naz'!K38</f>
        <v>12428</v>
      </c>
      <c r="E44" s="104">
        <f>(Tabella3[[#This Row],[Italy cumul. Data]]-D43)</f>
        <v>837</v>
      </c>
      <c r="F44" s="104">
        <f>Tabella3[[#This Row],[Italy data]]*NOT(ISBLANK(Tabella3[[#This Row],[Italy data]]))</f>
        <v>837</v>
      </c>
      <c r="G44" s="136">
        <f>Tabella8[[#This Row],[Italy fit]]</f>
        <v>12576.032713781846</v>
      </c>
      <c r="H44" s="109">
        <f>Tabella3[[#This Row],[Lombardy fit]]+Tabella3[[#This Row],[rest of Italy fit]]</f>
        <v>747.22441533705887</v>
      </c>
      <c r="I44" s="104">
        <f>Kf*_xlfn.LOGNORM.DIST(Tabella3[[#This Row],[Day]],mu_f,sigma_f,FALSE)</f>
        <v>798.12666742611009</v>
      </c>
      <c r="J44" s="104">
        <f>Tabella3[[#This Row],[Italy sum of regions]]*NOT(ISBLANK(Tabella3[[#This Row],[Italy data]]))</f>
        <v>747.22441533705887</v>
      </c>
      <c r="K44" s="104">
        <f>Tabella3[[#This Row],[Italy fit]]*NOT(ISBLANK(Tabella3[[#This Row],[Italy data]]))</f>
        <v>798.12666742611009</v>
      </c>
      <c r="L44" s="104">
        <f>Tabella3[[#This Row],[Italy fit]]+CIf</f>
        <v>1027.369457000043</v>
      </c>
      <c r="M44" s="104">
        <f>MAX(Tabella3[[#This Row],[Italy fit]]-CIf,0)</f>
        <v>568.88387785217708</v>
      </c>
      <c r="N44" s="4">
        <f>Tabella8[[#This Row],[Lombardy]]</f>
        <v>7199</v>
      </c>
      <c r="O44" s="104">
        <f>(Tabella3[[#This Row],[Lombardy cumul. Data]]-N43)</f>
        <v>381</v>
      </c>
      <c r="P44" s="104">
        <f>Tabella3[[#This Row],[Lombardy data]]*NOT(ISBLANK(Tabella3[[#This Row],[Lombardy data]]))</f>
        <v>381</v>
      </c>
      <c r="Q44" s="10">
        <f>Tabella8[[#This Row],[Lombardy fit]]</f>
        <v>7038.0875116700663</v>
      </c>
      <c r="R44" s="104">
        <f>Kl*_xlfn.LOGNORM.DIST(Tabella3[[#This Row],[Day]],mu_l,sigma_l,FALSE)</f>
        <v>379.19287090388616</v>
      </c>
      <c r="S44" s="104">
        <f>Tabella3[[#This Row],[Lombardy fit]]*NOT(ISBLANK(Tabella3[[#This Row],[Lombardy data]]))</f>
        <v>379.19287090388616</v>
      </c>
      <c r="T44" s="104">
        <f>Tabella3[[#This Row],[Lombardy fit]]+CIl</f>
        <v>498.34088438318793</v>
      </c>
      <c r="U44" s="104">
        <f>MAX(Tabella3[[#This Row],[Lombardy fit]]-CIl,0)</f>
        <v>260.04485742458439</v>
      </c>
      <c r="V44" s="10">
        <f>Tabella8[[#This Row],[rest of Italy ]]</f>
        <v>5229</v>
      </c>
      <c r="W44" s="10">
        <f>(Tabella3[[#This Row],[rest of Italy cum. Data]]-V43)</f>
        <v>456</v>
      </c>
      <c r="X44" s="104">
        <f>Tabella3[[#This Row],[rest of Italy data]]*NOT(ISBLANK(Tabella3[[#This Row],[rest of Italy data]]))</f>
        <v>456</v>
      </c>
      <c r="Y44" s="10">
        <f>Tabella8[[#This Row],[rest of Italy fit]]</f>
        <v>5109.0368652850357</v>
      </c>
      <c r="Z44" s="104">
        <f>Ka*_xlfn.LOGNORM.DIST(Tabella3[[#This Row],[Day]],mu_a,sigma_a,FALSE)</f>
        <v>368.03154443317277</v>
      </c>
      <c r="AA44" s="104">
        <f>Tabella3[[#This Row],[rest of Italy fit]]*NOT(ISBLANK(Tabella3[[#This Row],[rest of Italy data]]))</f>
        <v>368.03154443317277</v>
      </c>
      <c r="AB44" s="104">
        <f>Tabella3[[#This Row],[rest of Italy fit]]+CIa</f>
        <v>439.61958337401074</v>
      </c>
      <c r="AC44" s="104">
        <f>MAX(Tabella3[[#This Row],[rest of Italy fit]]-CIa,0)</f>
        <v>296.44350549233479</v>
      </c>
      <c r="AE44" s="89"/>
      <c r="AF44" s="84"/>
      <c r="AS44" s="70">
        <f>COUNT($AF$46,$AF$47,$AF$48)</f>
        <v>3</v>
      </c>
    </row>
    <row r="45" spans="2:45" x14ac:dyDescent="0.3">
      <c r="B45" s="9">
        <v>43922</v>
      </c>
      <c r="C45" s="4">
        <f t="shared" si="0"/>
        <v>38</v>
      </c>
      <c r="D45" s="104">
        <f>'dpc-covid19-ita-andamento-naz'!K39</f>
        <v>13155</v>
      </c>
      <c r="E45" s="104">
        <f>(Tabella3[[#This Row],[Italy cumul. Data]]-D44)</f>
        <v>727</v>
      </c>
      <c r="F45" s="104">
        <f>Tabella3[[#This Row],[Italy data]]*NOT(ISBLANK(Tabella3[[#This Row],[Italy data]]))</f>
        <v>727</v>
      </c>
      <c r="G45" s="136">
        <f>Tabella8[[#This Row],[Italy fit]]</f>
        <v>13364.029984288829</v>
      </c>
      <c r="H45" s="109">
        <f>Tabella3[[#This Row],[Lombardy fit]]+Tabella3[[#This Row],[rest of Italy fit]]</f>
        <v>740.01961074296037</v>
      </c>
      <c r="I45" s="104">
        <f>Kf*_xlfn.LOGNORM.DIST(Tabella3[[#This Row],[Day]],mu_f,sigma_f,FALSE)</f>
        <v>777.29409360201453</v>
      </c>
      <c r="J45" s="104">
        <f>Tabella3[[#This Row],[Italy sum of regions]]*NOT(ISBLANK(Tabella3[[#This Row],[Italy data]]))</f>
        <v>740.01961074296037</v>
      </c>
      <c r="K45" s="104">
        <f>Tabella3[[#This Row],[Italy fit]]*NOT(ISBLANK(Tabella3[[#This Row],[Italy data]]))</f>
        <v>777.29409360201453</v>
      </c>
      <c r="L45" s="104">
        <f>Tabella3[[#This Row],[Italy fit]]+CIf</f>
        <v>1006.5368831759475</v>
      </c>
      <c r="M45" s="104">
        <f>MAX(Tabella3[[#This Row],[Italy fit]]-CIf,0)</f>
        <v>548.05130402808152</v>
      </c>
      <c r="N45" s="4">
        <f>Tabella8[[#This Row],[Lombardy]]</f>
        <v>7593</v>
      </c>
      <c r="O45" s="104">
        <f>(Tabella3[[#This Row],[Lombardy cumul. Data]]-N44)</f>
        <v>394</v>
      </c>
      <c r="P45" s="104">
        <f>Tabella3[[#This Row],[Lombardy data]]*NOT(ISBLANK(Tabella3[[#This Row],[Lombardy data]]))</f>
        <v>394</v>
      </c>
      <c r="Q45" s="10">
        <f>Tabella8[[#This Row],[Lombardy fit]]</f>
        <v>7412.9086204317928</v>
      </c>
      <c r="R45" s="104">
        <f>Kl*_xlfn.LOGNORM.DIST(Tabella3[[#This Row],[Day]],mu_l,sigma_l,FALSE)</f>
        <v>370.27865857410325</v>
      </c>
      <c r="S45" s="104">
        <f>Tabella3[[#This Row],[Lombardy fit]]*NOT(ISBLANK(Tabella3[[#This Row],[Lombardy data]]))</f>
        <v>370.27865857410325</v>
      </c>
      <c r="T45" s="104">
        <f>Tabella3[[#This Row],[Lombardy fit]]+CIl</f>
        <v>489.42667205340501</v>
      </c>
      <c r="U45" s="104">
        <f>MAX(Tabella3[[#This Row],[Lombardy fit]]-CIl,0)</f>
        <v>251.13064509480151</v>
      </c>
      <c r="V45" s="10">
        <f>Tabella8[[#This Row],[rest of Italy ]]</f>
        <v>5562</v>
      </c>
      <c r="W45" s="10">
        <f>(Tabella3[[#This Row],[rest of Italy cum. Data]]-V44)</f>
        <v>333</v>
      </c>
      <c r="X45" s="104">
        <f>Tabella3[[#This Row],[rest of Italy data]]*NOT(ISBLANK(Tabella3[[#This Row],[rest of Italy data]]))</f>
        <v>333</v>
      </c>
      <c r="Y45" s="10">
        <f>Tabella8[[#This Row],[rest of Italy fit]]</f>
        <v>5478.038445536441</v>
      </c>
      <c r="Z45" s="104">
        <f>Ka*_xlfn.LOGNORM.DIST(Tabella3[[#This Row],[Day]],mu_a,sigma_a,FALSE)</f>
        <v>369.74095216885718</v>
      </c>
      <c r="AA45" s="104">
        <f>Tabella3[[#This Row],[rest of Italy fit]]*NOT(ISBLANK(Tabella3[[#This Row],[rest of Italy data]]))</f>
        <v>369.74095216885718</v>
      </c>
      <c r="AB45" s="104">
        <f>Tabella3[[#This Row],[rest of Italy fit]]+CIa</f>
        <v>441.32899110969515</v>
      </c>
      <c r="AC45" s="104">
        <f>MAX(Tabella3[[#This Row],[rest of Italy fit]]-CIa,0)</f>
        <v>298.1529132280192</v>
      </c>
      <c r="AE45" s="44" t="s">
        <v>130</v>
      </c>
      <c r="AF45" s="21" t="s">
        <v>86</v>
      </c>
      <c r="AS45" s="70">
        <f>{32767;32767;0.000001;0;FALSE;FALSE;FALSE;1;2;1;0.0001;TRUE}</f>
        <v>32767</v>
      </c>
    </row>
    <row r="46" spans="2:45" x14ac:dyDescent="0.3">
      <c r="B46" s="9">
        <v>43923</v>
      </c>
      <c r="C46" s="4">
        <f t="shared" si="0"/>
        <v>39</v>
      </c>
      <c r="D46" s="104">
        <f>'dpc-covid19-ita-andamento-naz'!K40</f>
        <v>13915</v>
      </c>
      <c r="E46" s="104">
        <f>(Tabella3[[#This Row],[Italy cumul. Data]]-D45)</f>
        <v>760</v>
      </c>
      <c r="F46" s="104">
        <f>Tabella3[[#This Row],[Italy data]]*NOT(ISBLANK(Tabella3[[#This Row],[Italy data]]))</f>
        <v>760</v>
      </c>
      <c r="G46" s="136">
        <f>Tabella8[[#This Row],[Italy fit]]</f>
        <v>14129.578080590658</v>
      </c>
      <c r="H46" s="109">
        <f>Tabella3[[#This Row],[Lombardy fit]]+Tabella3[[#This Row],[rest of Italy fit]]</f>
        <v>730.54509853104912</v>
      </c>
      <c r="I46" s="104">
        <f>Kf*_xlfn.LOGNORM.DIST(Tabella3[[#This Row],[Day]],mu_f,sigma_f,FALSE)</f>
        <v>753.33204688453247</v>
      </c>
      <c r="J46" s="104">
        <f>Tabella3[[#This Row],[Italy sum of regions]]*NOT(ISBLANK(Tabella3[[#This Row],[Italy data]]))</f>
        <v>730.54509853104912</v>
      </c>
      <c r="K46" s="104">
        <f>Tabella3[[#This Row],[Italy fit]]*NOT(ISBLANK(Tabella3[[#This Row],[Italy data]]))</f>
        <v>753.33204688453247</v>
      </c>
      <c r="L46" s="104">
        <f>Tabella3[[#This Row],[Italy fit]]+CIf</f>
        <v>982.57483645846548</v>
      </c>
      <c r="M46" s="104">
        <f>MAX(Tabella3[[#This Row],[Italy fit]]-CIf,0)</f>
        <v>524.08925731059946</v>
      </c>
      <c r="N46" s="4">
        <f>Tabella8[[#This Row],[Lombardy]]</f>
        <v>7960</v>
      </c>
      <c r="O46" s="104">
        <f>(Tabella3[[#This Row],[Lombardy cumul. Data]]-N45)</f>
        <v>367</v>
      </c>
      <c r="P46" s="104">
        <f>Tabella3[[#This Row],[Lombardy data]]*NOT(ISBLANK(Tabella3[[#This Row],[Lombardy data]]))</f>
        <v>367</v>
      </c>
      <c r="Q46" s="10">
        <f>Tabella8[[#This Row],[Lombardy fit]]</f>
        <v>7778.3342191288202</v>
      </c>
      <c r="R46" s="104">
        <f>Kl*_xlfn.LOGNORM.DIST(Tabella3[[#This Row],[Day]],mu_l,sigma_l,FALSE)</f>
        <v>360.43218113084077</v>
      </c>
      <c r="S46" s="104">
        <f>Tabella3[[#This Row],[Lombardy fit]]*NOT(ISBLANK(Tabella3[[#This Row],[Lombardy data]]))</f>
        <v>360.43218113084077</v>
      </c>
      <c r="T46" s="104">
        <f>Tabella3[[#This Row],[Lombardy fit]]+CIl</f>
        <v>479.58019461014248</v>
      </c>
      <c r="U46" s="104">
        <f>MAX(Tabella3[[#This Row],[Lombardy fit]]-CIl,0)</f>
        <v>241.28416765153904</v>
      </c>
      <c r="V46" s="10">
        <f>Tabella8[[#This Row],[rest of Italy ]]</f>
        <v>5955</v>
      </c>
      <c r="W46" s="10">
        <f>(Tabella3[[#This Row],[rest of Italy cum. Data]]-V45)</f>
        <v>393</v>
      </c>
      <c r="X46" s="104">
        <f>Tabella3[[#This Row],[rest of Italy data]]*NOT(ISBLANK(Tabella3[[#This Row],[rest of Italy data]]))</f>
        <v>393</v>
      </c>
      <c r="Y46" s="10">
        <f>Tabella8[[#This Row],[rest of Italy fit]]</f>
        <v>5848.0728933770752</v>
      </c>
      <c r="Z46" s="104">
        <f>Ka*_xlfn.LOGNORM.DIST(Tabella3[[#This Row],[Day]],mu_a,sigma_a,FALSE)</f>
        <v>370.11291740020835</v>
      </c>
      <c r="AA46" s="104">
        <f>Tabella3[[#This Row],[rest of Italy fit]]*NOT(ISBLANK(Tabella3[[#This Row],[rest of Italy data]]))</f>
        <v>370.11291740020835</v>
      </c>
      <c r="AB46" s="104">
        <f>Tabella3[[#This Row],[rest of Italy fit]]+CIa</f>
        <v>441.70095634104632</v>
      </c>
      <c r="AC46" s="104">
        <f>MAX(Tabella3[[#This Row],[rest of Italy fit]]-CIa,0)</f>
        <v>298.52487845937037</v>
      </c>
      <c r="AE46" s="17" t="s">
        <v>0</v>
      </c>
      <c r="AF46" s="5">
        <f>Kt</f>
        <v>26000.000256193827</v>
      </c>
      <c r="AS46" s="70">
        <f>{0;0;1;100;0;FALSE;FALSE;0.075;0;0;FALSE;30}</f>
        <v>0</v>
      </c>
    </row>
    <row r="47" spans="2:45" x14ac:dyDescent="0.3">
      <c r="B47" s="9">
        <v>43924</v>
      </c>
      <c r="C47" s="4">
        <f t="shared" si="0"/>
        <v>40</v>
      </c>
      <c r="D47" s="104">
        <f>'dpc-covid19-ita-andamento-naz'!K41</f>
        <v>14681</v>
      </c>
      <c r="E47" s="104">
        <f>(Tabella3[[#This Row],[Italy cumul. Data]]-D46)</f>
        <v>766</v>
      </c>
      <c r="F47" s="104">
        <f>Tabella3[[#This Row],[Italy data]]*NOT(ISBLANK(Tabella3[[#This Row],[Italy data]]))</f>
        <v>766</v>
      </c>
      <c r="G47" s="136">
        <f>Tabella8[[#This Row],[Italy fit]]</f>
        <v>14869.853130067524</v>
      </c>
      <c r="H47" s="109">
        <f>Tabella3[[#This Row],[Lombardy fit]]+Tabella3[[#This Row],[rest of Italy fit]]</f>
        <v>719.07229779332749</v>
      </c>
      <c r="I47" s="104">
        <f>Kf*_xlfn.LOGNORM.DIST(Tabella3[[#This Row],[Day]],mu_f,sigma_f,FALSE)</f>
        <v>726.84581961949607</v>
      </c>
      <c r="J47" s="104">
        <f>Tabella3[[#This Row],[Italy sum of regions]]*NOT(ISBLANK(Tabella3[[#This Row],[Italy data]]))</f>
        <v>719.07229779332749</v>
      </c>
      <c r="K47" s="104">
        <f>Tabella3[[#This Row],[Italy fit]]*NOT(ISBLANK(Tabella3[[#This Row],[Italy data]]))</f>
        <v>726.84581961949607</v>
      </c>
      <c r="L47" s="104">
        <f>Tabella3[[#This Row],[Italy fit]]+CIf</f>
        <v>956.08860919342908</v>
      </c>
      <c r="M47" s="104">
        <f>MAX(Tabella3[[#This Row],[Italy fit]]-CIf,0)</f>
        <v>497.60303004556306</v>
      </c>
      <c r="N47" s="4">
        <f>Tabella8[[#This Row],[Lombardy]]</f>
        <v>8311</v>
      </c>
      <c r="O47" s="104">
        <f>(Tabella3[[#This Row],[Lombardy cumul. Data]]-N46)</f>
        <v>351</v>
      </c>
      <c r="P47" s="104">
        <f>Tabella3[[#This Row],[Lombardy data]]*NOT(ISBLANK(Tabella3[[#This Row],[Lombardy data]]))</f>
        <v>351</v>
      </c>
      <c r="Q47" s="10">
        <f>Tabella8[[#This Row],[Lombardy fit]]</f>
        <v>8133.5207978990029</v>
      </c>
      <c r="R47" s="104">
        <f>Kl*_xlfn.LOGNORM.DIST(Tabella3[[#This Row],[Day]],mu_l,sigma_l,FALSE)</f>
        <v>349.82868039069899</v>
      </c>
      <c r="S47" s="104">
        <f>Tabella3[[#This Row],[Lombardy fit]]*NOT(ISBLANK(Tabella3[[#This Row],[Lombardy data]]))</f>
        <v>349.82868039069899</v>
      </c>
      <c r="T47" s="104">
        <f>Tabella3[[#This Row],[Lombardy fit]]+CIl</f>
        <v>468.97669387000076</v>
      </c>
      <c r="U47" s="104">
        <f>MAX(Tabella3[[#This Row],[Lombardy fit]]-CIl,0)</f>
        <v>230.68066691139725</v>
      </c>
      <c r="V47" s="10">
        <f>Tabella8[[#This Row],[rest of Italy ]]</f>
        <v>6370</v>
      </c>
      <c r="W47" s="10">
        <f>(Tabella3[[#This Row],[rest of Italy cum. Data]]-V46)</f>
        <v>415</v>
      </c>
      <c r="X47" s="104">
        <f>Tabella3[[#This Row],[rest of Italy data]]*NOT(ISBLANK(Tabella3[[#This Row],[rest of Italy data]]))</f>
        <v>415</v>
      </c>
      <c r="Y47" s="10">
        <f>Tabella8[[#This Row],[rest of Italy fit]]</f>
        <v>6217.850489325313</v>
      </c>
      <c r="Z47" s="104">
        <f>Ka*_xlfn.LOGNORM.DIST(Tabella3[[#This Row],[Day]],mu_a,sigma_a,FALSE)</f>
        <v>369.2436174026285</v>
      </c>
      <c r="AA47" s="104">
        <f>Tabella3[[#This Row],[rest of Italy fit]]*NOT(ISBLANK(Tabella3[[#This Row],[rest of Italy data]]))</f>
        <v>369.2436174026285</v>
      </c>
      <c r="AB47" s="104">
        <f>Tabella3[[#This Row],[rest of Italy fit]]+CIa</f>
        <v>440.83165634346648</v>
      </c>
      <c r="AC47" s="104">
        <f>MAX(Tabella3[[#This Row],[rest of Italy fit]]-CIa,0)</f>
        <v>297.65557846179053</v>
      </c>
      <c r="AE47" s="117" t="s">
        <v>308</v>
      </c>
      <c r="AF47" s="34">
        <f>mu_t</f>
        <v>3.6252667570344488</v>
      </c>
      <c r="AS47" s="70"/>
    </row>
    <row r="48" spans="2:45" ht="15" thickBot="1" x14ac:dyDescent="0.35">
      <c r="B48" s="9">
        <v>43925</v>
      </c>
      <c r="C48" s="4">
        <f t="shared" si="0"/>
        <v>41</v>
      </c>
      <c r="D48" s="104">
        <f>'dpc-covid19-ita-andamento-naz'!K42</f>
        <v>15362</v>
      </c>
      <c r="E48" s="104">
        <f>(Tabella3[[#This Row],[Italy cumul. Data]]-D47)</f>
        <v>681</v>
      </c>
      <c r="F48" s="104">
        <f>Tabella3[[#This Row],[Italy data]]*NOT(ISBLANK(Tabella3[[#This Row],[Italy data]]))</f>
        <v>681</v>
      </c>
      <c r="G48" s="136">
        <f>Tabella8[[#This Row],[Italy fit]]</f>
        <v>15582.617371083983</v>
      </c>
      <c r="H48" s="109">
        <f>Tabella3[[#This Row],[Lombardy fit]]+Tabella3[[#This Row],[rest of Italy fit]]</f>
        <v>705.86189906795789</v>
      </c>
      <c r="I48" s="104">
        <f>Kf*_xlfn.LOGNORM.DIST(Tabella3[[#This Row],[Day]],mu_f,sigma_f,FALSE)</f>
        <v>698.40099269123448</v>
      </c>
      <c r="J48" s="104">
        <f>Tabella3[[#This Row],[Italy sum of regions]]*NOT(ISBLANK(Tabella3[[#This Row],[Italy data]]))</f>
        <v>705.86189906795789</v>
      </c>
      <c r="K48" s="104">
        <f>Tabella3[[#This Row],[Italy fit]]*NOT(ISBLANK(Tabella3[[#This Row],[Italy data]]))</f>
        <v>698.40099269123448</v>
      </c>
      <c r="L48" s="104">
        <f>Tabella3[[#This Row],[Italy fit]]+CIf</f>
        <v>927.64378226516749</v>
      </c>
      <c r="M48" s="104">
        <f>MAX(Tabella3[[#This Row],[Italy fit]]-CIf,0)</f>
        <v>469.15820311730147</v>
      </c>
      <c r="N48" s="4">
        <f>Tabella8[[#This Row],[Lombardy]]</f>
        <v>8656</v>
      </c>
      <c r="O48" s="104">
        <f>(Tabella3[[#This Row],[Lombardy cumul. Data]]-N47)</f>
        <v>345</v>
      </c>
      <c r="P48" s="104">
        <f>Tabella3[[#This Row],[Lombardy data]]*NOT(ISBLANK(Tabella3[[#This Row],[Lombardy data]]))</f>
        <v>345</v>
      </c>
      <c r="Q48" s="10">
        <f>Tabella8[[#This Row],[Lombardy fit]]</f>
        <v>8477.7931459399788</v>
      </c>
      <c r="R48" s="104">
        <f>Kl*_xlfn.LOGNORM.DIST(Tabella3[[#This Row],[Day]],mu_l,sigma_l,FALSE)</f>
        <v>338.62939355464033</v>
      </c>
      <c r="S48" s="104">
        <f>Tabella3[[#This Row],[Lombardy fit]]*NOT(ISBLANK(Tabella3[[#This Row],[Lombardy data]]))</f>
        <v>338.62939355464033</v>
      </c>
      <c r="T48" s="104">
        <f>Tabella3[[#This Row],[Lombardy fit]]+CIl</f>
        <v>457.77740703394204</v>
      </c>
      <c r="U48" s="104">
        <f>MAX(Tabella3[[#This Row],[Lombardy fit]]-CIl,0)</f>
        <v>219.48138007533859</v>
      </c>
      <c r="V48" s="10">
        <f>Tabella8[[#This Row],[rest of Italy ]]</f>
        <v>6706</v>
      </c>
      <c r="W48" s="10">
        <f>(Tabella3[[#This Row],[rest of Italy cum. Data]]-V47)</f>
        <v>336</v>
      </c>
      <c r="X48" s="104">
        <f>Tabella3[[#This Row],[rest of Italy data]]*NOT(ISBLANK(Tabella3[[#This Row],[rest of Italy data]]))</f>
        <v>336</v>
      </c>
      <c r="Y48" s="10">
        <f>Tabella8[[#This Row],[rest of Italy fit]]</f>
        <v>6586.1795105185711</v>
      </c>
      <c r="Z48" s="104">
        <f>Ka*_xlfn.LOGNORM.DIST(Tabella3[[#This Row],[Day]],mu_a,sigma_a,FALSE)</f>
        <v>367.23250551331762</v>
      </c>
      <c r="AA48" s="104">
        <f>Tabella3[[#This Row],[rest of Italy fit]]*NOT(ISBLANK(Tabella3[[#This Row],[rest of Italy data]]))</f>
        <v>367.23250551331762</v>
      </c>
      <c r="AB48" s="104">
        <f>Tabella3[[#This Row],[rest of Italy fit]]+CIa</f>
        <v>438.82054445415559</v>
      </c>
      <c r="AC48" s="104">
        <f>MAX(Tabella3[[#This Row],[rest of Italy fit]]-CIa,0)</f>
        <v>295.64446657247964</v>
      </c>
      <c r="AE48" s="17" t="s">
        <v>309</v>
      </c>
      <c r="AF48" s="34">
        <f>sigma_t</f>
        <v>0.35095132167466481</v>
      </c>
      <c r="AG48" s="6"/>
      <c r="AS48" s="71"/>
    </row>
    <row r="49" spans="2:34" x14ac:dyDescent="0.3">
      <c r="B49" s="9">
        <v>43926</v>
      </c>
      <c r="C49" s="4">
        <f t="shared" si="0"/>
        <v>42</v>
      </c>
      <c r="D49" s="104">
        <f>'dpc-covid19-ita-andamento-naz'!K43</f>
        <v>15887</v>
      </c>
      <c r="E49" s="104">
        <f>(Tabella3[[#This Row],[Italy cumul. Data]]-D48)</f>
        <v>525</v>
      </c>
      <c r="F49" s="104">
        <f>Tabella3[[#This Row],[Italy data]]*NOT(ISBLANK(Tabella3[[#This Row],[Italy data]]))</f>
        <v>525</v>
      </c>
      <c r="G49" s="136">
        <f>Tabella8[[#This Row],[Italy fit]]</f>
        <v>16266.175909430931</v>
      </c>
      <c r="H49" s="109">
        <f>Tabella3[[#This Row],[Lombardy fit]]+Tabella3[[#This Row],[rest of Italy fit]]</f>
        <v>691.16138928034104</v>
      </c>
      <c r="I49" s="104">
        <f>Kf*_xlfn.LOGNORM.DIST(Tabella3[[#This Row],[Day]],mu_f,sigma_f,FALSE)</f>
        <v>668.51686816077427</v>
      </c>
      <c r="J49" s="104">
        <f>Tabella3[[#This Row],[Italy sum of regions]]*NOT(ISBLANK(Tabella3[[#This Row],[Italy data]]))</f>
        <v>691.16138928034104</v>
      </c>
      <c r="K49" s="104">
        <f>Tabella3[[#This Row],[Italy fit]]*NOT(ISBLANK(Tabella3[[#This Row],[Italy data]]))</f>
        <v>668.51686816077427</v>
      </c>
      <c r="L49" s="104">
        <f>Tabella3[[#This Row],[Italy fit]]+CIf</f>
        <v>897.75965773470728</v>
      </c>
      <c r="M49" s="104">
        <f>MAX(Tabella3[[#This Row],[Italy fit]]-CIf,0)</f>
        <v>439.27407858684126</v>
      </c>
      <c r="N49" s="4">
        <f>Tabella8[[#This Row],[Lombardy]]</f>
        <v>8905</v>
      </c>
      <c r="O49" s="104">
        <f>(Tabella3[[#This Row],[Lombardy cumul. Data]]-N48)</f>
        <v>249</v>
      </c>
      <c r="P49" s="104">
        <f>Tabella3[[#This Row],[Lombardy data]]*NOT(ISBLANK(Tabella3[[#This Row],[Lombardy data]]))</f>
        <v>249</v>
      </c>
      <c r="Q49" s="10">
        <f>Tabella8[[#This Row],[Lombardy fit]]</f>
        <v>8810.6300719470382</v>
      </c>
      <c r="R49" s="104">
        <f>Kl*_xlfn.LOGNORM.DIST(Tabella3[[#This Row],[Day]],mu_l,sigma_l,FALSE)</f>
        <v>326.98108202683233</v>
      </c>
      <c r="S49" s="104">
        <f>Tabella3[[#This Row],[Lombardy fit]]*NOT(ISBLANK(Tabella3[[#This Row],[Lombardy data]]))</f>
        <v>326.98108202683233</v>
      </c>
      <c r="T49" s="104">
        <f>Tabella3[[#This Row],[Lombardy fit]]+CIl</f>
        <v>446.12909550613404</v>
      </c>
      <c r="U49" s="104">
        <f>MAX(Tabella3[[#This Row],[Lombardy fit]]-CIl,0)</f>
        <v>207.83306854753059</v>
      </c>
      <c r="V49" s="10">
        <f>Tabella8[[#This Row],[rest of Italy ]]</f>
        <v>6982</v>
      </c>
      <c r="W49" s="10">
        <f>(Tabella3[[#This Row],[rest of Italy cum. Data]]-V48)</f>
        <v>276</v>
      </c>
      <c r="X49" s="104">
        <f>Tabella3[[#This Row],[rest of Italy data]]*NOT(ISBLANK(Tabella3[[#This Row],[rest of Italy data]]))</f>
        <v>276</v>
      </c>
      <c r="Y49" s="10">
        <f>Tabella8[[#This Row],[rest of Italy fit]]</f>
        <v>6951.9684764406638</v>
      </c>
      <c r="Z49" s="104">
        <f>Ka*_xlfn.LOGNORM.DIST(Tabella3[[#This Row],[Day]],mu_a,sigma_a,FALSE)</f>
        <v>364.18030725350872</v>
      </c>
      <c r="AA49" s="104">
        <f>Tabella3[[#This Row],[rest of Italy fit]]*NOT(ISBLANK(Tabella3[[#This Row],[rest of Italy data]]))</f>
        <v>364.18030725350872</v>
      </c>
      <c r="AB49" s="104">
        <f>Tabella3[[#This Row],[rest of Italy fit]]+CIa</f>
        <v>435.76834619434669</v>
      </c>
      <c r="AC49" s="104">
        <f>MAX(Tabella3[[#This Row],[rest of Italy fit]]-CIa,0)</f>
        <v>292.59226831267074</v>
      </c>
      <c r="AE49" s="2" t="s">
        <v>1</v>
      </c>
      <c r="AF49" s="6">
        <f>AVERAGE(Tabella3[Italy data])</f>
        <v>432.37931034482756</v>
      </c>
    </row>
    <row r="50" spans="2:34" x14ac:dyDescent="0.3">
      <c r="B50" s="9">
        <v>43927</v>
      </c>
      <c r="C50" s="4">
        <f t="shared" si="0"/>
        <v>43</v>
      </c>
      <c r="D50" s="104">
        <f>'dpc-covid19-ita-andamento-naz'!K44</f>
        <v>16523</v>
      </c>
      <c r="E50" s="104">
        <f>(Tabella3[[#This Row],[Italy cumul. Data]]-D49)</f>
        <v>636</v>
      </c>
      <c r="F50" s="104">
        <f>Tabella3[[#This Row],[Italy data]]*NOT(ISBLANK(Tabella3[[#This Row],[Italy data]]))</f>
        <v>636</v>
      </c>
      <c r="G50" s="136">
        <f>Tabella8[[#This Row],[Italy fit]]</f>
        <v>16919.328312058449</v>
      </c>
      <c r="H50" s="109">
        <f>Tabella3[[#This Row],[Lombardy fit]]+Tabella3[[#This Row],[rest of Italy fit]]</f>
        <v>675.20332539667811</v>
      </c>
      <c r="I50" s="104">
        <f>Kf*_xlfn.LOGNORM.DIST(Tabella3[[#This Row],[Day]],mu_f,sigma_f,FALSE)</f>
        <v>637.66262594784325</v>
      </c>
      <c r="J50" s="104">
        <f>Tabella3[[#This Row],[Italy sum of regions]]*NOT(ISBLANK(Tabella3[[#This Row],[Italy data]]))</f>
        <v>675.20332539667811</v>
      </c>
      <c r="K50" s="104">
        <f>Tabella3[[#This Row],[Italy fit]]*NOT(ISBLANK(Tabella3[[#This Row],[Italy data]]))</f>
        <v>637.66262594784325</v>
      </c>
      <c r="L50" s="104">
        <f>Tabella3[[#This Row],[Italy fit]]+CIf</f>
        <v>866.90541552177626</v>
      </c>
      <c r="M50" s="104">
        <f>MAX(Tabella3[[#This Row],[Italy fit]]-CIf,0)</f>
        <v>408.41983637391024</v>
      </c>
      <c r="N50" s="4">
        <f>Tabella8[[#This Row],[Lombardy]]</f>
        <v>9202</v>
      </c>
      <c r="O50" s="104">
        <f>(Tabella3[[#This Row],[Lombardy cumul. Data]]-N49)</f>
        <v>297</v>
      </c>
      <c r="P50" s="104">
        <f>Tabella3[[#This Row],[Lombardy data]]*NOT(ISBLANK(Tabella3[[#This Row],[Lombardy data]]))</f>
        <v>297</v>
      </c>
      <c r="Q50" s="10">
        <f>Tabella8[[#This Row],[Lombardy fit]]</f>
        <v>9131.6498719793653</v>
      </c>
      <c r="R50" s="104">
        <f>Kl*_xlfn.LOGNORM.DIST(Tabella3[[#This Row],[Day]],mu_l,sigma_l,FALSE)</f>
        <v>315.015980401945</v>
      </c>
      <c r="S50" s="104">
        <f>Tabella3[[#This Row],[Lombardy fit]]*NOT(ISBLANK(Tabella3[[#This Row],[Lombardy data]]))</f>
        <v>315.015980401945</v>
      </c>
      <c r="T50" s="104">
        <f>Tabella3[[#This Row],[Lombardy fit]]+CIl</f>
        <v>434.16399388124671</v>
      </c>
      <c r="U50" s="104">
        <f>MAX(Tabella3[[#This Row],[Lombardy fit]]-CIl,0)</f>
        <v>195.86796692264326</v>
      </c>
      <c r="V50" s="10">
        <f>Tabella8[[#This Row],[rest of Italy ]]</f>
        <v>7321</v>
      </c>
      <c r="W50" s="10">
        <f>(Tabella3[[#This Row],[rest of Italy cum. Data]]-V49)</f>
        <v>339</v>
      </c>
      <c r="X50" s="104">
        <f>Tabella3[[#This Row],[rest of Italy data]]*NOT(ISBLANK(Tabella3[[#This Row],[rest of Italy data]]))</f>
        <v>339</v>
      </c>
      <c r="Y50" s="10">
        <f>Tabella8[[#This Row],[rest of Italy fit]]</f>
        <v>7314.2265571291782</v>
      </c>
      <c r="Z50" s="104">
        <f>Ka*_xlfn.LOGNORM.DIST(Tabella3[[#This Row],[Day]],mu_a,sigma_a,FALSE)</f>
        <v>360.18734499473311</v>
      </c>
      <c r="AA50" s="104">
        <f>Tabella3[[#This Row],[rest of Italy fit]]*NOT(ISBLANK(Tabella3[[#This Row],[rest of Italy data]]))</f>
        <v>360.18734499473311</v>
      </c>
      <c r="AB50" s="104">
        <f>Tabella3[[#This Row],[rest of Italy fit]]+CIa</f>
        <v>431.77538393557109</v>
      </c>
      <c r="AC50" s="104">
        <f>MAX(Tabella3[[#This Row],[rest of Italy fit]]-CIa,0)</f>
        <v>288.59930605389513</v>
      </c>
      <c r="AE50" s="2" t="s">
        <v>2</v>
      </c>
      <c r="AF50" s="1">
        <f>COUNT(Tabella3[Italy data])-COUNT(AF46:AF48)</f>
        <v>55</v>
      </c>
      <c r="AG50" s="6"/>
      <c r="AH50" s="6"/>
    </row>
    <row r="51" spans="2:34" x14ac:dyDescent="0.3">
      <c r="B51" s="9">
        <v>43928</v>
      </c>
      <c r="C51" s="4">
        <f t="shared" si="0"/>
        <v>44</v>
      </c>
      <c r="D51" s="104">
        <f>'dpc-covid19-ita-andamento-naz'!K45</f>
        <v>17127</v>
      </c>
      <c r="E51" s="104">
        <f>(Tabella3[[#This Row],[Italy cumul. Data]]-D50)</f>
        <v>604</v>
      </c>
      <c r="F51" s="104">
        <f>Tabella3[[#This Row],[Italy data]]*NOT(ISBLANK(Tabella3[[#This Row],[Italy data]]))</f>
        <v>604</v>
      </c>
      <c r="G51" s="136">
        <f>Tabella8[[#This Row],[Italy fit]]</f>
        <v>17541.317510371748</v>
      </c>
      <c r="H51" s="109">
        <f>Tabella3[[#This Row],[Lombardy fit]]+Tabella3[[#This Row],[rest of Italy fit]]</f>
        <v>658.2042346390449</v>
      </c>
      <c r="I51" s="104">
        <f>Kf*_xlfn.LOGNORM.DIST(Tabella3[[#This Row],[Day]],mu_f,sigma_f,FALSE)</f>
        <v>606.2557057003238</v>
      </c>
      <c r="J51" s="104">
        <f>Tabella3[[#This Row],[Italy sum of regions]]*NOT(ISBLANK(Tabella3[[#This Row],[Italy data]]))</f>
        <v>658.2042346390449</v>
      </c>
      <c r="K51" s="104">
        <f>Tabella3[[#This Row],[Italy fit]]*NOT(ISBLANK(Tabella3[[#This Row],[Italy data]]))</f>
        <v>606.2557057003238</v>
      </c>
      <c r="L51" s="104">
        <f>Tabella3[[#This Row],[Italy fit]]+CIf</f>
        <v>835.49849527425681</v>
      </c>
      <c r="M51" s="104">
        <f>MAX(Tabella3[[#This Row],[Italy fit]]-CIf,0)</f>
        <v>377.01291612639079</v>
      </c>
      <c r="N51" s="4">
        <f>Tabella8[[#This Row],[Lombardy]]</f>
        <v>9484</v>
      </c>
      <c r="O51" s="104">
        <f>(Tabella3[[#This Row],[Lombardy cumul. Data]]-N50)</f>
        <v>282</v>
      </c>
      <c r="P51" s="104">
        <f>Tabella3[[#This Row],[Lombardy data]]*NOT(ISBLANK(Tabella3[[#This Row],[Lombardy data]]))</f>
        <v>282</v>
      </c>
      <c r="Q51" s="10">
        <f>Tabella8[[#This Row],[Lombardy fit]]</f>
        <v>9440.5959161394767</v>
      </c>
      <c r="R51" s="104">
        <f>Kl*_xlfn.LOGNORM.DIST(Tabella3[[#This Row],[Day]],mu_l,sigma_l,FALSE)</f>
        <v>302.85207041110687</v>
      </c>
      <c r="S51" s="104">
        <f>Tabella3[[#This Row],[Lombardy fit]]*NOT(ISBLANK(Tabella3[[#This Row],[Lombardy data]]))</f>
        <v>302.85207041110687</v>
      </c>
      <c r="T51" s="104">
        <f>Tabella3[[#This Row],[Lombardy fit]]+CIl</f>
        <v>422.00008389040863</v>
      </c>
      <c r="U51" s="104">
        <f>MAX(Tabella3[[#This Row],[Lombardy fit]]-CIl,0)</f>
        <v>183.70405693180513</v>
      </c>
      <c r="V51" s="10">
        <f>Tabella8[[#This Row],[rest of Italy ]]</f>
        <v>7643</v>
      </c>
      <c r="W51" s="10">
        <f>(Tabella3[[#This Row],[rest of Italy cum. Data]]-V50)</f>
        <v>322</v>
      </c>
      <c r="X51" s="104">
        <f>Tabella3[[#This Row],[rest of Italy data]]*NOT(ISBLANK(Tabella3[[#This Row],[rest of Italy data]]))</f>
        <v>322</v>
      </c>
      <c r="Y51" s="10">
        <f>Tabella8[[#This Row],[rest of Italy fit]]</f>
        <v>7672.0624592302538</v>
      </c>
      <c r="Z51" s="104">
        <f>Ka*_xlfn.LOGNORM.DIST(Tabella3[[#This Row],[Day]],mu_a,sigma_a,FALSE)</f>
        <v>355.35216422793809</v>
      </c>
      <c r="AA51" s="104">
        <f>Tabella3[[#This Row],[rest of Italy fit]]*NOT(ISBLANK(Tabella3[[#This Row],[rest of Italy data]]))</f>
        <v>355.35216422793809</v>
      </c>
      <c r="AB51" s="104">
        <f>Tabella3[[#This Row],[rest of Italy fit]]+CIa</f>
        <v>426.94020316877607</v>
      </c>
      <c r="AC51" s="104">
        <f>MAX(Tabella3[[#This Row],[rest of Italy fit]]-CIa,0)</f>
        <v>283.76412528710011</v>
      </c>
      <c r="AE51" s="2" t="s">
        <v>3</v>
      </c>
      <c r="AF51" s="6" cm="1">
        <f t="array" ref="AF51">SQRT(SUM((Tabella3[Colonna1]-Tabella3[Colonna22])^2)/dff)</f>
        <v>114.39005329895245</v>
      </c>
    </row>
    <row r="52" spans="2:34" ht="16.2" x14ac:dyDescent="0.3">
      <c r="B52" s="9">
        <v>43929</v>
      </c>
      <c r="C52" s="4">
        <f t="shared" si="0"/>
        <v>45</v>
      </c>
      <c r="D52" s="104">
        <f>'dpc-covid19-ita-andamento-naz'!K46</f>
        <v>17669</v>
      </c>
      <c r="E52" s="104">
        <f>(Tabella3[[#This Row],[Italy cumul. Data]]-D51)</f>
        <v>542</v>
      </c>
      <c r="F52" s="104">
        <f>Tabella3[[#This Row],[Italy data]]*NOT(ISBLANK(Tabella3[[#This Row],[Italy data]]))</f>
        <v>542</v>
      </c>
      <c r="G52" s="136">
        <f>Tabella8[[#This Row],[Italy fit]]</f>
        <v>18131.778003482588</v>
      </c>
      <c r="H52" s="109">
        <f>Tabella3[[#This Row],[Lombardy fit]]+Tabella3[[#This Row],[rest of Italy fit]]</f>
        <v>640.36403046812529</v>
      </c>
      <c r="I52" s="104">
        <f>Kf*_xlfn.LOGNORM.DIST(Tabella3[[#This Row],[Day]],mu_f,sigma_f,FALSE)</f>
        <v>574.66195157915615</v>
      </c>
      <c r="J52" s="104">
        <f>Tabella3[[#This Row],[Italy sum of regions]]*NOT(ISBLANK(Tabella3[[#This Row],[Italy data]]))</f>
        <v>640.36403046812529</v>
      </c>
      <c r="K52" s="104">
        <f>Tabella3[[#This Row],[Italy fit]]*NOT(ISBLANK(Tabella3[[#This Row],[Italy data]]))</f>
        <v>574.66195157915615</v>
      </c>
      <c r="L52" s="104">
        <f>Tabella3[[#This Row],[Italy fit]]+CIf</f>
        <v>803.90474115308916</v>
      </c>
      <c r="M52" s="104">
        <f>MAX(Tabella3[[#This Row],[Italy fit]]-CIf,0)</f>
        <v>345.41916200522314</v>
      </c>
      <c r="N52" s="4">
        <f>Tabella8[[#This Row],[Lombardy]]</f>
        <v>9722</v>
      </c>
      <c r="O52" s="104">
        <f>(Tabella3[[#This Row],[Lombardy cumul. Data]]-N51)</f>
        <v>238</v>
      </c>
      <c r="P52" s="104">
        <f>Tabella3[[#This Row],[Lombardy data]]*NOT(ISBLANK(Tabella3[[#This Row],[Lombardy data]]))</f>
        <v>238</v>
      </c>
      <c r="Q52" s="10">
        <f>Tabella8[[#This Row],[Lombardy fit]]</f>
        <v>9737.3226372297759</v>
      </c>
      <c r="R52" s="104">
        <f>Kl*_xlfn.LOGNORM.DIST(Tabella3[[#This Row],[Day]],mu_l,sigma_l,FALSE)</f>
        <v>290.59359849322385</v>
      </c>
      <c r="S52" s="104">
        <f>Tabella3[[#This Row],[Lombardy fit]]*NOT(ISBLANK(Tabella3[[#This Row],[Lombardy data]]))</f>
        <v>290.59359849322385</v>
      </c>
      <c r="T52" s="104">
        <f>Tabella3[[#This Row],[Lombardy fit]]+CIl</f>
        <v>409.74161197252556</v>
      </c>
      <c r="U52" s="104">
        <f>MAX(Tabella3[[#This Row],[Lombardy fit]]-CIl,0)</f>
        <v>171.44558501392211</v>
      </c>
      <c r="V52" s="10">
        <f>Tabella8[[#This Row],[rest of Italy ]]</f>
        <v>7947</v>
      </c>
      <c r="W52" s="10">
        <f>(Tabella3[[#This Row],[rest of Italy cum. Data]]-V51)</f>
        <v>304</v>
      </c>
      <c r="X52" s="104">
        <f>Tabella3[[#This Row],[rest of Italy data]]*NOT(ISBLANK(Tabella3[[#This Row],[rest of Italy data]]))</f>
        <v>304</v>
      </c>
      <c r="Y52" s="10">
        <f>Tabella8[[#This Row],[rest of Italy fit]]</f>
        <v>8024.6820769054066</v>
      </c>
      <c r="Z52" s="104">
        <f>Ka*_xlfn.LOGNORM.DIST(Tabella3[[#This Row],[Day]],mu_a,sigma_a,FALSE)</f>
        <v>349.77043197490144</v>
      </c>
      <c r="AA52" s="104">
        <f>Tabella3[[#This Row],[rest of Italy fit]]*NOT(ISBLANK(Tabella3[[#This Row],[rest of Italy data]]))</f>
        <v>349.77043197490144</v>
      </c>
      <c r="AB52" s="104">
        <f>Tabella3[[#This Row],[rest of Italy fit]]+CIa</f>
        <v>421.35847091573942</v>
      </c>
      <c r="AC52" s="104">
        <f>MAX(Tabella3[[#This Row],[rest of Italy fit]]-CIa,0)</f>
        <v>278.18239303406347</v>
      </c>
      <c r="AE52" s="2" t="s">
        <v>4</v>
      </c>
      <c r="AF52" s="7" cm="1">
        <f t="array" ref="AF52">1-SUM((Tabella3[Colonna1]-Tabella3[Colonna22])^2)/SUM((Tabella3[Colonna1]-Mean_of_yf)^2)</f>
        <v>0.95699224823348228</v>
      </c>
    </row>
    <row r="53" spans="2:34" x14ac:dyDescent="0.3">
      <c r="B53" s="9">
        <v>43930</v>
      </c>
      <c r="C53" s="4">
        <f t="shared" si="0"/>
        <v>46</v>
      </c>
      <c r="D53" s="104">
        <f>'dpc-covid19-ita-andamento-naz'!K47</f>
        <v>18279</v>
      </c>
      <c r="E53" s="104">
        <f>(Tabella3[[#This Row],[Italy cumul. Data]]-D52)</f>
        <v>610</v>
      </c>
      <c r="F53" s="104">
        <f>Tabella3[[#This Row],[Italy data]]*NOT(ISBLANK(Tabella3[[#This Row],[Italy data]]))</f>
        <v>610</v>
      </c>
      <c r="G53" s="136">
        <f>Tabella8[[#This Row],[Italy fit]]</f>
        <v>18690.684913094963</v>
      </c>
      <c r="H53" s="109">
        <f>Tabella3[[#This Row],[Lombardy fit]]+Tabella3[[#This Row],[rest of Italy fit]]</f>
        <v>621.86584575115376</v>
      </c>
      <c r="I53" s="104">
        <f>Kf*_xlfn.LOGNORM.DIST(Tabella3[[#This Row],[Day]],mu_f,sigma_f,FALSE)</f>
        <v>543.1971061946582</v>
      </c>
      <c r="J53" s="104">
        <f>Tabella3[[#This Row],[Italy sum of regions]]*NOT(ISBLANK(Tabella3[[#This Row],[Italy data]]))</f>
        <v>621.86584575115376</v>
      </c>
      <c r="K53" s="104">
        <f>Tabella3[[#This Row],[Italy fit]]*NOT(ISBLANK(Tabella3[[#This Row],[Italy data]]))</f>
        <v>543.1971061946582</v>
      </c>
      <c r="L53" s="104">
        <f>Tabella3[[#This Row],[Italy fit]]+CIf</f>
        <v>772.43989576859121</v>
      </c>
      <c r="M53" s="104">
        <f>MAX(Tabella3[[#This Row],[Italy fit]]-CIf,0)</f>
        <v>313.95431662072519</v>
      </c>
      <c r="N53" s="4">
        <f>Tabella8[[#This Row],[Lombardy]]</f>
        <v>10022</v>
      </c>
      <c r="O53" s="104">
        <f>(Tabella3[[#This Row],[Lombardy cumul. Data]]-N52)</f>
        <v>300</v>
      </c>
      <c r="P53" s="104">
        <f>Tabella3[[#This Row],[Lombardy data]]*NOT(ISBLANK(Tabella3[[#This Row],[Lombardy data]]))</f>
        <v>300</v>
      </c>
      <c r="Q53" s="10">
        <f>Tabella8[[#This Row],[Lombardy fit]]</f>
        <v>10021.782129825457</v>
      </c>
      <c r="R53" s="104">
        <f>Kl*_xlfn.LOGNORM.DIST(Tabella3[[#This Row],[Day]],mu_l,sigma_l,FALSE)</f>
        <v>278.33176870524426</v>
      </c>
      <c r="S53" s="104">
        <f>Tabella3[[#This Row],[Lombardy fit]]*NOT(ISBLANK(Tabella3[[#This Row],[Lombardy data]]))</f>
        <v>278.33176870524426</v>
      </c>
      <c r="T53" s="104">
        <f>Tabella3[[#This Row],[Lombardy fit]]+CIl</f>
        <v>397.47978218454602</v>
      </c>
      <c r="U53" s="104">
        <f>MAX(Tabella3[[#This Row],[Lombardy fit]]-CIl,0)</f>
        <v>159.18375522594252</v>
      </c>
      <c r="V53" s="10">
        <f>Tabella8[[#This Row],[rest of Italy ]]</f>
        <v>8257</v>
      </c>
      <c r="W53" s="10">
        <f>(Tabella3[[#This Row],[rest of Italy cum. Data]]-V52)</f>
        <v>310</v>
      </c>
      <c r="X53" s="104">
        <f>Tabella3[[#This Row],[rest of Italy data]]*NOT(ISBLANK(Tabella3[[#This Row],[rest of Italy data]]))</f>
        <v>310</v>
      </c>
      <c r="Y53" s="10">
        <f>Tabella8[[#This Row],[rest of Italy fit]]</f>
        <v>8371.3851645969353</v>
      </c>
      <c r="Z53" s="104">
        <f>Ka*_xlfn.LOGNORM.DIST(Tabella3[[#This Row],[Day]],mu_a,sigma_a,FALSE)</f>
        <v>343.5340770459095</v>
      </c>
      <c r="AA53" s="104">
        <f>Tabella3[[#This Row],[rest of Italy fit]]*NOT(ISBLANK(Tabella3[[#This Row],[rest of Italy data]]))</f>
        <v>343.5340770459095</v>
      </c>
      <c r="AB53" s="104">
        <f>Tabella3[[#This Row],[rest of Italy fit]]+CIa</f>
        <v>415.12211598674747</v>
      </c>
      <c r="AC53" s="104">
        <f>MAX(Tabella3[[#This Row],[rest of Italy fit]]-CIa,0)</f>
        <v>271.94603810507152</v>
      </c>
      <c r="AE53" s="2" t="s">
        <v>5</v>
      </c>
      <c r="AF53" s="7">
        <f>TINV(0.05,dff)</f>
        <v>2.0040447832891455</v>
      </c>
    </row>
    <row r="54" spans="2:34" x14ac:dyDescent="0.3">
      <c r="B54" s="9">
        <v>43931</v>
      </c>
      <c r="C54" s="4">
        <f t="shared" si="0"/>
        <v>47</v>
      </c>
      <c r="D54" s="104">
        <f>'dpc-covid19-ita-andamento-naz'!K48</f>
        <v>18849</v>
      </c>
      <c r="E54" s="104">
        <f>(Tabella3[[#This Row],[Italy cumul. Data]]-D53)</f>
        <v>570</v>
      </c>
      <c r="F54" s="104">
        <f>Tabella3[[#This Row],[Italy data]]*NOT(ISBLANK(Tabella3[[#This Row],[Italy data]]))</f>
        <v>570</v>
      </c>
      <c r="G54" s="136">
        <f>Tabella8[[#This Row],[Italy fit]]</f>
        <v>19218.305054705084</v>
      </c>
      <c r="H54" s="109">
        <f>Tabella3[[#This Row],[Lombardy fit]]+Tabella3[[#This Row],[rest of Italy fit]]</f>
        <v>602.87619682519426</v>
      </c>
      <c r="I54" s="104">
        <f>Kf*_xlfn.LOGNORM.DIST(Tabella3[[#This Row],[Day]],mu_f,sigma_f,FALSE)</f>
        <v>512.12929394723665</v>
      </c>
      <c r="J54" s="104">
        <f>Tabella3[[#This Row],[Italy sum of regions]]*NOT(ISBLANK(Tabella3[[#This Row],[Italy data]]))</f>
        <v>602.87619682519426</v>
      </c>
      <c r="K54" s="104">
        <f>Tabella3[[#This Row],[Italy fit]]*NOT(ISBLANK(Tabella3[[#This Row],[Italy data]]))</f>
        <v>512.12929394723665</v>
      </c>
      <c r="L54" s="104">
        <f>Tabella3[[#This Row],[Italy fit]]+CIf</f>
        <v>741.37208352116966</v>
      </c>
      <c r="M54" s="104">
        <f>MAX(Tabella3[[#This Row],[Italy fit]]-CIf,0)</f>
        <v>282.88650437330364</v>
      </c>
      <c r="N54" s="4">
        <f>Tabella8[[#This Row],[Lombardy]]</f>
        <v>10238</v>
      </c>
      <c r="O54" s="104">
        <f>(Tabella3[[#This Row],[Lombardy cumul. Data]]-N53)</f>
        <v>216</v>
      </c>
      <c r="P54" s="104">
        <f>Tabella3[[#This Row],[Lombardy data]]*NOT(ISBLANK(Tabella3[[#This Row],[Lombardy data]]))</f>
        <v>216</v>
      </c>
      <c r="Q54" s="10">
        <f>Tabella8[[#This Row],[Lombardy fit]]</f>
        <v>10294.011505970657</v>
      </c>
      <c r="R54" s="104">
        <f>Kl*_xlfn.LOGNORM.DIST(Tabella3[[#This Row],[Day]],mu_l,sigma_l,FALSE)</f>
        <v>266.14555458483397</v>
      </c>
      <c r="S54" s="104">
        <f>Tabella3[[#This Row],[Lombardy fit]]*NOT(ISBLANK(Tabella3[[#This Row],[Lombardy data]]))</f>
        <v>266.14555458483397</v>
      </c>
      <c r="T54" s="104">
        <f>Tabella3[[#This Row],[Lombardy fit]]+CIl</f>
        <v>385.29356806413568</v>
      </c>
      <c r="U54" s="104">
        <f>MAX(Tabella3[[#This Row],[Lombardy fit]]-CIl,0)</f>
        <v>146.99754110553224</v>
      </c>
      <c r="V54" s="10">
        <f>Tabella8[[#This Row],[rest of Italy ]]</f>
        <v>8611</v>
      </c>
      <c r="W54" s="10">
        <f>(Tabella3[[#This Row],[rest of Italy cum. Data]]-V53)</f>
        <v>354</v>
      </c>
      <c r="X54" s="104">
        <f>Tabella3[[#This Row],[rest of Italy data]]*NOT(ISBLANK(Tabella3[[#This Row],[rest of Italy data]]))</f>
        <v>354</v>
      </c>
      <c r="Y54" s="10">
        <f>Tabella8[[#This Row],[rest of Italy fit]]</f>
        <v>8711.5612584728642</v>
      </c>
      <c r="Z54" s="104">
        <f>Ka*_xlfn.LOGNORM.DIST(Tabella3[[#This Row],[Day]],mu_a,sigma_a,FALSE)</f>
        <v>336.73064224036028</v>
      </c>
      <c r="AA54" s="104">
        <f>Tabella3[[#This Row],[rest of Italy fit]]*NOT(ISBLANK(Tabella3[[#This Row],[rest of Italy data]]))</f>
        <v>336.73064224036028</v>
      </c>
      <c r="AB54" s="104">
        <f>Tabella3[[#This Row],[rest of Italy fit]]+CIa</f>
        <v>408.31868118119826</v>
      </c>
      <c r="AC54" s="104">
        <f>MAX(Tabella3[[#This Row],[rest of Italy fit]]-CIa,0)</f>
        <v>265.14260329952231</v>
      </c>
      <c r="AE54" s="2" t="s">
        <v>6</v>
      </c>
      <c r="AF54" s="6">
        <f>Critical_tf*SE_of_yf</f>
        <v>229.24278957393298</v>
      </c>
    </row>
    <row r="55" spans="2:34" x14ac:dyDescent="0.3">
      <c r="B55" s="9">
        <v>43932</v>
      </c>
      <c r="C55" s="4">
        <f t="shared" si="0"/>
        <v>48</v>
      </c>
      <c r="D55" s="104">
        <f>'dpc-covid19-ita-andamento-naz'!K49</f>
        <v>19468</v>
      </c>
      <c r="E55" s="104">
        <f>(Tabella3[[#This Row],[Italy cumul. Data]]-D54)</f>
        <v>619</v>
      </c>
      <c r="F55" s="104">
        <f>Tabella3[[#This Row],[Italy data]]*NOT(ISBLANK(Tabella3[[#This Row],[Italy data]]))</f>
        <v>619</v>
      </c>
      <c r="G55" s="136">
        <f>Tabella8[[#This Row],[Italy fit]]</f>
        <v>19715.150857592751</v>
      </c>
      <c r="H55" s="109">
        <f>Tabella3[[#This Row],[Lombardy fit]]+Tabella3[[#This Row],[rest of Italy fit]]</f>
        <v>583.5454040181055</v>
      </c>
      <c r="I55" s="104">
        <f>Kf*_xlfn.LOGNORM.DIST(Tabella3[[#This Row],[Day]],mu_f,sigma_f,FALSE)</f>
        <v>481.68218896791575</v>
      </c>
      <c r="J55" s="104">
        <f>Tabella3[[#This Row],[Italy sum of regions]]*NOT(ISBLANK(Tabella3[[#This Row],[Italy data]]))</f>
        <v>583.5454040181055</v>
      </c>
      <c r="K55" s="104">
        <f>Tabella3[[#This Row],[Italy fit]]*NOT(ISBLANK(Tabella3[[#This Row],[Italy data]]))</f>
        <v>481.68218896791575</v>
      </c>
      <c r="L55" s="104">
        <f>Tabella3[[#This Row],[Italy fit]]+CIf</f>
        <v>710.92497854184876</v>
      </c>
      <c r="M55" s="104">
        <f>MAX(Tabella3[[#This Row],[Italy fit]]-CIf,0)</f>
        <v>252.43939939398277</v>
      </c>
      <c r="N55" s="4">
        <f>Tabella8[[#This Row],[Lombardy]]</f>
        <v>10511</v>
      </c>
      <c r="O55" s="104">
        <f>(Tabella3[[#This Row],[Lombardy cumul. Data]]-N54)</f>
        <v>273</v>
      </c>
      <c r="P55" s="104">
        <f>Tabella3[[#This Row],[Lombardy data]]*NOT(ISBLANK(Tabella3[[#This Row],[Lombardy data]]))</f>
        <v>273</v>
      </c>
      <c r="Q55" s="10">
        <f>Tabella8[[#This Row],[Lombardy fit]]</f>
        <v>10554.121102729261</v>
      </c>
      <c r="R55" s="104">
        <f>Kl*_xlfn.LOGNORM.DIST(Tabella3[[#This Row],[Day]],mu_l,sigma_l,FALSE)</f>
        <v>254.10258417797016</v>
      </c>
      <c r="S55" s="104">
        <f>Tabella3[[#This Row],[Lombardy fit]]*NOT(ISBLANK(Tabella3[[#This Row],[Lombardy data]]))</f>
        <v>254.10258417797016</v>
      </c>
      <c r="T55" s="104">
        <f>Tabella3[[#This Row],[Lombardy fit]]+CIl</f>
        <v>373.2505976572719</v>
      </c>
      <c r="U55" s="104">
        <f>MAX(Tabella3[[#This Row],[Lombardy fit]]-CIl,0)</f>
        <v>134.95457069866842</v>
      </c>
      <c r="V55" s="10">
        <f>Tabella8[[#This Row],[rest of Italy ]]</f>
        <v>8957</v>
      </c>
      <c r="W55" s="10">
        <f>(Tabella3[[#This Row],[rest of Italy cum. Data]]-V54)</f>
        <v>346</v>
      </c>
      <c r="X55" s="104">
        <f>Tabella3[[#This Row],[rest of Italy data]]*NOT(ISBLANK(Tabella3[[#This Row],[rest of Italy data]]))</f>
        <v>346</v>
      </c>
      <c r="Y55" s="10">
        <f>Tabella8[[#This Row],[rest of Italy fit]]</f>
        <v>9044.6850440372837</v>
      </c>
      <c r="Z55" s="104">
        <f>Ka*_xlfn.LOGNORM.DIST(Tabella3[[#This Row],[Day]],mu_a,sigma_a,FALSE)</f>
        <v>329.44281984013531</v>
      </c>
      <c r="AA55" s="104">
        <f>Tabella3[[#This Row],[rest of Italy fit]]*NOT(ISBLANK(Tabella3[[#This Row],[rest of Italy data]]))</f>
        <v>329.44281984013531</v>
      </c>
      <c r="AB55" s="104">
        <f>Tabella3[[#This Row],[rest of Italy fit]]+CIa</f>
        <v>401.03085878097329</v>
      </c>
      <c r="AC55" s="104">
        <f>MAX(Tabella3[[#This Row],[rest of Italy fit]]-CIa,0)</f>
        <v>257.85478089929734</v>
      </c>
      <c r="AE55" s="90" t="s">
        <v>307</v>
      </c>
      <c r="AF55" s="138">
        <f>Kf*_xlfn.LOGNORM.DIST(EXP(mu_f-sigma_f^2),mu_f,sigma_f,FALSE)</f>
        <v>837.43001960897504</v>
      </c>
    </row>
    <row r="56" spans="2:34" x14ac:dyDescent="0.3">
      <c r="B56" s="9">
        <v>43933</v>
      </c>
      <c r="C56" s="4">
        <f t="shared" si="0"/>
        <v>49</v>
      </c>
      <c r="D56" s="104">
        <f>'dpc-covid19-ita-andamento-naz'!K50</f>
        <v>19899</v>
      </c>
      <c r="E56" s="104">
        <f>(Tabella3[[#This Row],[Italy cumul. Data]]-D55)</f>
        <v>431</v>
      </c>
      <c r="F56" s="104">
        <f>Tabella3[[#This Row],[Italy data]]*NOT(ISBLANK(Tabella3[[#This Row],[Italy data]]))</f>
        <v>431</v>
      </c>
      <c r="G56" s="136">
        <f>Tabella8[[#This Row],[Italy fit]]</f>
        <v>20181.93768793613</v>
      </c>
      <c r="H56" s="109">
        <f>Tabella3[[#This Row],[Lombardy fit]]+Tabella3[[#This Row],[rest of Italy fit]]</f>
        <v>564.0082052704081</v>
      </c>
      <c r="I56" s="104">
        <f>Kf*_xlfn.LOGNORM.DIST(Tabella3[[#This Row],[Day]],mu_f,sigma_f,FALSE)</f>
        <v>452.03861561904068</v>
      </c>
      <c r="J56" s="104">
        <f>Tabella3[[#This Row],[Italy sum of regions]]*NOT(ISBLANK(Tabella3[[#This Row],[Italy data]]))</f>
        <v>564.0082052704081</v>
      </c>
      <c r="K56" s="104">
        <f>Tabella3[[#This Row],[Italy fit]]*NOT(ISBLANK(Tabella3[[#This Row],[Italy data]]))</f>
        <v>452.03861561904068</v>
      </c>
      <c r="L56" s="104">
        <f>Tabella3[[#This Row],[Italy fit]]+CIf</f>
        <v>681.28140519297369</v>
      </c>
      <c r="M56" s="104">
        <f>MAX(Tabella3[[#This Row],[Italy fit]]-CIf,0)</f>
        <v>222.7958260451077</v>
      </c>
      <c r="N56" s="4">
        <f>Tabella8[[#This Row],[Lombardy]]</f>
        <v>10621</v>
      </c>
      <c r="O56" s="104">
        <f>(Tabella3[[#This Row],[Lombardy cumul. Data]]-N55)</f>
        <v>110</v>
      </c>
      <c r="P56" s="104">
        <f>Tabella3[[#This Row],[Lombardy data]]*NOT(ISBLANK(Tabella3[[#This Row],[Lombardy data]]))</f>
        <v>110</v>
      </c>
      <c r="Q56" s="10">
        <f>Tabella8[[#This Row],[Lombardy fit]]</f>
        <v>10802.283595774208</v>
      </c>
      <c r="R56" s="104">
        <f>Kl*_xlfn.LOGNORM.DIST(Tabella3[[#This Row],[Day]],mu_l,sigma_l,FALSE)</f>
        <v>242.26006170177826</v>
      </c>
      <c r="S56" s="104">
        <f>Tabella3[[#This Row],[Lombardy fit]]*NOT(ISBLANK(Tabella3[[#This Row],[Lombardy data]]))</f>
        <v>242.26006170177826</v>
      </c>
      <c r="T56" s="104">
        <f>Tabella3[[#This Row],[Lombardy fit]]+CIl</f>
        <v>361.40807518107999</v>
      </c>
      <c r="U56" s="104">
        <f>MAX(Tabella3[[#This Row],[Lombardy fit]]-CIl,0)</f>
        <v>123.11204822247652</v>
      </c>
      <c r="V56" s="10">
        <f>Tabella8[[#This Row],[rest of Italy ]]</f>
        <v>9278</v>
      </c>
      <c r="W56" s="10">
        <f>(Tabella3[[#This Row],[rest of Italy cum. Data]]-V55)</f>
        <v>321</v>
      </c>
      <c r="X56" s="104">
        <f>Tabella3[[#This Row],[rest of Italy data]]*NOT(ISBLANK(Tabella3[[#This Row],[rest of Italy data]]))</f>
        <v>321</v>
      </c>
      <c r="Y56" s="10">
        <f>Tabella8[[#This Row],[rest of Italy fit]]</f>
        <v>9370.3113396158606</v>
      </c>
      <c r="Z56" s="104">
        <f>Ka*_xlfn.LOGNORM.DIST(Tabella3[[#This Row],[Day]],mu_a,sigma_a,FALSE)</f>
        <v>321.74814356862981</v>
      </c>
      <c r="AA56" s="104">
        <f>Tabella3[[#This Row],[rest of Italy fit]]*NOT(ISBLANK(Tabella3[[#This Row],[rest of Italy data]]))</f>
        <v>321.74814356862981</v>
      </c>
      <c r="AB56" s="104">
        <f>Tabella3[[#This Row],[rest of Italy fit]]+CIa</f>
        <v>393.33618250946779</v>
      </c>
      <c r="AC56" s="104">
        <f>MAX(Tabella3[[#This Row],[rest of Italy fit]]-CIa,0)</f>
        <v>250.16010462779184</v>
      </c>
      <c r="AE56" s="90" t="s">
        <v>129</v>
      </c>
      <c r="AF56" s="108">
        <f>_xlfn.XLOOKUP(ROUND(EXP(mu_f-sigma_f^2),0),Tabella3[Day],Tabella3[Date])</f>
        <v>43917</v>
      </c>
    </row>
    <row r="57" spans="2:34" x14ac:dyDescent="0.3">
      <c r="B57" s="9">
        <v>43934</v>
      </c>
      <c r="C57" s="4">
        <f t="shared" si="0"/>
        <v>50</v>
      </c>
      <c r="D57" s="104">
        <f>'dpc-covid19-ita-andamento-naz'!K51</f>
        <v>20465</v>
      </c>
      <c r="E57" s="104">
        <f>(Tabella3[[#This Row],[Italy cumul. Data]]-D56)</f>
        <v>566</v>
      </c>
      <c r="F57" s="104">
        <f>Tabella3[[#This Row],[Italy data]]*NOT(ISBLANK(Tabella3[[#This Row],[Italy data]]))</f>
        <v>566</v>
      </c>
      <c r="G57" s="136">
        <f>Tabella8[[#This Row],[Italy fit]]</f>
        <v>20619.544902063069</v>
      </c>
      <c r="H57" s="109">
        <f>Tabella3[[#This Row],[Lombardy fit]]+Tabella3[[#This Row],[rest of Italy fit]]</f>
        <v>544.3845096206295</v>
      </c>
      <c r="I57" s="104">
        <f>Kf*_xlfn.LOGNORM.DIST(Tabella3[[#This Row],[Day]],mu_f,sigma_f,FALSE)</f>
        <v>423.34437815492868</v>
      </c>
      <c r="J57" s="104">
        <f>Tabella3[[#This Row],[Italy sum of regions]]*NOT(ISBLANK(Tabella3[[#This Row],[Italy data]]))</f>
        <v>544.3845096206295</v>
      </c>
      <c r="K57" s="104">
        <f>Tabella3[[#This Row],[Italy fit]]*NOT(ISBLANK(Tabella3[[#This Row],[Italy data]]))</f>
        <v>423.34437815492868</v>
      </c>
      <c r="L57" s="104">
        <f>Tabella3[[#This Row],[Italy fit]]+CIf</f>
        <v>652.58716772886169</v>
      </c>
      <c r="M57" s="104">
        <f>MAX(Tabella3[[#This Row],[Italy fit]]-CIf,0)</f>
        <v>194.1015885809957</v>
      </c>
      <c r="N57" s="4">
        <f>Tabella8[[#This Row],[Lombardy]]</f>
        <v>10901</v>
      </c>
      <c r="O57" s="104">
        <f>(Tabella3[[#This Row],[Lombardy cumul. Data]]-N56)</f>
        <v>280</v>
      </c>
      <c r="P57" s="104">
        <f>Tabella3[[#This Row],[Lombardy data]]*NOT(ISBLANK(Tabella3[[#This Row],[Lombardy data]]))</f>
        <v>280</v>
      </c>
      <c r="Q57" s="10">
        <f>Tabella8[[#This Row],[Lombardy fit]]</f>
        <v>11038.724040751638</v>
      </c>
      <c r="R57" s="104">
        <f>Kl*_xlfn.LOGNORM.DIST(Tabella3[[#This Row],[Day]],mu_l,sigma_l,FALSE)</f>
        <v>230.66569726465713</v>
      </c>
      <c r="S57" s="104">
        <f>Tabella3[[#This Row],[Lombardy fit]]*NOT(ISBLANK(Tabella3[[#This Row],[Lombardy data]]))</f>
        <v>230.66569726465713</v>
      </c>
      <c r="T57" s="104">
        <f>Tabella3[[#This Row],[Lombardy fit]]+CIl</f>
        <v>349.81371074395884</v>
      </c>
      <c r="U57" s="104">
        <f>MAX(Tabella3[[#This Row],[Lombardy fit]]-CIl,0)</f>
        <v>111.51768378535539</v>
      </c>
      <c r="V57" s="10">
        <f>Tabella8[[#This Row],[rest of Italy ]]</f>
        <v>9564</v>
      </c>
      <c r="W57" s="10">
        <f>(Tabella3[[#This Row],[rest of Italy cum. Data]]-V56)</f>
        <v>286</v>
      </c>
      <c r="X57" s="104">
        <f>Tabella3[[#This Row],[rest of Italy data]]*NOT(ISBLANK(Tabella3[[#This Row],[rest of Italy data]]))</f>
        <v>286</v>
      </c>
      <c r="Y57" s="10">
        <f>Tabella8[[#This Row],[rest of Italy fit]]</f>
        <v>9688.0698396625849</v>
      </c>
      <c r="Z57" s="104">
        <f>Ka*_xlfn.LOGNORM.DIST(Tabella3[[#This Row],[Day]],mu_a,sigma_a,FALSE)</f>
        <v>313.71881235597237</v>
      </c>
      <c r="AA57" s="104">
        <f>Tabella3[[#This Row],[rest of Italy fit]]*NOT(ISBLANK(Tabella3[[#This Row],[rest of Italy data]]))</f>
        <v>313.71881235597237</v>
      </c>
      <c r="AB57" s="104">
        <f>Tabella3[[#This Row],[rest of Italy fit]]+CIa</f>
        <v>385.30685129681035</v>
      </c>
      <c r="AC57" s="104">
        <f>MAX(Tabella3[[#This Row],[rest of Italy fit]]-CIa,0)</f>
        <v>242.1307734151344</v>
      </c>
      <c r="AE57" s="89"/>
      <c r="AF57" s="84"/>
    </row>
    <row r="58" spans="2:34" x14ac:dyDescent="0.3">
      <c r="B58" s="9">
        <v>43935</v>
      </c>
      <c r="C58" s="4">
        <f t="shared" si="0"/>
        <v>51</v>
      </c>
      <c r="D58" s="104">
        <f>'dpc-covid19-ita-andamento-naz'!K52</f>
        <v>21067</v>
      </c>
      <c r="E58" s="104">
        <f>(Tabella3[[#This Row],[Italy cumul. Data]]-D57)</f>
        <v>602</v>
      </c>
      <c r="F58" s="104">
        <f>Tabella3[[#This Row],[Italy data]]*NOT(ISBLANK(Tabella3[[#This Row],[Italy data]]))</f>
        <v>602</v>
      </c>
      <c r="G58" s="136">
        <f>Tabella8[[#This Row],[Italy fit]]</f>
        <v>21028.980775629043</v>
      </c>
      <c r="H58" s="109">
        <f>Tabella3[[#This Row],[Lombardy fit]]+Tabella3[[#This Row],[rest of Italy fit]]</f>
        <v>524.78024638651266</v>
      </c>
      <c r="I58" s="104">
        <f>Kf*_xlfn.LOGNORM.DIST(Tabella3[[#This Row],[Day]],mu_f,sigma_f,FALSE)</f>
        <v>395.71215957777201</v>
      </c>
      <c r="J58" s="104">
        <f>Tabella3[[#This Row],[Italy sum of regions]]*NOT(ISBLANK(Tabella3[[#This Row],[Italy data]]))</f>
        <v>524.78024638651266</v>
      </c>
      <c r="K58" s="104">
        <f>Tabella3[[#This Row],[Italy fit]]*NOT(ISBLANK(Tabella3[[#This Row],[Italy data]]))</f>
        <v>395.71215957777201</v>
      </c>
      <c r="L58" s="104">
        <f>Tabella3[[#This Row],[Italy fit]]+CIf</f>
        <v>624.95494915170502</v>
      </c>
      <c r="M58" s="104">
        <f>MAX(Tabella3[[#This Row],[Italy fit]]-CIf,0)</f>
        <v>166.46937000383903</v>
      </c>
      <c r="N58" s="4">
        <f>Tabella8[[#This Row],[Lombardy]]</f>
        <v>11142</v>
      </c>
      <c r="O58" s="104">
        <f>(Tabella3[[#This Row],[Lombardy cumul. Data]]-N57)</f>
        <v>241</v>
      </c>
      <c r="P58" s="104">
        <f>Tabella3[[#This Row],[Lombardy data]]*NOT(ISBLANK(Tabella3[[#This Row],[Lombardy data]]))</f>
        <v>241</v>
      </c>
      <c r="Q58" s="10">
        <f>Tabella8[[#This Row],[Lombardy fit]]</f>
        <v>11263.710839039619</v>
      </c>
      <c r="R58" s="104">
        <f>Kl*_xlfn.LOGNORM.DIST(Tabella3[[#This Row],[Day]],mu_l,sigma_l,FALSE)</f>
        <v>219.3586227939534</v>
      </c>
      <c r="S58" s="104">
        <f>Tabella3[[#This Row],[Lombardy fit]]*NOT(ISBLANK(Tabella3[[#This Row],[Lombardy data]]))</f>
        <v>219.3586227939534</v>
      </c>
      <c r="T58" s="104">
        <f>Tabella3[[#This Row],[Lombardy fit]]+CIl</f>
        <v>338.50663627325514</v>
      </c>
      <c r="U58" s="104">
        <f>MAX(Tabella3[[#This Row],[Lombardy fit]]-CIl,0)</f>
        <v>100.21060931465166</v>
      </c>
      <c r="V58" s="10">
        <f>Tabella8[[#This Row],[rest of Italy ]]</f>
        <v>9925</v>
      </c>
      <c r="W58" s="10">
        <f>(Tabella3[[#This Row],[rest of Italy cum. Data]]-V57)</f>
        <v>361</v>
      </c>
      <c r="X58" s="104">
        <f>Tabella3[[#This Row],[rest of Italy data]]*NOT(ISBLANK(Tabella3[[#This Row],[rest of Italy data]]))</f>
        <v>361</v>
      </c>
      <c r="Y58" s="10">
        <f>Tabella8[[#This Row],[rest of Italy fit]]</f>
        <v>9997.6597383359367</v>
      </c>
      <c r="Z58" s="104">
        <f>Ka*_xlfn.LOGNORM.DIST(Tabella3[[#This Row],[Day]],mu_a,sigma_a,FALSE)</f>
        <v>305.42162359255929</v>
      </c>
      <c r="AA58" s="104">
        <f>Tabella3[[#This Row],[rest of Italy fit]]*NOT(ISBLANK(Tabella3[[#This Row],[rest of Italy data]]))</f>
        <v>305.42162359255929</v>
      </c>
      <c r="AB58" s="104">
        <f>Tabella3[[#This Row],[rest of Italy fit]]+CIa</f>
        <v>377.00966253339726</v>
      </c>
      <c r="AC58" s="104">
        <f>MAX(Tabella3[[#This Row],[rest of Italy fit]]-CIa,0)</f>
        <v>233.83358465172131</v>
      </c>
    </row>
    <row r="59" spans="2:34" x14ac:dyDescent="0.3">
      <c r="B59" s="9">
        <v>43936</v>
      </c>
      <c r="C59" s="4">
        <f t="shared" si="0"/>
        <v>52</v>
      </c>
      <c r="D59" s="104">
        <f>'dpc-covid19-ita-andamento-naz'!K53</f>
        <v>21645</v>
      </c>
      <c r="E59" s="104">
        <f>(Tabella3[[#This Row],[Italy cumul. Data]]-D58)</f>
        <v>578</v>
      </c>
      <c r="F59" s="104">
        <f>Tabella3[[#This Row],[Italy data]]*NOT(ISBLANK(Tabella3[[#This Row],[Italy data]]))</f>
        <v>578</v>
      </c>
      <c r="G59" s="136">
        <f>Tabella8[[#This Row],[Italy fit]]</f>
        <v>21411.351313916479</v>
      </c>
      <c r="H59" s="109">
        <f>Tabella3[[#This Row],[Lombardy fit]]+Tabella3[[#This Row],[rest of Italy fit]]</f>
        <v>505.28827387748669</v>
      </c>
      <c r="I59" s="104">
        <f>Kf*_xlfn.LOGNORM.DIST(Tabella3[[#This Row],[Day]],mu_f,sigma_f,FALSE)</f>
        <v>369.22536750776328</v>
      </c>
      <c r="J59" s="104">
        <f>Tabella3[[#This Row],[Italy sum of regions]]*NOT(ISBLANK(Tabella3[[#This Row],[Italy data]]))</f>
        <v>505.28827387748669</v>
      </c>
      <c r="K59" s="104">
        <f>Tabella3[[#This Row],[Italy fit]]*NOT(ISBLANK(Tabella3[[#This Row],[Italy data]]))</f>
        <v>369.22536750776328</v>
      </c>
      <c r="L59" s="104">
        <f>Tabella3[[#This Row],[Italy fit]]+CIf</f>
        <v>598.46815708169629</v>
      </c>
      <c r="M59" s="104">
        <f>MAX(Tabella3[[#This Row],[Italy fit]]-CIf,0)</f>
        <v>139.9825779338303</v>
      </c>
      <c r="N59" s="4">
        <f>Tabella8[[#This Row],[Lombardy]]</f>
        <v>11377</v>
      </c>
      <c r="O59" s="104">
        <f>(Tabella3[[#This Row],[Lombardy cumul. Data]]-N58)</f>
        <v>235</v>
      </c>
      <c r="P59" s="104">
        <f>Tabella3[[#This Row],[Lombardy data]]*NOT(ISBLANK(Tabella3[[#This Row],[Lombardy data]]))</f>
        <v>235</v>
      </c>
      <c r="Q59" s="10">
        <f>Tabella8[[#This Row],[Lombardy fit]]</f>
        <v>11477.547605566646</v>
      </c>
      <c r="R59" s="104">
        <f>Kl*_xlfn.LOGNORM.DIST(Tabella3[[#This Row],[Day]],mu_l,sigma_l,FALSE)</f>
        <v>208.37027793529114</v>
      </c>
      <c r="S59" s="104">
        <f>Tabella3[[#This Row],[Lombardy fit]]*NOT(ISBLANK(Tabella3[[#This Row],[Lombardy data]]))</f>
        <v>208.37027793529114</v>
      </c>
      <c r="T59" s="104">
        <f>Tabella3[[#This Row],[Lombardy fit]]+CIl</f>
        <v>327.51829141459291</v>
      </c>
      <c r="U59" s="104">
        <f>MAX(Tabella3[[#This Row],[Lombardy fit]]-CIl,0)</f>
        <v>89.222264455989404</v>
      </c>
      <c r="V59" s="10">
        <f>Tabella8[[#This Row],[rest of Italy ]]</f>
        <v>10268</v>
      </c>
      <c r="W59" s="10">
        <f>(Tabella3[[#This Row],[rest of Italy cum. Data]]-V58)</f>
        <v>343</v>
      </c>
      <c r="X59" s="104">
        <f>Tabella3[[#This Row],[rest of Italy data]]*NOT(ISBLANK(Tabella3[[#This Row],[rest of Italy data]]))</f>
        <v>343</v>
      </c>
      <c r="Y59" s="10">
        <f>Tabella8[[#This Row],[rest of Italy fit]]</f>
        <v>10298.84433267028</v>
      </c>
      <c r="Z59" s="104">
        <f>Ka*_xlfn.LOGNORM.DIST(Tabella3[[#This Row],[Day]],mu_a,sigma_a,FALSE)</f>
        <v>296.91799594219555</v>
      </c>
      <c r="AA59" s="104">
        <f>Tabella3[[#This Row],[rest of Italy fit]]*NOT(ISBLANK(Tabella3[[#This Row],[rest of Italy data]]))</f>
        <v>296.91799594219555</v>
      </c>
      <c r="AB59" s="104">
        <f>Tabella3[[#This Row],[rest of Italy fit]]+CIa</f>
        <v>368.50603488303352</v>
      </c>
      <c r="AC59" s="104">
        <f>MAX(Tabella3[[#This Row],[rest of Italy fit]]-CIa,0)</f>
        <v>225.32995700135757</v>
      </c>
      <c r="AE59" s="75"/>
      <c r="AF59" s="77"/>
      <c r="AG59" s="76"/>
      <c r="AH59" s="76"/>
    </row>
    <row r="60" spans="2:34" x14ac:dyDescent="0.3">
      <c r="B60" s="9">
        <v>43937</v>
      </c>
      <c r="C60" s="4">
        <f t="shared" si="0"/>
        <v>53</v>
      </c>
      <c r="D60" s="104">
        <f>'dpc-covid19-ita-andamento-naz'!K54</f>
        <v>22170</v>
      </c>
      <c r="E60" s="104">
        <f>(Tabella3[[#This Row],[Italy cumul. Data]]-D59)</f>
        <v>525</v>
      </c>
      <c r="F60" s="104">
        <f>Tabella3[[#This Row],[Italy data]]*NOT(ISBLANK(Tabella3[[#This Row],[Italy data]]))</f>
        <v>525</v>
      </c>
      <c r="G60" s="136">
        <f>Tabella8[[#This Row],[Italy fit]]</f>
        <v>21767.832842793458</v>
      </c>
      <c r="H60" s="109">
        <f>Tabella3[[#This Row],[Lombardy fit]]+Tabella3[[#This Row],[rest of Italy fit]]</f>
        <v>485.98931844148484</v>
      </c>
      <c r="I60" s="104">
        <f>Kf*_xlfn.LOGNORM.DIST(Tabella3[[#This Row],[Day]],mu_f,sigma_f,FALSE)</f>
        <v>343.94183700874839</v>
      </c>
      <c r="J60" s="104">
        <f>Tabella3[[#This Row],[Italy sum of regions]]*NOT(ISBLANK(Tabella3[[#This Row],[Italy data]]))</f>
        <v>485.98931844148484</v>
      </c>
      <c r="K60" s="104">
        <f>Tabella3[[#This Row],[Italy fit]]*NOT(ISBLANK(Tabella3[[#This Row],[Italy data]]))</f>
        <v>343.94183700874839</v>
      </c>
      <c r="L60" s="104">
        <f>Tabella3[[#This Row],[Italy fit]]+CIf</f>
        <v>573.1846265826814</v>
      </c>
      <c r="M60" s="104">
        <f>MAX(Tabella3[[#This Row],[Italy fit]]-CIf,0)</f>
        <v>114.69904743481541</v>
      </c>
      <c r="N60" s="4">
        <f>Tabella8[[#This Row],[Lombardy]]</f>
        <v>11608</v>
      </c>
      <c r="O60" s="104">
        <f>(Tabella3[[#This Row],[Lombardy cumul. Data]]-N59)</f>
        <v>231</v>
      </c>
      <c r="P60" s="104">
        <f>Tabella3[[#This Row],[Lombardy data]]*NOT(ISBLANK(Tabella3[[#This Row],[Lombardy data]]))</f>
        <v>231</v>
      </c>
      <c r="Q60" s="10">
        <f>Tabella8[[#This Row],[Lombardy fit]]</f>
        <v>11680.565902507202</v>
      </c>
      <c r="R60" s="104">
        <f>Kl*_xlfn.LOGNORM.DIST(Tabella3[[#This Row],[Day]],mu_l,sigma_l,FALSE)</f>
        <v>197.72525430899105</v>
      </c>
      <c r="S60" s="104">
        <f>Tabella3[[#This Row],[Lombardy fit]]*NOT(ISBLANK(Tabella3[[#This Row],[Lombardy data]]))</f>
        <v>197.72525430899105</v>
      </c>
      <c r="T60" s="104">
        <f>Tabella3[[#This Row],[Lombardy fit]]+CIl</f>
        <v>316.87326778829276</v>
      </c>
      <c r="U60" s="104">
        <f>MAX(Tabella3[[#This Row],[Lombardy fit]]-CIl,0)</f>
        <v>78.577240829689316</v>
      </c>
      <c r="V60" s="10">
        <f>Tabella8[[#This Row],[rest of Italy ]]</f>
        <v>10562</v>
      </c>
      <c r="W60" s="10">
        <f>(Tabella3[[#This Row],[rest of Italy cum. Data]]-V59)</f>
        <v>294</v>
      </c>
      <c r="X60" s="104">
        <f>Tabella3[[#This Row],[rest of Italy data]]*NOT(ISBLANK(Tabella3[[#This Row],[rest of Italy data]]))</f>
        <v>294</v>
      </c>
      <c r="Y60" s="10">
        <f>Tabella8[[#This Row],[rest of Italy fit]]</f>
        <v>10591.445685918776</v>
      </c>
      <c r="Z60" s="104">
        <f>Ka*_xlfn.LOGNORM.DIST(Tabella3[[#This Row],[Day]],mu_a,sigma_a,FALSE)</f>
        <v>288.26406413249379</v>
      </c>
      <c r="AA60" s="104">
        <f>Tabella3[[#This Row],[rest of Italy fit]]*NOT(ISBLANK(Tabella3[[#This Row],[rest of Italy data]]))</f>
        <v>288.26406413249379</v>
      </c>
      <c r="AB60" s="104">
        <f>Tabella3[[#This Row],[rest of Italy fit]]+CIa</f>
        <v>359.85210307333176</v>
      </c>
      <c r="AC60" s="104">
        <f>MAX(Tabella3[[#This Row],[rest of Italy fit]]-CIa,0)</f>
        <v>216.67602519165581</v>
      </c>
      <c r="AE60" s="75"/>
      <c r="AF60" s="75"/>
    </row>
    <row r="61" spans="2:34" x14ac:dyDescent="0.3">
      <c r="B61" s="9">
        <v>43938</v>
      </c>
      <c r="C61" s="4">
        <f t="shared" si="0"/>
        <v>54</v>
      </c>
      <c r="D61" s="104">
        <f>'dpc-covid19-ita-andamento-naz'!K55</f>
        <v>22745</v>
      </c>
      <c r="E61" s="104">
        <f>(Tabella3[[#This Row],[Italy cumul. Data]]-D60)</f>
        <v>575</v>
      </c>
      <c r="F61" s="104">
        <f>Tabella3[[#This Row],[Italy data]]*NOT(ISBLANK(Tabella3[[#This Row],[Italy data]]))</f>
        <v>575</v>
      </c>
      <c r="G61" s="136">
        <f>Tabella8[[#This Row],[Italy fit]]</f>
        <v>22099.648203612731</v>
      </c>
      <c r="H61" s="109">
        <f>Tabella3[[#This Row],[Lombardy fit]]+Tabella3[[#This Row],[rest of Italy fit]]</f>
        <v>466.95292064306921</v>
      </c>
      <c r="I61" s="104">
        <f>Kf*_xlfn.LOGNORM.DIST(Tabella3[[#This Row],[Day]],mu_f,sigma_f,FALSE)</f>
        <v>319.89732704984795</v>
      </c>
      <c r="J61" s="104">
        <f>Tabella3[[#This Row],[Italy sum of regions]]*NOT(ISBLANK(Tabella3[[#This Row],[Italy data]]))</f>
        <v>466.95292064306921</v>
      </c>
      <c r="K61" s="104">
        <f>Tabella3[[#This Row],[Italy fit]]*NOT(ISBLANK(Tabella3[[#This Row],[Italy data]]))</f>
        <v>319.89732704984795</v>
      </c>
      <c r="L61" s="104">
        <f>Tabella3[[#This Row],[Italy fit]]+CIf</f>
        <v>549.14011662378095</v>
      </c>
      <c r="M61" s="104">
        <f>MAX(Tabella3[[#This Row],[Italy fit]]-CIf,0)</f>
        <v>90.654537475914964</v>
      </c>
      <c r="N61" s="4">
        <f>Tabella8[[#This Row],[Lombardy]]</f>
        <v>11851</v>
      </c>
      <c r="O61" s="104">
        <f>(Tabella3[[#This Row],[Lombardy cumul. Data]]-N60)</f>
        <v>243</v>
      </c>
      <c r="P61" s="104">
        <f>Tabella3[[#This Row],[Lombardy data]]*NOT(ISBLANK(Tabella3[[#This Row],[Lombardy data]]))</f>
        <v>243</v>
      </c>
      <c r="Q61" s="10">
        <f>Tabella8[[#This Row],[Lombardy fit]]</f>
        <v>11873.118793000795</v>
      </c>
      <c r="R61" s="104">
        <f>Kl*_xlfn.LOGNORM.DIST(Tabella3[[#This Row],[Day]],mu_l,sigma_l,FALSE)</f>
        <v>187.44209026176114</v>
      </c>
      <c r="S61" s="104">
        <f>Tabella3[[#This Row],[Lombardy fit]]*NOT(ISBLANK(Tabella3[[#This Row],[Lombardy data]]))</f>
        <v>187.44209026176114</v>
      </c>
      <c r="T61" s="104">
        <f>Tabella3[[#This Row],[Lombardy fit]]+CIl</f>
        <v>306.59010374106288</v>
      </c>
      <c r="U61" s="104">
        <f>MAX(Tabella3[[#This Row],[Lombardy fit]]-CIl,0)</f>
        <v>68.294076782459399</v>
      </c>
      <c r="V61" s="10">
        <f>Tabella8[[#This Row],[rest of Italy ]]</f>
        <v>10894</v>
      </c>
      <c r="W61" s="10">
        <f>(Tabella3[[#This Row],[rest of Italy cum. Data]]-V60)</f>
        <v>332</v>
      </c>
      <c r="X61" s="104">
        <f>Tabella3[[#This Row],[rest of Italy data]]*NOT(ISBLANK(Tabella3[[#This Row],[rest of Italy data]]))</f>
        <v>332</v>
      </c>
      <c r="Y61" s="10">
        <f>Tabella8[[#This Row],[rest of Italy fit]]</f>
        <v>10875.33941519343</v>
      </c>
      <c r="Z61" s="104">
        <f>Ka*_xlfn.LOGNORM.DIST(Tabella3[[#This Row],[Day]],mu_a,sigma_a,FALSE)</f>
        <v>279.5108303813081</v>
      </c>
      <c r="AA61" s="104">
        <f>Tabella3[[#This Row],[rest of Italy fit]]*NOT(ISBLANK(Tabella3[[#This Row],[rest of Italy data]]))</f>
        <v>279.5108303813081</v>
      </c>
      <c r="AB61" s="104">
        <f>Tabella3[[#This Row],[rest of Italy fit]]+CIa</f>
        <v>351.09886932214607</v>
      </c>
      <c r="AC61" s="104">
        <f>MAX(Tabella3[[#This Row],[rest of Italy fit]]-CIa,0)</f>
        <v>207.92279144047012</v>
      </c>
      <c r="AE61" s="75"/>
      <c r="AF61" s="75"/>
    </row>
    <row r="62" spans="2:34" x14ac:dyDescent="0.3">
      <c r="B62" s="9">
        <v>43939</v>
      </c>
      <c r="C62" s="4">
        <f t="shared" si="0"/>
        <v>55</v>
      </c>
      <c r="D62" s="104">
        <f>'dpc-covid19-ita-andamento-naz'!K56</f>
        <v>23227</v>
      </c>
      <c r="E62" s="104">
        <f>(Tabella3[[#This Row],[Italy cumul. Data]]-D61)</f>
        <v>482</v>
      </c>
      <c r="F62" s="104">
        <f>Tabella3[[#This Row],[Italy data]]*NOT(ISBLANK(Tabella3[[#This Row],[Italy data]]))</f>
        <v>482</v>
      </c>
      <c r="G62" s="136">
        <f>Tabella8[[#This Row],[Italy fit]]</f>
        <v>22408.04632330544</v>
      </c>
      <c r="H62" s="109">
        <f>Tabella3[[#This Row],[Lombardy fit]]+Tabella3[[#This Row],[rest of Italy fit]]</f>
        <v>448.23837046969413</v>
      </c>
      <c r="I62" s="104">
        <f>Kf*_xlfn.LOGNORM.DIST(Tabella3[[#This Row],[Day]],mu_f,sigma_f,FALSE)</f>
        <v>297.10876909198242</v>
      </c>
      <c r="J62" s="104">
        <f>Tabella3[[#This Row],[Italy sum of regions]]*NOT(ISBLANK(Tabella3[[#This Row],[Italy data]]))</f>
        <v>448.23837046969413</v>
      </c>
      <c r="K62" s="104">
        <f>Tabella3[[#This Row],[Italy fit]]*NOT(ISBLANK(Tabella3[[#This Row],[Italy data]]))</f>
        <v>297.10876909198242</v>
      </c>
      <c r="L62" s="104">
        <f>Tabella3[[#This Row],[Italy fit]]+CIf</f>
        <v>526.35155866591538</v>
      </c>
      <c r="M62" s="104">
        <f>MAX(Tabella3[[#This Row],[Italy fit]]-CIf,0)</f>
        <v>67.865979518049443</v>
      </c>
      <c r="N62" s="4">
        <f>Tabella8[[#This Row],[Lombardy]]</f>
        <v>12050</v>
      </c>
      <c r="O62" s="104">
        <f>(Tabella3[[#This Row],[Lombardy cumul. Data]]-N61)</f>
        <v>199</v>
      </c>
      <c r="P62" s="104">
        <f>Tabella3[[#This Row],[Lombardy data]]*NOT(ISBLANK(Tabella3[[#This Row],[Lombardy data]]))</f>
        <v>199</v>
      </c>
      <c r="Q62" s="10">
        <f>Tabella8[[#This Row],[Lombardy fit]]</f>
        <v>12055.575162738782</v>
      </c>
      <c r="R62" s="104">
        <f>Kl*_xlfn.LOGNORM.DIST(Tabella3[[#This Row],[Day]],mu_l,sigma_l,FALSE)</f>
        <v>177.53401125620027</v>
      </c>
      <c r="S62" s="104">
        <f>Tabella3[[#This Row],[Lombardy fit]]*NOT(ISBLANK(Tabella3[[#This Row],[Lombardy data]]))</f>
        <v>177.53401125620027</v>
      </c>
      <c r="T62" s="104">
        <f>Tabella3[[#This Row],[Lombardy fit]]+CIl</f>
        <v>296.68202473550201</v>
      </c>
      <c r="U62" s="104">
        <f>MAX(Tabella3[[#This Row],[Lombardy fit]]-CIl,0)</f>
        <v>58.385997776898535</v>
      </c>
      <c r="V62" s="10">
        <f>Tabella8[[#This Row],[rest of Italy ]]</f>
        <v>11177</v>
      </c>
      <c r="W62" s="10">
        <f>(Tabella3[[#This Row],[rest of Italy cum. Data]]-V61)</f>
        <v>283</v>
      </c>
      <c r="X62" s="104">
        <f>Tabella3[[#This Row],[rest of Italy data]]*NOT(ISBLANK(Tabella3[[#This Row],[rest of Italy data]]))</f>
        <v>283</v>
      </c>
      <c r="Y62" s="10">
        <f>Tabella8[[#This Row],[rest of Italy fit]]</f>
        <v>11150.449653247575</v>
      </c>
      <c r="Z62" s="104">
        <f>Ka*_xlfn.LOGNORM.DIST(Tabella3[[#This Row],[Day]],mu_a,sigma_a,FALSE)</f>
        <v>270.70435921349383</v>
      </c>
      <c r="AA62" s="104">
        <f>Tabella3[[#This Row],[rest of Italy fit]]*NOT(ISBLANK(Tabella3[[#This Row],[rest of Italy data]]))</f>
        <v>270.70435921349383</v>
      </c>
      <c r="AB62" s="104">
        <f>Tabella3[[#This Row],[rest of Italy fit]]+CIa</f>
        <v>342.29239815433181</v>
      </c>
      <c r="AC62" s="104">
        <f>MAX(Tabella3[[#This Row],[rest of Italy fit]]-CIa,0)</f>
        <v>199.11632027265586</v>
      </c>
      <c r="AE62"/>
      <c r="AF62"/>
    </row>
    <row r="63" spans="2:34" x14ac:dyDescent="0.3">
      <c r="B63" s="9">
        <v>43940</v>
      </c>
      <c r="C63" s="4">
        <f t="shared" si="0"/>
        <v>56</v>
      </c>
      <c r="D63" s="104">
        <f>'dpc-covid19-ita-andamento-naz'!K57</f>
        <v>23660</v>
      </c>
      <c r="E63" s="104">
        <f>(Tabella3[[#This Row],[Italy cumul. Data]]-D62)</f>
        <v>433</v>
      </c>
      <c r="F63" s="104">
        <f>Tabella3[[#This Row],[Italy data]]*NOT(ISBLANK(Tabella3[[#This Row],[Italy data]]))</f>
        <v>433</v>
      </c>
      <c r="G63" s="136">
        <f>Tabella8[[#This Row],[Italy fit]]</f>
        <v>22694.28489846551</v>
      </c>
      <c r="H63" s="109">
        <f>Tabella3[[#This Row],[Lombardy fit]]+Tabella3[[#This Row],[rest of Italy fit]]</f>
        <v>429.89561775704408</v>
      </c>
      <c r="I63" s="104">
        <f>Kf*_xlfn.LOGNORM.DIST(Tabella3[[#This Row],[Day]],mu_f,sigma_f,FALSE)</f>
        <v>275.57724370939781</v>
      </c>
      <c r="J63" s="104">
        <f>Tabella3[[#This Row],[Italy sum of regions]]*NOT(ISBLANK(Tabella3[[#This Row],[Italy data]]))</f>
        <v>429.89561775704408</v>
      </c>
      <c r="K63" s="104">
        <f>Tabella3[[#This Row],[Italy fit]]*NOT(ISBLANK(Tabella3[[#This Row],[Italy data]]))</f>
        <v>275.57724370939781</v>
      </c>
      <c r="L63" s="104">
        <f>Tabella3[[#This Row],[Italy fit]]+CIf</f>
        <v>504.82003328333076</v>
      </c>
      <c r="M63" s="104">
        <f>MAX(Tabella3[[#This Row],[Italy fit]]-CIf,0)</f>
        <v>46.334454135464824</v>
      </c>
      <c r="N63" s="4">
        <f>Tabella8[[#This Row],[Lombardy]]</f>
        <v>12213</v>
      </c>
      <c r="O63" s="104">
        <f>(Tabella3[[#This Row],[Lombardy cumul. Data]]-N62)</f>
        <v>163</v>
      </c>
      <c r="P63" s="104">
        <f>Tabella3[[#This Row],[Lombardy data]]*NOT(ISBLANK(Tabella3[[#This Row],[Lombardy data]]))</f>
        <v>163</v>
      </c>
      <c r="Q63" s="10">
        <f>Tabella8[[#This Row],[Lombardy fit]]</f>
        <v>12228.314753638502</v>
      </c>
      <c r="R63" s="104">
        <f>Kl*_xlfn.LOGNORM.DIST(Tabella3[[#This Row],[Day]],mu_l,sigma_l,FALSE)</f>
        <v>168.00961340858566</v>
      </c>
      <c r="S63" s="104">
        <f>Tabella3[[#This Row],[Lombardy fit]]*NOT(ISBLANK(Tabella3[[#This Row],[Lombardy data]]))</f>
        <v>168.00961340858566</v>
      </c>
      <c r="T63" s="104">
        <f>Tabella3[[#This Row],[Lombardy fit]]+CIl</f>
        <v>287.15762688788743</v>
      </c>
      <c r="U63" s="104">
        <f>MAX(Tabella3[[#This Row],[Lombardy fit]]-CIl,0)</f>
        <v>48.861599929283926</v>
      </c>
      <c r="V63" s="10">
        <f>Tabella8[[#This Row],[rest of Italy ]]</f>
        <v>11447</v>
      </c>
      <c r="W63" s="10">
        <f>(Tabella3[[#This Row],[rest of Italy cum. Data]]-V62)</f>
        <v>270</v>
      </c>
      <c r="X63" s="104">
        <f>Tabella3[[#This Row],[rest of Italy data]]*NOT(ISBLANK(Tabella3[[#This Row],[rest of Italy data]]))</f>
        <v>270</v>
      </c>
      <c r="Y63" s="10">
        <f>Tabella8[[#This Row],[rest of Italy fit]]</f>
        <v>11416.744221978241</v>
      </c>
      <c r="Z63" s="104">
        <f>Ka*_xlfn.LOGNORM.DIST(Tabella3[[#This Row],[Day]],mu_a,sigma_a,FALSE)</f>
        <v>261.88600434845841</v>
      </c>
      <c r="AA63" s="104">
        <f>Tabella3[[#This Row],[rest of Italy fit]]*NOT(ISBLANK(Tabella3[[#This Row],[rest of Italy data]]))</f>
        <v>261.88600434845841</v>
      </c>
      <c r="AB63" s="104">
        <f>Tabella3[[#This Row],[rest of Italy fit]]+CIa</f>
        <v>333.47404328929639</v>
      </c>
      <c r="AC63" s="104">
        <f>MAX(Tabella3[[#This Row],[rest of Italy fit]]-CIa,0)</f>
        <v>190.29796540762044</v>
      </c>
      <c r="AE63"/>
      <c r="AF63"/>
    </row>
    <row r="64" spans="2:34" x14ac:dyDescent="0.3">
      <c r="B64" s="9">
        <v>43941</v>
      </c>
      <c r="C64" s="4">
        <f t="shared" si="0"/>
        <v>57</v>
      </c>
      <c r="D64" s="104">
        <f>'dpc-covid19-ita-andamento-naz'!K58</f>
        <v>24114</v>
      </c>
      <c r="E64" s="104">
        <f>(Tabella3[[#This Row],[Italy cumul. Data]]-D63)</f>
        <v>454</v>
      </c>
      <c r="F64" s="104">
        <f>Tabella3[[#This Row],[Italy data]]*NOT(ISBLANK(Tabella3[[#This Row],[Italy data]]))</f>
        <v>454</v>
      </c>
      <c r="G64" s="136">
        <f>Tabella8[[#This Row],[Italy fit]]</f>
        <v>22959.615915228875</v>
      </c>
      <c r="H64" s="109">
        <f>Tabella3[[#This Row],[Lombardy fit]]+Tabella3[[#This Row],[rest of Italy fit]]</f>
        <v>411.96614760326941</v>
      </c>
      <c r="I64" s="104">
        <f>Kf*_xlfn.LOGNORM.DIST(Tabella3[[#This Row],[Day]],mu_f,sigma_f,FALSE)</f>
        <v>255.29067476545455</v>
      </c>
      <c r="J64" s="104">
        <f>Tabella3[[#This Row],[Italy sum of regions]]*NOT(ISBLANK(Tabella3[[#This Row],[Italy data]]))</f>
        <v>411.96614760326941</v>
      </c>
      <c r="K64" s="104">
        <f>Tabella3[[#This Row],[Italy fit]]*NOT(ISBLANK(Tabella3[[#This Row],[Italy data]]))</f>
        <v>255.29067476545455</v>
      </c>
      <c r="L64" s="104">
        <f>Tabella3[[#This Row],[Italy fit]]+CIf</f>
        <v>484.53346433938754</v>
      </c>
      <c r="M64" s="104">
        <f>MAX(Tabella3[[#This Row],[Italy fit]]-CIf,0)</f>
        <v>26.047885191521573</v>
      </c>
      <c r="N64" s="4">
        <f>Tabella8[[#This Row],[Lombardy]]</f>
        <v>12376</v>
      </c>
      <c r="O64" s="104">
        <f>(Tabella3[[#This Row],[Lombardy cumul. Data]]-N63)</f>
        <v>163</v>
      </c>
      <c r="P64" s="104">
        <f>Tabella3[[#This Row],[Lombardy data]]*NOT(ISBLANK(Tabella3[[#This Row],[Lombardy data]]))</f>
        <v>163</v>
      </c>
      <c r="Q64" s="10">
        <f>Tabella8[[#This Row],[Lombardy fit]]</f>
        <v>12391.723852291871</v>
      </c>
      <c r="R64" s="104">
        <f>Kl*_xlfn.LOGNORM.DIST(Tabella3[[#This Row],[Day]],mu_l,sigma_l,FALSE)</f>
        <v>158.87348951878249</v>
      </c>
      <c r="S64" s="104">
        <f>Tabella3[[#This Row],[Lombardy fit]]*NOT(ISBLANK(Tabella3[[#This Row],[Lombardy data]]))</f>
        <v>158.87348951878249</v>
      </c>
      <c r="T64" s="104">
        <f>Tabella3[[#This Row],[Lombardy fit]]+CIl</f>
        <v>278.0215029980842</v>
      </c>
      <c r="U64" s="104">
        <f>MAX(Tabella3[[#This Row],[Lombardy fit]]-CIl,0)</f>
        <v>39.725476039480753</v>
      </c>
      <c r="V64" s="10">
        <f>Tabella8[[#This Row],[rest of Italy ]]</f>
        <v>11738</v>
      </c>
      <c r="W64" s="10">
        <f>(Tabella3[[#This Row],[rest of Italy cum. Data]]-V63)</f>
        <v>291</v>
      </c>
      <c r="X64" s="104">
        <f>Tabella3[[#This Row],[rest of Italy data]]*NOT(ISBLANK(Tabella3[[#This Row],[rest of Italy data]]))</f>
        <v>291</v>
      </c>
      <c r="Y64" s="10">
        <f>Tabella8[[#This Row],[rest of Italy fit]]</f>
        <v>11674.230044794451</v>
      </c>
      <c r="Z64" s="104">
        <f>Ka*_xlfn.LOGNORM.DIST(Tabella3[[#This Row],[Day]],mu_a,sigma_a,FALSE)</f>
        <v>253.09265808448691</v>
      </c>
      <c r="AA64" s="104">
        <f>Tabella3[[#This Row],[rest of Italy fit]]*NOT(ISBLANK(Tabella3[[#This Row],[rest of Italy data]]))</f>
        <v>253.09265808448691</v>
      </c>
      <c r="AB64" s="104">
        <f>Tabella3[[#This Row],[rest of Italy fit]]+CIa</f>
        <v>324.68069702532489</v>
      </c>
      <c r="AC64" s="104">
        <f>MAX(Tabella3[[#This Row],[rest of Italy fit]]-CIa,0)</f>
        <v>181.50461914364894</v>
      </c>
      <c r="AE64"/>
      <c r="AF64"/>
    </row>
    <row r="65" spans="2:32" x14ac:dyDescent="0.3">
      <c r="B65" s="9">
        <v>43942</v>
      </c>
      <c r="C65" s="4">
        <f t="shared" si="0"/>
        <v>58</v>
      </c>
      <c r="D65" s="104">
        <f>'dpc-covid19-ita-andamento-naz'!K59</f>
        <v>24648</v>
      </c>
      <c r="E65" s="104">
        <f>(Tabella3[[#This Row],[Italy cumul. Data]]-D64)</f>
        <v>534</v>
      </c>
      <c r="F65" s="104">
        <f>Tabella3[[#This Row],[Italy data]]*NOT(ISBLANK(Tabella3[[#This Row],[Italy data]]))</f>
        <v>534</v>
      </c>
      <c r="G65" s="136">
        <f>Tabella8[[#This Row],[Italy fit]]</f>
        <v>23205.273721700763</v>
      </c>
      <c r="H65" s="109">
        <f>Tabella3[[#This Row],[Lombardy fit]]+Tabella3[[#This Row],[rest of Italy fit]]</f>
        <v>394.48381349413035</v>
      </c>
      <c r="I65" s="104">
        <f>Kf*_xlfn.LOGNORM.DIST(Tabella3[[#This Row],[Day]],mu_f,sigma_f,FALSE)</f>
        <v>236.22624102638673</v>
      </c>
      <c r="J65" s="104">
        <f>Tabella3[[#This Row],[Italy sum of regions]]*NOT(ISBLANK(Tabella3[[#This Row],[Italy data]]))</f>
        <v>394.48381349413035</v>
      </c>
      <c r="K65" s="104">
        <f>Tabella3[[#This Row],[Italy fit]]*NOT(ISBLANK(Tabella3[[#This Row],[Italy data]]))</f>
        <v>236.22624102638673</v>
      </c>
      <c r="L65" s="104">
        <f>Tabella3[[#This Row],[Italy fit]]+CIf</f>
        <v>465.46903060031968</v>
      </c>
      <c r="M65" s="104">
        <f>MAX(Tabella3[[#This Row],[Italy fit]]-CIf,0)</f>
        <v>6.9834514524537497</v>
      </c>
      <c r="N65" s="4">
        <f>Tabella8[[#This Row],[Lombardy]]</f>
        <v>12579</v>
      </c>
      <c r="O65" s="104">
        <f>(Tabella3[[#This Row],[Lombardy cumul. Data]]-N64)</f>
        <v>203</v>
      </c>
      <c r="P65" s="104">
        <f>Tabella3[[#This Row],[Lombardy data]]*NOT(ISBLANK(Tabella3[[#This Row],[Lombardy data]]))</f>
        <v>203</v>
      </c>
      <c r="Q65" s="10">
        <f>Tabella8[[#This Row],[Lombardy fit]]</f>
        <v>12546.191575947807</v>
      </c>
      <c r="R65" s="104">
        <f>Kl*_xlfn.LOGNORM.DIST(Tabella3[[#This Row],[Day]],mu_l,sigma_l,FALSE)</f>
        <v>150.12679832555443</v>
      </c>
      <c r="S65" s="104">
        <f>Tabella3[[#This Row],[Lombardy fit]]*NOT(ISBLANK(Tabella3[[#This Row],[Lombardy data]]))</f>
        <v>150.12679832555443</v>
      </c>
      <c r="T65" s="104">
        <f>Tabella3[[#This Row],[Lombardy fit]]+CIl</f>
        <v>269.2748118048562</v>
      </c>
      <c r="U65" s="104">
        <f>MAX(Tabella3[[#This Row],[Lombardy fit]]-CIl,0)</f>
        <v>30.978784846252694</v>
      </c>
      <c r="V65" s="10">
        <f>Tabella8[[#This Row],[rest of Italy ]]</f>
        <v>12069</v>
      </c>
      <c r="W65" s="10">
        <f>(Tabella3[[#This Row],[rest of Italy cum. Data]]-V64)</f>
        <v>331</v>
      </c>
      <c r="X65" s="104">
        <f>Tabella3[[#This Row],[rest of Italy data]]*NOT(ISBLANK(Tabella3[[#This Row],[rest of Italy data]]))</f>
        <v>331</v>
      </c>
      <c r="Y65" s="10">
        <f>Tabella8[[#This Row],[rest of Italy fit]]</f>
        <v>11922.948816219836</v>
      </c>
      <c r="Z65" s="104">
        <f>Ka*_xlfn.LOGNORM.DIST(Tabella3[[#This Row],[Day]],mu_a,sigma_a,FALSE)</f>
        <v>244.35701516857594</v>
      </c>
      <c r="AA65" s="104">
        <f>Tabella3[[#This Row],[rest of Italy fit]]*NOT(ISBLANK(Tabella3[[#This Row],[rest of Italy data]]))</f>
        <v>244.35701516857594</v>
      </c>
      <c r="AB65" s="104">
        <f>Tabella3[[#This Row],[rest of Italy fit]]+CIa</f>
        <v>315.94505410941395</v>
      </c>
      <c r="AC65" s="104">
        <f>MAX(Tabella3[[#This Row],[rest of Italy fit]]-CIa,0)</f>
        <v>172.76897622773797</v>
      </c>
      <c r="AE65"/>
      <c r="AF65"/>
    </row>
    <row r="66" spans="2:32" x14ac:dyDescent="0.3">
      <c r="B66" s="9">
        <v>43943</v>
      </c>
      <c r="C66" s="4">
        <f t="shared" si="0"/>
        <v>59</v>
      </c>
      <c r="D66" s="104">
        <f>'dpc-covid19-ita-andamento-naz'!K60</f>
        <v>25085</v>
      </c>
      <c r="E66" s="104">
        <f>(Tabella3[[#This Row],[Italy cumul. Data]]-D65)</f>
        <v>437</v>
      </c>
      <c r="F66" s="104">
        <f>Tabella3[[#This Row],[Italy data]]*NOT(ISBLANK(Tabella3[[#This Row],[Italy data]]))</f>
        <v>437</v>
      </c>
      <c r="G66" s="136">
        <f>Tabella8[[#This Row],[Italy fit]]</f>
        <v>23432.465373599523</v>
      </c>
      <c r="H66" s="109">
        <f>Tabella3[[#This Row],[Lombardy fit]]+Tabella3[[#This Row],[rest of Italy fit]]</f>
        <v>377.47562327009769</v>
      </c>
      <c r="I66" s="104">
        <f>Kf*_xlfn.LOGNORM.DIST(Tabella3[[#This Row],[Day]],mu_f,sigma_f,FALSE)</f>
        <v>218.35251275036853</v>
      </c>
      <c r="J66" s="104">
        <f>Tabella3[[#This Row],[Italy sum of regions]]*NOT(ISBLANK(Tabella3[[#This Row],[Italy data]]))</f>
        <v>377.47562327009769</v>
      </c>
      <c r="K66" s="104">
        <f>Tabella3[[#This Row],[Italy fit]]*NOT(ISBLANK(Tabella3[[#This Row],[Italy data]]))</f>
        <v>218.35251275036853</v>
      </c>
      <c r="L66" s="104">
        <f>Tabella3[[#This Row],[Italy fit]]+CIf</f>
        <v>447.59530232430154</v>
      </c>
      <c r="M66" s="104">
        <f>MAX(Tabella3[[#This Row],[Italy fit]]-CIf,0)</f>
        <v>0</v>
      </c>
      <c r="N66" s="4">
        <f>Tabella8[[#This Row],[Lombardy]]</f>
        <v>12740</v>
      </c>
      <c r="O66" s="104">
        <f>(Tabella3[[#This Row],[Lombardy cumul. Data]]-N65)</f>
        <v>161</v>
      </c>
      <c r="P66" s="104">
        <f>Tabella3[[#This Row],[Lombardy data]]*NOT(ISBLANK(Tabella3[[#This Row],[Lombardy data]]))</f>
        <v>161</v>
      </c>
      <c r="Q66" s="10">
        <f>Tabella8[[#This Row],[Lombardy fit]]</f>
        <v>12692.106700060776</v>
      </c>
      <c r="R66" s="104">
        <f>Kl*_xlfn.LOGNORM.DIST(Tabella3[[#This Row],[Day]],mu_l,sigma_l,FALSE)</f>
        <v>141.76777874543095</v>
      </c>
      <c r="S66" s="104">
        <f>Tabella3[[#This Row],[Lombardy fit]]*NOT(ISBLANK(Tabella3[[#This Row],[Lombardy data]]))</f>
        <v>141.76777874543095</v>
      </c>
      <c r="T66" s="104">
        <f>Tabella3[[#This Row],[Lombardy fit]]+CIl</f>
        <v>260.91579222473268</v>
      </c>
      <c r="U66" s="104">
        <f>MAX(Tabella3[[#This Row],[Lombardy fit]]-CIl,0)</f>
        <v>22.619765266129207</v>
      </c>
      <c r="V66" s="10">
        <f>Tabella8[[#This Row],[rest of Italy ]]</f>
        <v>12345</v>
      </c>
      <c r="W66" s="10">
        <f>(Tabella3[[#This Row],[rest of Italy cum. Data]]-V65)</f>
        <v>276</v>
      </c>
      <c r="X66" s="104">
        <f>Tabella3[[#This Row],[rest of Italy data]]*NOT(ISBLANK(Tabella3[[#This Row],[rest of Italy data]]))</f>
        <v>276</v>
      </c>
      <c r="Y66" s="10">
        <f>Tabella8[[#This Row],[rest of Italy fit]]</f>
        <v>12162.972939793439</v>
      </c>
      <c r="Z66" s="104">
        <f>Ka*_xlfn.LOGNORM.DIST(Tabella3[[#This Row],[Day]],mu_a,sigma_a,FALSE)</f>
        <v>235.70784452466674</v>
      </c>
      <c r="AA66" s="104">
        <f>Tabella3[[#This Row],[rest of Italy fit]]*NOT(ISBLANK(Tabella3[[#This Row],[rest of Italy data]]))</f>
        <v>235.70784452466674</v>
      </c>
      <c r="AB66" s="104">
        <f>Tabella3[[#This Row],[rest of Italy fit]]+CIa</f>
        <v>307.29588346550474</v>
      </c>
      <c r="AC66" s="104">
        <f>MAX(Tabella3[[#This Row],[rest of Italy fit]]-CIa,0)</f>
        <v>164.11980558382876</v>
      </c>
      <c r="AE66"/>
      <c r="AF66"/>
    </row>
    <row r="67" spans="2:32" x14ac:dyDescent="0.3">
      <c r="B67" s="9">
        <v>43944</v>
      </c>
      <c r="C67" s="4">
        <f t="shared" si="0"/>
        <v>60</v>
      </c>
      <c r="E67" s="10"/>
      <c r="F67" s="104">
        <f>Tabella3[[#This Row],[Italy data]]*NOT(ISBLANK(Tabella3[[#This Row],[Italy data]]))</f>
        <v>0</v>
      </c>
      <c r="G67" s="136">
        <f>Tabella8[[#This Row],[Italy fit]]</f>
        <v>23642.362984203788</v>
      </c>
      <c r="H67" s="109">
        <f>Tabella3[[#This Row],[Lombardy fit]]+Tabella3[[#This Row],[rest of Italy fit]]</f>
        <v>360.96247500953729</v>
      </c>
      <c r="I67" s="104">
        <f>Kf*_xlfn.LOGNORM.DIST(Tabella3[[#This Row],[Day]],mu_f,sigma_f,FALSE)</f>
        <v>201.6313262176956</v>
      </c>
      <c r="J67" s="104">
        <f>Tabella3[[#This Row],[Italy sum of regions]]*NOT(ISBLANK(Tabella3[[#This Row],[Italy data]]))</f>
        <v>0</v>
      </c>
      <c r="K67" s="104">
        <f>Tabella3[[#This Row],[Italy fit]]*NOT(ISBLANK(Tabella3[[#This Row],[Italy data]]))</f>
        <v>0</v>
      </c>
      <c r="O67" s="10"/>
      <c r="P67" s="104">
        <f>Tabella3[[#This Row],[Lombardy data]]*NOT(ISBLANK(Tabella3[[#This Row],[Lombardy data]]))</f>
        <v>0</v>
      </c>
      <c r="Q67" s="10">
        <f>Tabella8[[#This Row],[Lombardy fit]]</f>
        <v>12829.854973582547</v>
      </c>
      <c r="R67" s="104">
        <f>Kl*_xlfn.LOGNORM.DIST(Tabella3[[#This Row],[Day]],mu_l,sigma_l,FALSE)</f>
        <v>133.79221158215927</v>
      </c>
      <c r="S67" s="104">
        <f>Tabella3[[#This Row],[Lombardy fit]]*NOT(ISBLANK(Tabella3[[#This Row],[Lombardy data]]))</f>
        <v>0</v>
      </c>
      <c r="W67" s="10"/>
      <c r="X67" s="104">
        <f>Tabella3[[#This Row],[rest of Italy data]]*NOT(ISBLANK(Tabella3[[#This Row],[rest of Italy data]]))</f>
        <v>0</v>
      </c>
      <c r="Y67" s="10">
        <f>Tabella8[[#This Row],[rest of Italy fit]]</f>
        <v>12394.401739326213</v>
      </c>
      <c r="Z67" s="104">
        <f>Ka*_xlfn.LOGNORM.DIST(Tabella3[[#This Row],[Day]],mu_a,sigma_a,FALSE)</f>
        <v>227.17026342737802</v>
      </c>
      <c r="AA67" s="104">
        <f>Tabella3[[#This Row],[rest of Italy fit]]*NOT(ISBLANK(Tabella3[[#This Row],[rest of Italy data]]))</f>
        <v>0</v>
      </c>
      <c r="AE67"/>
      <c r="AF67"/>
    </row>
    <row r="68" spans="2:32" x14ac:dyDescent="0.3">
      <c r="B68" s="9">
        <v>43945</v>
      </c>
      <c r="C68" s="4">
        <f t="shared" si="0"/>
        <v>61</v>
      </c>
      <c r="E68" s="10"/>
      <c r="F68" s="104">
        <f>Tabella3[[#This Row],[Italy data]]*NOT(ISBLANK(Tabella3[[#This Row],[Italy data]]))</f>
        <v>0</v>
      </c>
      <c r="G68" s="136">
        <f>Tabella8[[#This Row],[Italy fit]]</f>
        <v>23836.097824605622</v>
      </c>
      <c r="H68" s="109">
        <f>Tabella3[[#This Row],[Lombardy fit]]+Tabella3[[#This Row],[rest of Italy fit]]</f>
        <v>344.95984144897739</v>
      </c>
      <c r="I68" s="104">
        <f>Kf*_xlfn.LOGNORM.DIST(Tabella3[[#This Row],[Day]],mu_f,sigma_f,FALSE)</f>
        <v>186.01941280149413</v>
      </c>
      <c r="J68" s="104">
        <f>Tabella3[[#This Row],[Italy sum of regions]]*NOT(ISBLANK(Tabella3[[#This Row],[Italy data]]))</f>
        <v>0</v>
      </c>
      <c r="K68" s="104">
        <f>Tabella3[[#This Row],[Italy fit]]*NOT(ISBLANK(Tabella3[[#This Row],[Italy data]]))</f>
        <v>0</v>
      </c>
      <c r="O68" s="10"/>
      <c r="P68" s="104">
        <f>Tabella3[[#This Row],[Lombardy data]]*NOT(ISBLANK(Tabella3[[#This Row],[Lombardy data]]))</f>
        <v>0</v>
      </c>
      <c r="Q68" s="10">
        <f>Tabella8[[#This Row],[Lombardy fit]]</f>
        <v>12959.816870924551</v>
      </c>
      <c r="R68" s="104">
        <f>Kl*_xlfn.LOGNORM.DIST(Tabella3[[#This Row],[Day]],mu_l,sigma_l,FALSE)</f>
        <v>126.19383168505657</v>
      </c>
      <c r="S68" s="104">
        <f>Tabella3[[#This Row],[Lombardy fit]]*NOT(ISBLANK(Tabella3[[#This Row],[Lombardy data]]))</f>
        <v>0</v>
      </c>
      <c r="W68" s="10"/>
      <c r="X68" s="104">
        <f>Tabella3[[#This Row],[rest of Italy data]]*NOT(ISBLANK(Tabella3[[#This Row],[rest of Italy data]]))</f>
        <v>0</v>
      </c>
      <c r="Y68" s="10">
        <f>Tabella8[[#This Row],[rest of Italy fit]]</f>
        <v>12617.357943698547</v>
      </c>
      <c r="Z68" s="104">
        <f>Ka*_xlfn.LOGNORM.DIST(Tabella3[[#This Row],[Day]],mu_a,sigma_a,FALSE)</f>
        <v>218.76600976392083</v>
      </c>
      <c r="AA68" s="104">
        <f>Tabella3[[#This Row],[rest of Italy fit]]*NOT(ISBLANK(Tabella3[[#This Row],[rest of Italy data]]))</f>
        <v>0</v>
      </c>
      <c r="AE68"/>
      <c r="AF68"/>
    </row>
    <row r="69" spans="2:32" x14ac:dyDescent="0.3">
      <c r="B69" s="9">
        <v>43946</v>
      </c>
      <c r="C69" s="4">
        <f t="shared" si="0"/>
        <v>62</v>
      </c>
      <c r="E69" s="10"/>
      <c r="F69" s="104">
        <f>Tabella3[[#This Row],[Italy data]]*NOT(ISBLANK(Tabella3[[#This Row],[Italy data]]))</f>
        <v>0</v>
      </c>
      <c r="G69" s="136">
        <f>Tabella8[[#This Row],[Italy fit]]</f>
        <v>24014.755938081678</v>
      </c>
      <c r="H69" s="109">
        <f>Tabella3[[#This Row],[Lombardy fit]]+Tabella3[[#This Row],[rest of Italy fit]]</f>
        <v>329.47840277449694</v>
      </c>
      <c r="I69" s="104">
        <f>Kf*_xlfn.LOGNORM.DIST(Tabella3[[#This Row],[Day]],mu_f,sigma_f,FALSE)</f>
        <v>171.46980139027764</v>
      </c>
      <c r="J69" s="104">
        <f>Tabella3[[#This Row],[Italy sum of regions]]*NOT(ISBLANK(Tabella3[[#This Row],[Italy data]]))</f>
        <v>0</v>
      </c>
      <c r="K69" s="104">
        <f>Tabella3[[#This Row],[Italy fit]]*NOT(ISBLANK(Tabella3[[#This Row],[Italy data]]))</f>
        <v>0</v>
      </c>
      <c r="O69" s="10"/>
      <c r="P69" s="104">
        <f>Tabella3[[#This Row],[Lombardy data]]*NOT(ISBLANK(Tabella3[[#This Row],[Lombardy data]]))</f>
        <v>0</v>
      </c>
      <c r="Q69" s="10">
        <f>Tabella8[[#This Row],[Lombardy fit]]</f>
        <v>13082.365732661745</v>
      </c>
      <c r="R69" s="104">
        <f>Kl*_xlfn.LOGNORM.DIST(Tabella3[[#This Row],[Day]],mu_l,sigma_l,FALSE)</f>
        <v>118.9646938376868</v>
      </c>
      <c r="S69" s="104">
        <f>Tabella3[[#This Row],[Lombardy fit]]*NOT(ISBLANK(Tabella3[[#This Row],[Lombardy data]]))</f>
        <v>0</v>
      </c>
      <c r="W69" s="10"/>
      <c r="X69" s="104">
        <f>Tabella3[[#This Row],[rest of Italy data]]*NOT(ISBLANK(Tabella3[[#This Row],[rest of Italy data]]))</f>
        <v>0</v>
      </c>
      <c r="Y69" s="10">
        <f>Tabella8[[#This Row],[rest of Italy fit]]</f>
        <v>12831.984441492903</v>
      </c>
      <c r="Z69" s="104">
        <f>Ka*_xlfn.LOGNORM.DIST(Tabella3[[#This Row],[Day]],mu_a,sigma_a,FALSE)</f>
        <v>210.51370893681013</v>
      </c>
      <c r="AA69" s="104">
        <f>Tabella3[[#This Row],[rest of Italy fit]]*NOT(ISBLANK(Tabella3[[#This Row],[rest of Italy data]]))</f>
        <v>0</v>
      </c>
      <c r="AE69"/>
      <c r="AF69"/>
    </row>
    <row r="70" spans="2:32" x14ac:dyDescent="0.3">
      <c r="B70" s="9">
        <v>43947</v>
      </c>
      <c r="C70" s="4">
        <f t="shared" si="0"/>
        <v>63</v>
      </c>
      <c r="E70" s="10"/>
      <c r="F70" s="104">
        <f>Tabella3[[#This Row],[Italy data]]*NOT(ISBLANK(Tabella3[[#This Row],[Italy data]]))</f>
        <v>0</v>
      </c>
      <c r="G70" s="136">
        <f>Tabella8[[#This Row],[Italy fit]]</f>
        <v>24179.375051840354</v>
      </c>
      <c r="H70" s="109">
        <f>Tabella3[[#This Row],[Lombardy fit]]+Tabella3[[#This Row],[rest of Italy fit]]</f>
        <v>314.52462855212264</v>
      </c>
      <c r="I70" s="104">
        <f>Kf*_xlfn.LOGNORM.DIST(Tabella3[[#This Row],[Day]],mu_f,sigma_f,FALSE)</f>
        <v>157.93301408132115</v>
      </c>
      <c r="J70" s="104">
        <f>Tabella3[[#This Row],[Italy sum of regions]]*NOT(ISBLANK(Tabella3[[#This Row],[Italy data]]))</f>
        <v>0</v>
      </c>
      <c r="K70" s="104">
        <f>Tabella3[[#This Row],[Italy fit]]*NOT(ISBLANK(Tabella3[[#This Row],[Italy data]]))</f>
        <v>0</v>
      </c>
      <c r="O70" s="10"/>
      <c r="P70" s="104">
        <f>Tabella3[[#This Row],[Lombardy data]]*NOT(ISBLANK(Tabella3[[#This Row],[Lombardy data]]))</f>
        <v>0</v>
      </c>
      <c r="Q70" s="10">
        <f>Tabella8[[#This Row],[Lombardy fit]]</f>
        <v>13197.866250419376</v>
      </c>
      <c r="R70" s="104">
        <f>Kl*_xlfn.LOGNORM.DIST(Tabella3[[#This Row],[Day]],mu_l,sigma_l,FALSE)</f>
        <v>112.09549581431025</v>
      </c>
      <c r="S70" s="104">
        <f>Tabella3[[#This Row],[Lombardy fit]]*NOT(ISBLANK(Tabella3[[#This Row],[Lombardy data]]))</f>
        <v>0</v>
      </c>
      <c r="W70" s="10"/>
      <c r="X70" s="104">
        <f>Tabella3[[#This Row],[rest of Italy data]]*NOT(ISBLANK(Tabella3[[#This Row],[rest of Italy data]]))</f>
        <v>0</v>
      </c>
      <c r="Y70" s="10">
        <f>Tabella8[[#This Row],[rest of Italy fit]]</f>
        <v>13038.441298708191</v>
      </c>
      <c r="Z70" s="104">
        <f>Ka*_xlfn.LOGNORM.DIST(Tabella3[[#This Row],[Day]],mu_a,sigma_a,FALSE)</f>
        <v>202.42913273781241</v>
      </c>
      <c r="AA70" s="104">
        <f>Tabella3[[#This Row],[rest of Italy fit]]*NOT(ISBLANK(Tabella3[[#This Row],[rest of Italy data]]))</f>
        <v>0</v>
      </c>
      <c r="AE70"/>
      <c r="AF70"/>
    </row>
    <row r="71" spans="2:32" x14ac:dyDescent="0.3">
      <c r="B71" s="9">
        <v>43948</v>
      </c>
      <c r="C71" s="4">
        <f t="shared" si="0"/>
        <v>64</v>
      </c>
      <c r="E71" s="10"/>
      <c r="F71" s="104">
        <f>Tabella3[[#This Row],[Italy data]]*NOT(ISBLANK(Tabella3[[#This Row],[Italy data]]))</f>
        <v>0</v>
      </c>
      <c r="G71" s="136">
        <f>Tabella8[[#This Row],[Italy fit]]</f>
        <v>24330.942589516031</v>
      </c>
      <c r="H71" s="109">
        <f>Tabella3[[#This Row],[Lombardy fit]]+Tabella3[[#This Row],[rest of Italy fit]]</f>
        <v>300.10131026777094</v>
      </c>
      <c r="I71" s="104">
        <f>Kf*_xlfn.LOGNORM.DIST(Tabella3[[#This Row],[Day]],mu_f,sigma_f,FALSE)</f>
        <v>145.35807533314184</v>
      </c>
      <c r="J71" s="104">
        <f>Tabella3[[#This Row],[Italy sum of regions]]*NOT(ISBLANK(Tabella3[[#This Row],[Italy data]]))</f>
        <v>0</v>
      </c>
      <c r="K71" s="104">
        <f>Tabella3[[#This Row],[Italy fit]]*NOT(ISBLANK(Tabella3[[#This Row],[Italy data]]))</f>
        <v>0</v>
      </c>
      <c r="O71" s="10"/>
      <c r="P71" s="104">
        <f>Tabella3[[#This Row],[Lombardy data]]*NOT(ISBLANK(Tabella3[[#This Row],[Lombardy data]]))</f>
        <v>0</v>
      </c>
      <c r="Q71" s="10">
        <f>Tabella8[[#This Row],[Lombardy fit]]</f>
        <v>13306.673254850923</v>
      </c>
      <c r="R71" s="104">
        <f>Kl*_xlfn.LOGNORM.DIST(Tabella3[[#This Row],[Day]],mu_l,sigma_l,FALSE)</f>
        <v>105.57586208471679</v>
      </c>
      <c r="S71" s="104">
        <f>Tabella3[[#This Row],[Lombardy fit]]*NOT(ISBLANK(Tabella3[[#This Row],[Lombardy data]]))</f>
        <v>0</v>
      </c>
      <c r="W71" s="10"/>
      <c r="X71" s="104">
        <f>Tabella3[[#This Row],[rest of Italy data]]*NOT(ISBLANK(Tabella3[[#This Row],[rest of Italy data]]))</f>
        <v>0</v>
      </c>
      <c r="Y71" s="10">
        <f>Tabella8[[#This Row],[rest of Italy fit]]</f>
        <v>13236.903030471507</v>
      </c>
      <c r="Z71" s="104">
        <f>Ka*_xlfn.LOGNORM.DIST(Tabella3[[#This Row],[Day]],mu_a,sigma_a,FALSE)</f>
        <v>194.52544818305418</v>
      </c>
      <c r="AA71" s="104">
        <f>Tabella3[[#This Row],[rest of Italy fit]]*NOT(ISBLANK(Tabella3[[#This Row],[rest of Italy data]]))</f>
        <v>0</v>
      </c>
      <c r="AE71"/>
      <c r="AF71"/>
    </row>
    <row r="72" spans="2:32" x14ac:dyDescent="0.3">
      <c r="B72" s="9">
        <v>43949</v>
      </c>
      <c r="C72" s="4">
        <f t="shared" si="0"/>
        <v>65</v>
      </c>
      <c r="E72" s="10"/>
      <c r="F72" s="104">
        <f>Tabella3[[#This Row],[Italy data]]*NOT(ISBLANK(Tabella3[[#This Row],[Italy data]]))</f>
        <v>0</v>
      </c>
      <c r="G72" s="136">
        <f>Tabella8[[#This Row],[Italy fit]]</f>
        <v>24470.394607838731</v>
      </c>
      <c r="H72" s="109">
        <f>Tabella3[[#This Row],[Lombardy fit]]+Tabella3[[#This Row],[rest of Italy fit]]</f>
        <v>286.20804645975306</v>
      </c>
      <c r="I72" s="104">
        <f>Kf*_xlfn.LOGNORM.DIST(Tabella3[[#This Row],[Day]],mu_f,sigma_f,FALSE)</f>
        <v>133.69335441531138</v>
      </c>
      <c r="J72" s="104">
        <f>Tabella3[[#This Row],[Italy sum of regions]]*NOT(ISBLANK(Tabella3[[#This Row],[Italy data]]))</f>
        <v>0</v>
      </c>
      <c r="K72" s="104">
        <f>Tabella3[[#This Row],[Italy fit]]*NOT(ISBLANK(Tabella3[[#This Row],[Italy data]]))</f>
        <v>0</v>
      </c>
      <c r="O72" s="10"/>
      <c r="P72" s="104">
        <f>Tabella3[[#This Row],[Lombardy data]]*NOT(ISBLANK(Tabella3[[#This Row],[Lombardy data]]))</f>
        <v>0</v>
      </c>
      <c r="Q72" s="10">
        <f>Tabella8[[#This Row],[Lombardy fit]]</f>
        <v>13409.130769081425</v>
      </c>
      <c r="R72" s="104">
        <f>Kl*_xlfn.LOGNORM.DIST(Tabella3[[#This Row],[Day]],mu_l,sigma_l,FALSE)</f>
        <v>99.394591606200862</v>
      </c>
      <c r="S72" s="104">
        <f>Tabella3[[#This Row],[Lombardy fit]]*NOT(ISBLANK(Tabella3[[#This Row],[Lombardy data]]))</f>
        <v>0</v>
      </c>
      <c r="W72" s="10"/>
      <c r="X72" s="104">
        <f>Tabella3[[#This Row],[rest of Italy data]]*NOT(ISBLANK(Tabella3[[#This Row],[rest of Italy data]]))</f>
        <v>0</v>
      </c>
      <c r="Y72" s="10">
        <f>Tabella8[[#This Row],[rest of Italy fit]]</f>
        <v>13427.556115938467</v>
      </c>
      <c r="Z72" s="104">
        <f>Ka*_xlfn.LOGNORM.DIST(Tabella3[[#This Row],[Day]],mu_a,sigma_a,FALSE)</f>
        <v>186.81345485355223</v>
      </c>
      <c r="AA72" s="104">
        <f>Tabella3[[#This Row],[rest of Italy fit]]*NOT(ISBLANK(Tabella3[[#This Row],[rest of Italy data]]))</f>
        <v>0</v>
      </c>
      <c r="AE72"/>
      <c r="AF72"/>
    </row>
    <row r="73" spans="2:32" x14ac:dyDescent="0.3">
      <c r="B73" s="9">
        <v>43950</v>
      </c>
      <c r="C73" s="4">
        <f t="shared" si="0"/>
        <v>66</v>
      </c>
      <c r="E73" s="10"/>
      <c r="F73" s="104">
        <f>Tabella3[[#This Row],[Italy data]]*NOT(ISBLANK(Tabella3[[#This Row],[Italy data]]))</f>
        <v>0</v>
      </c>
      <c r="G73" s="136">
        <f>Tabella8[[#This Row],[Italy fit]]</f>
        <v>24598.61550038015</v>
      </c>
      <c r="H73" s="109">
        <f>Tabella3[[#This Row],[Lombardy fit]]+Tabella3[[#This Row],[rest of Italy fit]]</f>
        <v>272.84168278458799</v>
      </c>
      <c r="I73" s="104">
        <f>Kf*_xlfn.LOGNORM.DIST(Tabella3[[#This Row],[Day]],mu_f,sigma_f,FALSE)</f>
        <v>122.88726020224027</v>
      </c>
      <c r="J73" s="104">
        <f>Tabella3[[#This Row],[Italy sum of regions]]*NOT(ISBLANK(Tabella3[[#This Row],[Italy data]]))</f>
        <v>0</v>
      </c>
      <c r="K73" s="104">
        <f>Tabella3[[#This Row],[Italy fit]]*NOT(ISBLANK(Tabella3[[#This Row],[Italy data]]))</f>
        <v>0</v>
      </c>
      <c r="O73" s="10"/>
      <c r="P73" s="104">
        <f>Tabella3[[#This Row],[Lombardy data]]*NOT(ISBLANK(Tabella3[[#This Row],[Lombardy data]]))</f>
        <v>0</v>
      </c>
      <c r="Q73" s="10">
        <f>Tabella8[[#This Row],[Lombardy fit]]</f>
        <v>13505.571293381416</v>
      </c>
      <c r="R73" s="104">
        <f>Kl*_xlfn.LOGNORM.DIST(Tabella3[[#This Row],[Day]],mu_l,sigma_l,FALSE)</f>
        <v>93.539873037313868</v>
      </c>
      <c r="S73" s="104">
        <f>Tabella3[[#This Row],[Lombardy fit]]*NOT(ISBLANK(Tabella3[[#This Row],[Lombardy data]]))</f>
        <v>0</v>
      </c>
      <c r="W73" s="10"/>
      <c r="X73" s="104">
        <f>Tabella3[[#This Row],[rest of Italy data]]*NOT(ISBLANK(Tabella3[[#This Row],[rest of Italy data]]))</f>
        <v>0</v>
      </c>
      <c r="Y73" s="10">
        <f>Tabella8[[#This Row],[rest of Italy fit]]</f>
        <v>13610.596744355598</v>
      </c>
      <c r="Z73" s="104">
        <f>Ka*_xlfn.LOGNORM.DIST(Tabella3[[#This Row],[Day]],mu_a,sigma_a,FALSE)</f>
        <v>179.30180974727409</v>
      </c>
      <c r="AA73" s="104">
        <f>Tabella3[[#This Row],[rest of Italy fit]]*NOT(ISBLANK(Tabella3[[#This Row],[rest of Italy data]]))</f>
        <v>0</v>
      </c>
      <c r="AE73"/>
      <c r="AF73"/>
    </row>
    <row r="74" spans="2:32" x14ac:dyDescent="0.3">
      <c r="B74" s="9">
        <v>43951</v>
      </c>
      <c r="C74" s="4">
        <f t="shared" ref="C74:C130" si="1">C73+1</f>
        <v>67</v>
      </c>
      <c r="E74" s="10"/>
      <c r="F74" s="104">
        <f>Tabella3[[#This Row],[Italy data]]*NOT(ISBLANK(Tabella3[[#This Row],[Italy data]]))</f>
        <v>0</v>
      </c>
      <c r="G74" s="136">
        <f>Tabella8[[#This Row],[Italy fit]]</f>
        <v>24716.438329798169</v>
      </c>
      <c r="H74" s="109">
        <f>Tabella3[[#This Row],[Lombardy fit]]+Tabella3[[#This Row],[rest of Italy fit]]</f>
        <v>259.99670958976537</v>
      </c>
      <c r="I74" s="104">
        <f>Kf*_xlfn.LOGNORM.DIST(Tabella3[[#This Row],[Day]],mu_f,sigma_f,FALSE)</f>
        <v>112.88880626659363</v>
      </c>
      <c r="J74" s="104">
        <f>Tabella3[[#This Row],[Italy sum of regions]]*NOT(ISBLANK(Tabella3[[#This Row],[Italy data]]))</f>
        <v>0</v>
      </c>
      <c r="K74" s="104">
        <f>Tabella3[[#This Row],[Italy fit]]*NOT(ISBLANK(Tabella3[[#This Row],[Italy data]]))</f>
        <v>0</v>
      </c>
      <c r="O74" s="10"/>
      <c r="P74" s="104">
        <f>Tabella3[[#This Row],[Lombardy data]]*NOT(ISBLANK(Tabella3[[#This Row],[Lombardy data]]))</f>
        <v>0</v>
      </c>
      <c r="Q74" s="10">
        <f>Tabella8[[#This Row],[Lombardy fit]]</f>
        <v>13596.315290100261</v>
      </c>
      <c r="R74" s="104">
        <f>Kl*_xlfn.LOGNORM.DIST(Tabella3[[#This Row],[Day]],mu_l,sigma_l,FALSE)</f>
        <v>87.999470559874297</v>
      </c>
      <c r="S74" s="104">
        <f>Tabella3[[#This Row],[Lombardy fit]]*NOT(ISBLANK(Tabella3[[#This Row],[Lombardy data]]))</f>
        <v>0</v>
      </c>
      <c r="W74" s="10"/>
      <c r="X74" s="104">
        <f>Tabella3[[#This Row],[rest of Italy data]]*NOT(ISBLANK(Tabella3[[#This Row],[rest of Italy data]]))</f>
        <v>0</v>
      </c>
      <c r="Y74" s="10">
        <f>Tabella8[[#This Row],[rest of Italy fit]]</f>
        <v>13786.228779461306</v>
      </c>
      <c r="Z74" s="104">
        <f>Ka*_xlfn.LOGNORM.DIST(Tabella3[[#This Row],[Day]],mu_a,sigma_a,FALSE)</f>
        <v>171.99723902989109</v>
      </c>
      <c r="AA74" s="104">
        <f>Tabella3[[#This Row],[rest of Italy fit]]*NOT(ISBLANK(Tabella3[[#This Row],[rest of Italy data]]))</f>
        <v>0</v>
      </c>
      <c r="AE74"/>
      <c r="AF74"/>
    </row>
    <row r="75" spans="2:32" x14ac:dyDescent="0.3">
      <c r="B75" s="9">
        <v>43952</v>
      </c>
      <c r="C75" s="4">
        <f t="shared" si="1"/>
        <v>68</v>
      </c>
      <c r="E75" s="10"/>
      <c r="F75" s="104">
        <f>Tabella3[[#This Row],[Italy data]]*NOT(ISBLANK(Tabella3[[#This Row],[Italy data]]))</f>
        <v>0</v>
      </c>
      <c r="G75" s="136">
        <f>Tabella8[[#This Row],[Italy fit]]</f>
        <v>24824.645667329863</v>
      </c>
      <c r="H75" s="109">
        <f>Tabella3[[#This Row],[Lombardy fit]]+Tabella3[[#This Row],[rest of Italy fit]]</f>
        <v>247.66561970046456</v>
      </c>
      <c r="I75" s="104">
        <f>Kf*_xlfn.LOGNORM.DIST(Tabella3[[#This Row],[Day]],mu_f,sigma_f,FALSE)</f>
        <v>103.64806294945431</v>
      </c>
      <c r="J75" s="104">
        <f>Tabella3[[#This Row],[Italy sum of regions]]*NOT(ISBLANK(Tabella3[[#This Row],[Italy data]]))</f>
        <v>0</v>
      </c>
      <c r="K75" s="104">
        <f>Tabella3[[#This Row],[Italy fit]]*NOT(ISBLANK(Tabella3[[#This Row],[Italy data]]))</f>
        <v>0</v>
      </c>
      <c r="O75" s="10"/>
      <c r="P75" s="104">
        <f>Tabella3[[#This Row],[Lombardy data]]*NOT(ISBLANK(Tabella3[[#This Row],[Lombardy data]]))</f>
        <v>0</v>
      </c>
      <c r="Q75" s="10">
        <f>Tabella8[[#This Row],[Lombardy fit]]</f>
        <v>13681.670840987223</v>
      </c>
      <c r="R75" s="104">
        <f>Kl*_xlfn.LOGNORM.DIST(Tabella3[[#This Row],[Day]],mu_l,sigma_l,FALSE)</f>
        <v>82.760883318034502</v>
      </c>
      <c r="S75" s="104">
        <f>Tabella3[[#This Row],[Lombardy fit]]*NOT(ISBLANK(Tabella3[[#This Row],[Lombardy data]]))</f>
        <v>0</v>
      </c>
      <c r="W75" s="10"/>
      <c r="X75" s="104">
        <f>Tabella3[[#This Row],[rest of Italy data]]*NOT(ISBLANK(Tabella3[[#This Row],[rest of Italy data]]))</f>
        <v>0</v>
      </c>
      <c r="Y75" s="10">
        <f>Tabella8[[#This Row],[rest of Italy fit]]</f>
        <v>13954.661928949854</v>
      </c>
      <c r="Z75" s="104">
        <f>Ka*_xlfn.LOGNORM.DIST(Tabella3[[#This Row],[Day]],mu_a,sigma_a,FALSE)</f>
        <v>164.90473638243006</v>
      </c>
      <c r="AA75" s="104">
        <f>Tabella3[[#This Row],[rest of Italy fit]]*NOT(ISBLANK(Tabella3[[#This Row],[rest of Italy data]]))</f>
        <v>0</v>
      </c>
      <c r="AE75"/>
      <c r="AF75"/>
    </row>
    <row r="76" spans="2:32" x14ac:dyDescent="0.3">
      <c r="B76" s="9">
        <v>43953</v>
      </c>
      <c r="C76" s="4">
        <f t="shared" si="1"/>
        <v>69</v>
      </c>
      <c r="E76" s="10"/>
      <c r="F76" s="104">
        <f>Tabella3[[#This Row],[Italy data]]*NOT(ISBLANK(Tabella3[[#This Row],[Italy data]]))</f>
        <v>0</v>
      </c>
      <c r="G76" s="136">
        <f>Tabella8[[#This Row],[Italy fit]]</f>
        <v>24923.970834275813</v>
      </c>
      <c r="H76" s="109">
        <f>Tabella3[[#This Row],[Lombardy fit]]+Tabella3[[#This Row],[rest of Italy fit]]</f>
        <v>235.8392291821946</v>
      </c>
      <c r="I76" s="104">
        <f>Kf*_xlfn.LOGNORM.DIST(Tabella3[[#This Row],[Day]],mu_f,sigma_f,FALSE)</f>
        <v>95.116511704648843</v>
      </c>
      <c r="J76" s="104">
        <f>Tabella3[[#This Row],[Italy sum of regions]]*NOT(ISBLANK(Tabella3[[#This Row],[Italy data]]))</f>
        <v>0</v>
      </c>
      <c r="K76" s="104">
        <f>Tabella3[[#This Row],[Italy fit]]*NOT(ISBLANK(Tabella3[[#This Row],[Italy data]]))</f>
        <v>0</v>
      </c>
      <c r="O76" s="10"/>
      <c r="P76" s="104">
        <f>Tabella3[[#This Row],[Lombardy data]]*NOT(ISBLANK(Tabella3[[#This Row],[Lombardy data]]))</f>
        <v>0</v>
      </c>
      <c r="Q76" s="10">
        <f>Tabella8[[#This Row],[Lombardy fit]]</f>
        <v>13761.933451940688</v>
      </c>
      <c r="R76" s="104">
        <f>Kl*_xlfn.LOGNORM.DIST(Tabella3[[#This Row],[Day]],mu_l,sigma_l,FALSE)</f>
        <v>77.811481287407048</v>
      </c>
      <c r="S76" s="104">
        <f>Tabella3[[#This Row],[Lombardy fit]]*NOT(ISBLANK(Tabella3[[#This Row],[Lombardy data]]))</f>
        <v>0</v>
      </c>
      <c r="W76" s="10"/>
      <c r="X76" s="104">
        <f>Tabella3[[#This Row],[rest of Italy data]]*NOT(ISBLANK(Tabella3[[#This Row],[rest of Italy data]]))</f>
        <v>0</v>
      </c>
      <c r="Y76" s="10">
        <f>Tabella8[[#This Row],[rest of Italy fit]]</f>
        <v>14116.110105551152</v>
      </c>
      <c r="Z76" s="104">
        <f>Ka*_xlfn.LOGNORM.DIST(Tabella3[[#This Row],[Day]],mu_a,sigma_a,FALSE)</f>
        <v>158.02774789478755</v>
      </c>
      <c r="AA76" s="104">
        <f>Tabella3[[#This Row],[rest of Italy fit]]*NOT(ISBLANK(Tabella3[[#This Row],[rest of Italy data]]))</f>
        <v>0</v>
      </c>
      <c r="AE76"/>
      <c r="AF76"/>
    </row>
    <row r="77" spans="2:32" x14ac:dyDescent="0.3">
      <c r="B77" s="9">
        <v>43954</v>
      </c>
      <c r="C77" s="4">
        <f t="shared" si="1"/>
        <v>70</v>
      </c>
      <c r="E77" s="10"/>
      <c r="F77" s="104">
        <f>Tabella3[[#This Row],[Italy data]]*NOT(ISBLANK(Tabella3[[#This Row],[Italy data]]))</f>
        <v>0</v>
      </c>
      <c r="G77" s="136">
        <f>Tabella8[[#This Row],[Italy fit]]</f>
        <v>25015.099454808984</v>
      </c>
      <c r="H77" s="109">
        <f>Tabella3[[#This Row],[Lombardy fit]]+Tabella3[[#This Row],[rest of Italy fit]]</f>
        <v>224.50696383551175</v>
      </c>
      <c r="I77" s="104">
        <f>Kf*_xlfn.LOGNORM.DIST(Tabella3[[#This Row],[Day]],mu_f,sigma_f,FALSE)</f>
        <v>87.247315599219021</v>
      </c>
      <c r="J77" s="104">
        <f>Tabella3[[#This Row],[Italy sum of regions]]*NOT(ISBLANK(Tabella3[[#This Row],[Italy data]]))</f>
        <v>0</v>
      </c>
      <c r="K77" s="104">
        <f>Tabella3[[#This Row],[Italy fit]]*NOT(ISBLANK(Tabella3[[#This Row],[Italy data]]))</f>
        <v>0</v>
      </c>
      <c r="O77" s="10"/>
      <c r="P77" s="104">
        <f>Tabella3[[#This Row],[Lombardy data]]*NOT(ISBLANK(Tabella3[[#This Row],[Lombardy data]]))</f>
        <v>0</v>
      </c>
      <c r="Q77" s="10">
        <f>Tabella8[[#This Row],[Lombardy fit]]</f>
        <v>13837.385982936858</v>
      </c>
      <c r="R77" s="104">
        <f>Kl*_xlfn.LOGNORM.DIST(Tabella3[[#This Row],[Day]],mu_l,sigma_l,FALSE)</f>
        <v>73.138620182200384</v>
      </c>
      <c r="S77" s="104">
        <f>Tabella3[[#This Row],[Lombardy fit]]*NOT(ISBLANK(Tabella3[[#This Row],[Lombardy data]]))</f>
        <v>0</v>
      </c>
      <c r="W77" s="10"/>
      <c r="X77" s="104">
        <f>Tabella3[[#This Row],[rest of Italy data]]*NOT(ISBLANK(Tabella3[[#This Row],[rest of Italy data]]))</f>
        <v>0</v>
      </c>
      <c r="Y77" s="10">
        <f>Tabella8[[#This Row],[rest of Italy fit]]</f>
        <v>14270.789966331697</v>
      </c>
      <c r="Z77" s="104">
        <f>Ka*_xlfn.LOGNORM.DIST(Tabella3[[#This Row],[Day]],mu_a,sigma_a,FALSE)</f>
        <v>151.36834365331137</v>
      </c>
      <c r="AA77" s="104">
        <f>Tabella3[[#This Row],[rest of Italy fit]]*NOT(ISBLANK(Tabella3[[#This Row],[rest of Italy data]]))</f>
        <v>0</v>
      </c>
      <c r="AE77"/>
      <c r="AF77"/>
    </row>
    <row r="78" spans="2:32" x14ac:dyDescent="0.3">
      <c r="B78" s="9">
        <v>43955</v>
      </c>
      <c r="C78" s="4">
        <f t="shared" si="1"/>
        <v>71</v>
      </c>
      <c r="E78" s="10"/>
      <c r="F78" s="104">
        <f>Tabella3[[#This Row],[Italy data]]*NOT(ISBLANK(Tabella3[[#This Row],[Italy data]]))</f>
        <v>0</v>
      </c>
      <c r="G78" s="136">
        <f>Tabella8[[#This Row],[Italy fit]]</f>
        <v>25098.671242619148</v>
      </c>
      <c r="H78" s="109">
        <f>Tabella3[[#This Row],[Lombardy fit]]+Tabella3[[#This Row],[rest of Italy fit]]</f>
        <v>213.6571141269132</v>
      </c>
      <c r="I78" s="104">
        <f>Kf*_xlfn.LOGNORM.DIST(Tabella3[[#This Row],[Day]],mu_f,sigma_f,FALSE)</f>
        <v>79.995518449207395</v>
      </c>
      <c r="J78" s="104">
        <f>Tabella3[[#This Row],[Italy sum of regions]]*NOT(ISBLANK(Tabella3[[#This Row],[Italy data]]))</f>
        <v>0</v>
      </c>
      <c r="K78" s="104">
        <f>Tabella3[[#This Row],[Italy fit]]*NOT(ISBLANK(Tabella3[[#This Row],[Italy data]]))</f>
        <v>0</v>
      </c>
      <c r="O78" s="10"/>
      <c r="P78" s="104">
        <f>Tabella3[[#This Row],[Lombardy data]]*NOT(ISBLANK(Tabella3[[#This Row],[Lombardy data]]))</f>
        <v>0</v>
      </c>
      <c r="Q78" s="10">
        <f>Tabella8[[#This Row],[Lombardy fit]]</f>
        <v>13908.298683393336</v>
      </c>
      <c r="R78" s="104">
        <f>Kl*_xlfn.LOGNORM.DIST(Tabella3[[#This Row],[Day]],mu_l,sigma_l,FALSE)</f>
        <v>68.729737800757647</v>
      </c>
      <c r="S78" s="104">
        <f>Tabella3[[#This Row],[Lombardy fit]]*NOT(ISBLANK(Tabella3[[#This Row],[Lombardy data]]))</f>
        <v>0</v>
      </c>
      <c r="W78" s="10"/>
      <c r="X78" s="104">
        <f>Tabella3[[#This Row],[rest of Italy data]]*NOT(ISBLANK(Tabella3[[#This Row],[rest of Italy data]]))</f>
        <v>0</v>
      </c>
      <c r="Y78" s="10">
        <f>Tabella8[[#This Row],[rest of Italy fit]]</f>
        <v>14418.919617051155</v>
      </c>
      <c r="Z78" s="104">
        <f>Ka*_xlfn.LOGNORM.DIST(Tabella3[[#This Row],[Day]],mu_a,sigma_a,FALSE)</f>
        <v>144.92737632615555</v>
      </c>
      <c r="AA78" s="104">
        <f>Tabella3[[#This Row],[rest of Italy fit]]*NOT(ISBLANK(Tabella3[[#This Row],[rest of Italy data]]))</f>
        <v>0</v>
      </c>
      <c r="AE78"/>
      <c r="AF78"/>
    </row>
    <row r="79" spans="2:32" x14ac:dyDescent="0.3">
      <c r="B79" s="9">
        <v>43956</v>
      </c>
      <c r="C79" s="4">
        <f t="shared" si="1"/>
        <v>72</v>
      </c>
      <c r="E79" s="10"/>
      <c r="F79" s="10">
        <f>Tabella3[[#This Row],[Italy data]]*NOT(ISBLANK(Tabella3[[#This Row],[Italy data]]))</f>
        <v>0</v>
      </c>
      <c r="G79" s="136">
        <f>Tabella8[[#This Row],[Italy fit]]</f>
        <v>25175.281955700331</v>
      </c>
      <c r="H79" s="109">
        <f>Tabella3[[#This Row],[Lombardy fit]]+Tabella3[[#This Row],[rest of Italy fit]]</f>
        <v>203.27706117358002</v>
      </c>
      <c r="I79" s="104">
        <f>Kf*_xlfn.LOGNORM.DIST(Tabella3[[#This Row],[Day]],mu_f,sigma_f,FALSE)</f>
        <v>73.318183714229264</v>
      </c>
      <c r="J79" s="10">
        <f>Tabella3[[#This Row],[Italy sum of regions]]*NOT(ISBLANK(Tabella3[[#This Row],[Italy data]]))</f>
        <v>0</v>
      </c>
      <c r="K79" s="10">
        <f>Tabella3[[#This Row],[Italy fit]]*NOT(ISBLANK(Tabella3[[#This Row],[Italy data]]))</f>
        <v>0</v>
      </c>
      <c r="O79" s="10"/>
      <c r="P79" s="10">
        <f>Tabella3[[#This Row],[Lombardy data]]*NOT(ISBLANK(Tabella3[[#This Row],[Lombardy data]]))</f>
        <v>0</v>
      </c>
      <c r="Q79" s="10">
        <f>Tabella8[[#This Row],[Lombardy fit]]</f>
        <v>13974.929315520607</v>
      </c>
      <c r="R79" s="104">
        <f>Kl*_xlfn.LOGNORM.DIST(Tabella3[[#This Row],[Day]],mu_l,sigma_l,FALSE)</f>
        <v>64.572434004868214</v>
      </c>
      <c r="S79" s="10">
        <f>Tabella3[[#This Row],[Lombardy fit]]*NOT(ISBLANK(Tabella3[[#This Row],[Lombardy data]]))</f>
        <v>0</v>
      </c>
      <c r="W79" s="10"/>
      <c r="X79" s="10">
        <f>Tabella3[[#This Row],[rest of Italy data]]*NOT(ISBLANK(Tabella3[[#This Row],[rest of Italy data]]))</f>
        <v>0</v>
      </c>
      <c r="Y79" s="10">
        <f>Tabella8[[#This Row],[rest of Italy fit]]</f>
        <v>14560.717468775107</v>
      </c>
      <c r="Z79" s="104">
        <f>Ka*_xlfn.LOGNORM.DIST(Tabella3[[#This Row],[Day]],mu_a,sigma_a,FALSE)</f>
        <v>138.70462716871182</v>
      </c>
      <c r="AA79" s="10">
        <f>Tabella3[[#This Row],[rest of Italy fit]]*NOT(ISBLANK(Tabella3[[#This Row],[rest of Italy data]]))</f>
        <v>0</v>
      </c>
      <c r="AE79"/>
      <c r="AF79"/>
    </row>
    <row r="80" spans="2:32" x14ac:dyDescent="0.3">
      <c r="B80" s="9">
        <v>43957</v>
      </c>
      <c r="C80" s="4">
        <f t="shared" si="1"/>
        <v>73</v>
      </c>
      <c r="E80" s="10"/>
      <c r="F80" s="10">
        <f>Tabella3[[#This Row],[Italy data]]*NOT(ISBLANK(Tabella3[[#This Row],[Italy data]]))</f>
        <v>0</v>
      </c>
      <c r="G80" s="136">
        <f>Tabella8[[#This Row],[Italy fit]]</f>
        <v>25245.485464062989</v>
      </c>
      <c r="H80" s="109">
        <f>Tabella3[[#This Row],[Lombardy fit]]+Tabella3[[#This Row],[rest of Italy fit]]</f>
        <v>193.35347628858574</v>
      </c>
      <c r="I80" s="104">
        <f>Kf*_xlfn.LOGNORM.DIST(Tabella3[[#This Row],[Day]],mu_f,sigma_f,FALSE)</f>
        <v>67.174482989427162</v>
      </c>
      <c r="J80" s="10">
        <f>Tabella3[[#This Row],[Italy sum of regions]]*NOT(ISBLANK(Tabella3[[#This Row],[Italy data]]))</f>
        <v>0</v>
      </c>
      <c r="K80" s="10">
        <f>Tabella3[[#This Row],[Italy fit]]*NOT(ISBLANK(Tabella3[[#This Row],[Italy data]]))</f>
        <v>0</v>
      </c>
      <c r="O80" s="10"/>
      <c r="P80" s="10">
        <f>Tabella3[[#This Row],[Lombardy data]]*NOT(ISBLANK(Tabella3[[#This Row],[Lombardy data]]))</f>
        <v>0</v>
      </c>
      <c r="Q80" s="10">
        <f>Tabella8[[#This Row],[Lombardy fit]]</f>
        <v>14037.523350309684</v>
      </c>
      <c r="R80" s="104">
        <f>Kl*_xlfn.LOGNORM.DIST(Tabella3[[#This Row],[Day]],mu_l,sigma_l,FALSE)</f>
        <v>60.654536329442003</v>
      </c>
      <c r="S80" s="10">
        <f>Tabella3[[#This Row],[Lombardy fit]]*NOT(ISBLANK(Tabella3[[#This Row],[Lombardy data]]))</f>
        <v>0</v>
      </c>
      <c r="W80" s="10"/>
      <c r="X80" s="10">
        <f>Tabella3[[#This Row],[rest of Italy data]]*NOT(ISBLANK(Tabella3[[#This Row],[rest of Italy data]]))</f>
        <v>0</v>
      </c>
      <c r="Y80" s="10">
        <f>Tabella8[[#This Row],[rest of Italy fit]]</f>
        <v>14696.401234412793</v>
      </c>
      <c r="Z80" s="104">
        <f>Ka*_xlfn.LOGNORM.DIST(Tabella3[[#This Row],[Day]],mu_a,sigma_a,FALSE)</f>
        <v>132.69893995914373</v>
      </c>
      <c r="AA80" s="10">
        <f>Tabella3[[#This Row],[rest of Italy fit]]*NOT(ISBLANK(Tabella3[[#This Row],[rest of Italy data]]))</f>
        <v>0</v>
      </c>
      <c r="AE80"/>
      <c r="AF80"/>
    </row>
    <row r="81" spans="2:32" x14ac:dyDescent="0.3">
      <c r="B81" s="9">
        <v>43958</v>
      </c>
      <c r="C81" s="4">
        <f t="shared" si="1"/>
        <v>74</v>
      </c>
      <c r="E81" s="10"/>
      <c r="F81" s="10">
        <f>Tabella3[[#This Row],[Italy data]]*NOT(ISBLANK(Tabella3[[#This Row],[Italy data]]))</f>
        <v>0</v>
      </c>
      <c r="G81" s="136">
        <f>Tabella8[[#This Row],[Italy fit]]</f>
        <v>25309.795884384141</v>
      </c>
      <c r="H81" s="109">
        <f>Tabella3[[#This Row],[Lombardy fit]]+Tabella3[[#This Row],[rest of Italy fit]]</f>
        <v>183.87249646527232</v>
      </c>
      <c r="I81" s="104">
        <f>Kf*_xlfn.LOGNORM.DIST(Tabella3[[#This Row],[Day]],mu_f,sigma_f,FALSE)</f>
        <v>61.525742734364464</v>
      </c>
      <c r="J81" s="10">
        <f>Tabella3[[#This Row],[Italy sum of regions]]*NOT(ISBLANK(Tabella3[[#This Row],[Italy data]]))</f>
        <v>0</v>
      </c>
      <c r="K81" s="10">
        <f>Tabella3[[#This Row],[Italy fit]]*NOT(ISBLANK(Tabella3[[#This Row],[Italy data]]))</f>
        <v>0</v>
      </c>
      <c r="O81" s="10"/>
      <c r="P81" s="10">
        <f>Tabella3[[#This Row],[Lombardy data]]*NOT(ISBLANK(Tabella3[[#This Row],[Lombardy data]]))</f>
        <v>0</v>
      </c>
      <c r="Q81" s="10">
        <f>Tabella8[[#This Row],[Lombardy fit]]</f>
        <v>14096.314222705028</v>
      </c>
      <c r="R81" s="104">
        <f>Kl*_xlfn.LOGNORM.DIST(Tabella3[[#This Row],[Day]],mu_l,sigma_l,FALSE)</f>
        <v>56.964153029153692</v>
      </c>
      <c r="S81" s="10">
        <f>Tabella3[[#This Row],[Lombardy fit]]*NOT(ISBLANK(Tabella3[[#This Row],[Lombardy data]]))</f>
        <v>0</v>
      </c>
      <c r="W81" s="10"/>
      <c r="X81" s="10">
        <f>Tabella3[[#This Row],[rest of Italy data]]*NOT(ISBLANK(Tabella3[[#This Row],[rest of Italy data]]))</f>
        <v>0</v>
      </c>
      <c r="Y81" s="10">
        <f>Tabella8[[#This Row],[rest of Italy fit]]</f>
        <v>14826.187053391872</v>
      </c>
      <c r="Z81" s="104">
        <f>Ka*_xlfn.LOGNORM.DIST(Tabella3[[#This Row],[Day]],mu_a,sigma_a,FALSE)</f>
        <v>126.90834343611863</v>
      </c>
      <c r="AA81" s="10">
        <f>Tabella3[[#This Row],[rest of Italy fit]]*NOT(ISBLANK(Tabella3[[#This Row],[rest of Italy data]]))</f>
        <v>0</v>
      </c>
      <c r="AE81"/>
      <c r="AF81"/>
    </row>
    <row r="82" spans="2:32" x14ac:dyDescent="0.3">
      <c r="B82" s="9">
        <v>43959</v>
      </c>
      <c r="C82" s="4">
        <f t="shared" si="1"/>
        <v>75</v>
      </c>
      <c r="E82" s="10"/>
      <c r="F82" s="10">
        <f>Tabella3[[#This Row],[Italy data]]*NOT(ISBLANK(Tabella3[[#This Row],[Italy data]]))</f>
        <v>0</v>
      </c>
      <c r="G82" s="136">
        <f>Tabella8[[#This Row],[Italy fit]]</f>
        <v>25368.689743687883</v>
      </c>
      <c r="H82" s="109">
        <f>Tabella3[[#This Row],[Lombardy fit]]+Tabella3[[#This Row],[rest of Italy fit]]</f>
        <v>174.81987804100555</v>
      </c>
      <c r="I82" s="104">
        <f>Kf*_xlfn.LOGNORM.DIST(Tabella3[[#This Row],[Day]],mu_f,sigma_f,FALSE)</f>
        <v>56.335456773798533</v>
      </c>
      <c r="J82" s="10">
        <f>Tabella3[[#This Row],[Italy sum of regions]]*NOT(ISBLANK(Tabella3[[#This Row],[Italy data]]))</f>
        <v>0</v>
      </c>
      <c r="K82" s="10">
        <f>Tabella3[[#This Row],[Italy fit]]*NOT(ISBLANK(Tabella3[[#This Row],[Italy data]]))</f>
        <v>0</v>
      </c>
      <c r="O82" s="10"/>
      <c r="P82" s="10">
        <f>Tabella3[[#This Row],[Lombardy data]]*NOT(ISBLANK(Tabella3[[#This Row],[Lombardy data]]))</f>
        <v>0</v>
      </c>
      <c r="Q82" s="10">
        <f>Tabella8[[#This Row],[Lombardy fit]]</f>
        <v>14151.523634227724</v>
      </c>
      <c r="R82" s="104">
        <f>Kl*_xlfn.LOGNORM.DIST(Tabella3[[#This Row],[Day]],mu_l,sigma_l,FALSE)</f>
        <v>53.48971518923819</v>
      </c>
      <c r="S82" s="10">
        <f>Tabella3[[#This Row],[Lombardy fit]]*NOT(ISBLANK(Tabella3[[#This Row],[Lombardy data]]))</f>
        <v>0</v>
      </c>
      <c r="W82" s="10"/>
      <c r="X82" s="10">
        <f>Tabella3[[#This Row],[rest of Italy data]]*NOT(ISBLANK(Tabella3[[#This Row],[rest of Italy data]]))</f>
        <v>0</v>
      </c>
      <c r="Y82" s="10">
        <f>Tabella8[[#This Row],[rest of Italy fit]]</f>
        <v>14950.288733276127</v>
      </c>
      <c r="Z82" s="104">
        <f>Ka*_xlfn.LOGNORM.DIST(Tabella3[[#This Row],[Day]],mu_a,sigma_a,FALSE)</f>
        <v>121.33016285176737</v>
      </c>
      <c r="AA82" s="10">
        <f>Tabella3[[#This Row],[rest of Italy fit]]*NOT(ISBLANK(Tabella3[[#This Row],[rest of Italy data]]))</f>
        <v>0</v>
      </c>
      <c r="AE82"/>
      <c r="AF82"/>
    </row>
    <row r="83" spans="2:32" x14ac:dyDescent="0.3">
      <c r="B83" s="9">
        <v>43960</v>
      </c>
      <c r="C83" s="4">
        <f t="shared" si="1"/>
        <v>76</v>
      </c>
      <c r="E83" s="10"/>
      <c r="F83" s="10">
        <f>Tabella3[[#This Row],[Italy data]]*NOT(ISBLANK(Tabella3[[#This Row],[Italy data]]))</f>
        <v>0</v>
      </c>
      <c r="G83" s="136">
        <f>Tabella8[[#This Row],[Italy fit]]</f>
        <v>25422.608141172062</v>
      </c>
      <c r="H83" s="109">
        <f>Tabella3[[#This Row],[Lombardy fit]]+Tabella3[[#This Row],[rest of Italy fit]]</f>
        <v>166.18113063632546</v>
      </c>
      <c r="I83" s="104">
        <f>Kf*_xlfn.LOGNORM.DIST(Tabella3[[#This Row],[Day]],mu_f,sigma_f,FALSE)</f>
        <v>51.569271098541236</v>
      </c>
      <c r="J83" s="10">
        <f>Tabella3[[#This Row],[Italy sum of regions]]*NOT(ISBLANK(Tabella3[[#This Row],[Italy data]]))</f>
        <v>0</v>
      </c>
      <c r="K83" s="10">
        <f>Tabella3[[#This Row],[Italy fit]]*NOT(ISBLANK(Tabella3[[#This Row],[Italy data]]))</f>
        <v>0</v>
      </c>
      <c r="O83" s="10"/>
      <c r="P83" s="10">
        <f>Tabella3[[#This Row],[Lombardy data]]*NOT(ISBLANK(Tabella3[[#This Row],[Lombardy data]]))</f>
        <v>0</v>
      </c>
      <c r="Q83" s="10">
        <f>Tabella8[[#This Row],[Lombardy fit]]</f>
        <v>14203.36189285633</v>
      </c>
      <c r="R83" s="104">
        <f>Kl*_xlfn.LOGNORM.DIST(Tabella3[[#This Row],[Day]],mu_l,sigma_l,FALSE)</f>
        <v>50.220009359761008</v>
      </c>
      <c r="S83" s="10">
        <f>Tabella3[[#This Row],[Lombardy fit]]*NOT(ISBLANK(Tabella3[[#This Row],[Lombardy data]]))</f>
        <v>0</v>
      </c>
      <c r="W83" s="10"/>
      <c r="X83" s="10">
        <f>Tabella3[[#This Row],[rest of Italy data]]*NOT(ISBLANK(Tabella3[[#This Row],[rest of Italy data]]))</f>
        <v>0</v>
      </c>
      <c r="Y83" s="10">
        <f>Tabella8[[#This Row],[rest of Italy fit]]</f>
        <v>15068.917097758587</v>
      </c>
      <c r="Z83" s="104">
        <f>Ka*_xlfn.LOGNORM.DIST(Tabella3[[#This Row],[Day]],mu_a,sigma_a,FALSE)</f>
        <v>115.96112127656446</v>
      </c>
      <c r="AA83" s="10">
        <f>Tabella3[[#This Row],[rest of Italy fit]]*NOT(ISBLANK(Tabella3[[#This Row],[rest of Italy data]]))</f>
        <v>0</v>
      </c>
      <c r="AE83"/>
      <c r="AF83"/>
    </row>
    <row r="84" spans="2:32" x14ac:dyDescent="0.3">
      <c r="B84" s="9">
        <v>43961</v>
      </c>
      <c r="C84" s="4">
        <f t="shared" si="1"/>
        <v>77</v>
      </c>
      <c r="E84" s="10"/>
      <c r="F84" s="10">
        <f>Tabella3[[#This Row],[Italy data]]*NOT(ISBLANK(Tabella3[[#This Row],[Italy data]]))</f>
        <v>0</v>
      </c>
      <c r="G84" s="136">
        <f>Tabella8[[#This Row],[Italy fit]]</f>
        <v>25471.95888336256</v>
      </c>
      <c r="H84" s="109">
        <f>Tabella3[[#This Row],[Lombardy fit]]+Tabella3[[#This Row],[rest of Italy fit]]</f>
        <v>157.94163331956022</v>
      </c>
      <c r="I84" s="104">
        <f>Kf*_xlfn.LOGNORM.DIST(Tabella3[[#This Row],[Day]],mu_f,sigma_f,FALSE)</f>
        <v>47.194946585750714</v>
      </c>
      <c r="J84" s="10">
        <f>Tabella3[[#This Row],[Italy sum of regions]]*NOT(ISBLANK(Tabella3[[#This Row],[Italy data]]))</f>
        <v>0</v>
      </c>
      <c r="K84" s="10">
        <f>Tabella3[[#This Row],[Italy fit]]*NOT(ISBLANK(Tabella3[[#This Row],[Italy data]]))</f>
        <v>0</v>
      </c>
      <c r="O84" s="10"/>
      <c r="P84" s="10">
        <f>Tabella3[[#This Row],[Lombardy data]]*NOT(ISBLANK(Tabella3[[#This Row],[Lombardy data]]))</f>
        <v>0</v>
      </c>
      <c r="Q84" s="10">
        <f>Tabella8[[#This Row],[Lombardy fit]]</f>
        <v>14252.028281352978</v>
      </c>
      <c r="R84" s="104">
        <f>Kl*_xlfn.LOGNORM.DIST(Tabella3[[#This Row],[Day]],mu_l,sigma_l,FALSE)</f>
        <v>47.144202016964009</v>
      </c>
      <c r="S84" s="10">
        <f>Tabella3[[#This Row],[Lombardy fit]]*NOT(ISBLANK(Tabella3[[#This Row],[Lombardy data]]))</f>
        <v>0</v>
      </c>
      <c r="W84" s="10"/>
      <c r="X84" s="10">
        <f>Tabella3[[#This Row],[rest of Italy data]]*NOT(ISBLANK(Tabella3[[#This Row],[rest of Italy data]]))</f>
        <v>0</v>
      </c>
      <c r="Y84" s="10">
        <f>Tabella8[[#This Row],[rest of Italy fit]]</f>
        <v>15182.279431104576</v>
      </c>
      <c r="Z84" s="104">
        <f>Ka*_xlfn.LOGNORM.DIST(Tabella3[[#This Row],[Day]],mu_a,sigma_a,FALSE)</f>
        <v>110.79743130259621</v>
      </c>
      <c r="AA84" s="10">
        <f>Tabella3[[#This Row],[rest of Italy fit]]*NOT(ISBLANK(Tabella3[[#This Row],[rest of Italy data]]))</f>
        <v>0</v>
      </c>
      <c r="AE84"/>
      <c r="AF84"/>
    </row>
    <row r="85" spans="2:32" x14ac:dyDescent="0.3">
      <c r="B85" s="9">
        <v>43962</v>
      </c>
      <c r="C85" s="4">
        <f t="shared" si="1"/>
        <v>78</v>
      </c>
      <c r="E85" s="10"/>
      <c r="F85" s="10">
        <f>Tabella3[[#This Row],[Italy data]]*NOT(ISBLANK(Tabella3[[#This Row],[Italy data]]))</f>
        <v>0</v>
      </c>
      <c r="G85" s="136">
        <f>Tabella8[[#This Row],[Italy fit]]</f>
        <v>25517.118572981355</v>
      </c>
      <c r="H85" s="109">
        <f>Tabella3[[#This Row],[Lombardy fit]]+Tabella3[[#This Row],[rest of Italy fit]]</f>
        <v>150.08673480208739</v>
      </c>
      <c r="I85" s="104">
        <f>Kf*_xlfn.LOGNORM.DIST(Tabella3[[#This Row],[Day]],mu_f,sigma_f,FALSE)</f>
        <v>43.182304444141508</v>
      </c>
      <c r="J85" s="10">
        <f>Tabella3[[#This Row],[Italy sum of regions]]*NOT(ISBLANK(Tabella3[[#This Row],[Italy data]]))</f>
        <v>0</v>
      </c>
      <c r="K85" s="10">
        <f>Tabella3[[#This Row],[Italy fit]]*NOT(ISBLANK(Tabella3[[#This Row],[Italy data]]))</f>
        <v>0</v>
      </c>
      <c r="O85" s="10"/>
      <c r="P85" s="10">
        <f>Tabella3[[#This Row],[Lombardy data]]*NOT(ISBLANK(Tabella3[[#This Row],[Lombardy data]]))</f>
        <v>0</v>
      </c>
      <c r="Q85" s="10">
        <f>Tabella8[[#This Row],[Lombardy fit]]</f>
        <v>14297.711446453452</v>
      </c>
      <c r="R85" s="104">
        <f>Kl*_xlfn.LOGNORM.DIST(Tabella3[[#This Row],[Day]],mu_l,sigma_l,FALSE)</f>
        <v>44.251857011790207</v>
      </c>
      <c r="S85" s="10">
        <f>Tabella3[[#This Row],[Lombardy fit]]*NOT(ISBLANK(Tabella3[[#This Row],[Lombardy data]]))</f>
        <v>0</v>
      </c>
      <c r="W85" s="10"/>
      <c r="X85" s="10">
        <f>Tabella3[[#This Row],[rest of Italy data]]*NOT(ISBLANK(Tabella3[[#This Row],[rest of Italy data]]))</f>
        <v>0</v>
      </c>
      <c r="Y85" s="10">
        <f>Tabella8[[#This Row],[rest of Italy fit]]</f>
        <v>15290.579009766445</v>
      </c>
      <c r="Z85" s="104">
        <f>Ka*_xlfn.LOGNORM.DIST(Tabella3[[#This Row],[Day]],mu_a,sigma_a,FALSE)</f>
        <v>105.83487779029717</v>
      </c>
      <c r="AA85" s="10">
        <f>Tabella3[[#This Row],[rest of Italy fit]]*NOT(ISBLANK(Tabella3[[#This Row],[rest of Italy data]]))</f>
        <v>0</v>
      </c>
      <c r="AE85"/>
      <c r="AF85"/>
    </row>
    <row r="86" spans="2:32" x14ac:dyDescent="0.3">
      <c r="B86" s="9">
        <v>43963</v>
      </c>
      <c r="C86" s="4">
        <f t="shared" si="1"/>
        <v>79</v>
      </c>
      <c r="E86" s="10"/>
      <c r="F86" s="10">
        <f>Tabella3[[#This Row],[Italy data]]*NOT(ISBLANK(Tabella3[[#This Row],[Italy data]]))</f>
        <v>0</v>
      </c>
      <c r="G86" s="136">
        <f>Tabella8[[#This Row],[Italy fit]]</f>
        <v>25558.434636351041</v>
      </c>
      <c r="H86" s="109">
        <f>Tabella3[[#This Row],[Lombardy fit]]+Tabella3[[#This Row],[rest of Italy fit]]</f>
        <v>142.60183932797278</v>
      </c>
      <c r="I86" s="104">
        <f>Kf*_xlfn.LOGNORM.DIST(Tabella3[[#This Row],[Day]],mu_f,sigma_f,FALSE)</f>
        <v>39.503158466307362</v>
      </c>
      <c r="J86" s="10">
        <f>Tabella3[[#This Row],[Italy sum of regions]]*NOT(ISBLANK(Tabella3[[#This Row],[Italy data]]))</f>
        <v>0</v>
      </c>
      <c r="K86" s="10">
        <f>Tabella3[[#This Row],[Italy fit]]*NOT(ISBLANK(Tabella3[[#This Row],[Italy data]]))</f>
        <v>0</v>
      </c>
      <c r="O86" s="10"/>
      <c r="P86" s="10">
        <f>Tabella3[[#This Row],[Lombardy data]]*NOT(ISBLANK(Tabella3[[#This Row],[Lombardy data]]))</f>
        <v>0</v>
      </c>
      <c r="Q86" s="10">
        <f>Tabella8[[#This Row],[Lombardy fit]]</f>
        <v>14340.589802433167</v>
      </c>
      <c r="R86" s="104">
        <f>Kl*_xlfn.LOGNORM.DIST(Tabella3[[#This Row],[Day]],mu_l,sigma_l,FALSE)</f>
        <v>41.53294703429858</v>
      </c>
      <c r="S86" s="10">
        <f>Tabella3[[#This Row],[Lombardy fit]]*NOT(ISBLANK(Tabella3[[#This Row],[Lombardy data]]))</f>
        <v>0</v>
      </c>
      <c r="W86" s="10"/>
      <c r="X86" s="10">
        <f>Tabella3[[#This Row],[rest of Italy data]]*NOT(ISBLANK(Tabella3[[#This Row],[rest of Italy data]]))</f>
        <v>0</v>
      </c>
      <c r="Y86" s="10">
        <f>Tabella8[[#This Row],[rest of Italy fit]]</f>
        <v>15394.014712531936</v>
      </c>
      <c r="Z86" s="104">
        <f>Ka*_xlfn.LOGNORM.DIST(Tabella3[[#This Row],[Day]],mu_a,sigma_a,FALSE)</f>
        <v>101.06889229367421</v>
      </c>
      <c r="AA86" s="10">
        <f>Tabella3[[#This Row],[rest of Italy fit]]*NOT(ISBLANK(Tabella3[[#This Row],[rest of Italy data]]))</f>
        <v>0</v>
      </c>
      <c r="AE86"/>
      <c r="AF86"/>
    </row>
    <row r="87" spans="2:32" x14ac:dyDescent="0.3">
      <c r="B87" s="9">
        <v>43964</v>
      </c>
      <c r="C87" s="4">
        <f t="shared" si="1"/>
        <v>80</v>
      </c>
      <c r="E87" s="10"/>
      <c r="F87" s="10">
        <f>Tabella3[[#This Row],[Italy data]]*NOT(ISBLANK(Tabella3[[#This Row],[Italy data]]))</f>
        <v>0</v>
      </c>
      <c r="G87" s="136">
        <f>Tabella8[[#This Row],[Italy fit]]</f>
        <v>25596.227277914542</v>
      </c>
      <c r="H87" s="109">
        <f>Tabella3[[#This Row],[Lombardy fit]]+Tabella3[[#This Row],[rest of Italy fit]]</f>
        <v>135.47247978521671</v>
      </c>
      <c r="I87" s="104">
        <f>Kf*_xlfn.LOGNORM.DIST(Tabella3[[#This Row],[Day]],mu_f,sigma_f,FALSE)</f>
        <v>36.131237531823814</v>
      </c>
      <c r="J87" s="10">
        <f>Tabella3[[#This Row],[Italy sum of regions]]*NOT(ISBLANK(Tabella3[[#This Row],[Italy data]]))</f>
        <v>0</v>
      </c>
      <c r="K87" s="10">
        <f>Tabella3[[#This Row],[Italy fit]]*NOT(ISBLANK(Tabella3[[#This Row],[Italy data]]))</f>
        <v>0</v>
      </c>
      <c r="O87" s="10"/>
      <c r="P87" s="10">
        <f>Tabella3[[#This Row],[Lombardy data]]*NOT(ISBLANK(Tabella3[[#This Row],[Lombardy data]]))</f>
        <v>0</v>
      </c>
      <c r="Q87" s="10">
        <f>Tabella8[[#This Row],[Lombardy fit]]</f>
        <v>14380.831943528921</v>
      </c>
      <c r="R87" s="104">
        <f>Kl*_xlfn.LOGNORM.DIST(Tabella3[[#This Row],[Day]],mu_l,sigma_l,FALSE)</f>
        <v>38.977860002986759</v>
      </c>
      <c r="S87" s="10">
        <f>Tabella3[[#This Row],[Lombardy fit]]*NOT(ISBLANK(Tabella3[[#This Row],[Lombardy data]]))</f>
        <v>0</v>
      </c>
      <c r="W87" s="10"/>
      <c r="X87" s="10">
        <f>Tabella3[[#This Row],[rest of Italy data]]*NOT(ISBLANK(Tabella3[[#This Row],[rest of Italy data]]))</f>
        <v>0</v>
      </c>
      <c r="Y87" s="10">
        <f>Tabella8[[#This Row],[rest of Italy fit]]</f>
        <v>15492.780701195428</v>
      </c>
      <c r="Z87" s="104">
        <f>Ka*_xlfn.LOGNORM.DIST(Tabella3[[#This Row],[Day]],mu_a,sigma_a,FALSE)</f>
        <v>96.494619782229961</v>
      </c>
      <c r="AA87" s="10">
        <f>Tabella3[[#This Row],[rest of Italy fit]]*NOT(ISBLANK(Tabella3[[#This Row],[rest of Italy data]]))</f>
        <v>0</v>
      </c>
      <c r="AE87"/>
      <c r="AF87"/>
    </row>
    <row r="88" spans="2:32" x14ac:dyDescent="0.3">
      <c r="B88" s="9">
        <v>43965</v>
      </c>
      <c r="C88" s="4">
        <f t="shared" si="1"/>
        <v>81</v>
      </c>
      <c r="E88" s="10"/>
      <c r="F88" s="10">
        <f>Tabella3[[#This Row],[Italy data]]*NOT(ISBLANK(Tabella3[[#This Row],[Italy data]]))</f>
        <v>0</v>
      </c>
      <c r="G88" s="136">
        <f>Tabella8[[#This Row],[Italy fit]]</f>
        <v>25630.791353606222</v>
      </c>
      <c r="H88" s="109">
        <f>Tabella3[[#This Row],[Lombardy fit]]+Tabella3[[#This Row],[rest of Italy fit]]</f>
        <v>128.68437943548037</v>
      </c>
      <c r="I88" s="104">
        <f>Kf*_xlfn.LOGNORM.DIST(Tabella3[[#This Row],[Day]],mu_f,sigma_f,FALSE)</f>
        <v>33.042101244670718</v>
      </c>
      <c r="J88" s="10">
        <f>Tabella3[[#This Row],[Italy sum of regions]]*NOT(ISBLANK(Tabella3[[#This Row],[Italy data]]))</f>
        <v>0</v>
      </c>
      <c r="K88" s="10">
        <f>Tabella3[[#This Row],[Italy fit]]*NOT(ISBLANK(Tabella3[[#This Row],[Italy data]]))</f>
        <v>0</v>
      </c>
      <c r="O88" s="10"/>
      <c r="P88" s="10">
        <f>Tabella3[[#This Row],[Lombardy data]]*NOT(ISBLANK(Tabella3[[#This Row],[Lombardy data]]))</f>
        <v>0</v>
      </c>
      <c r="Q88" s="10">
        <f>Tabella8[[#This Row],[Lombardy fit]]</f>
        <v>14418.597060550243</v>
      </c>
      <c r="R88" s="104">
        <f>Kl*_xlfn.LOGNORM.DIST(Tabella3[[#This Row],[Day]],mu_l,sigma_l,FALSE)</f>
        <v>36.577401179532707</v>
      </c>
      <c r="S88" s="10">
        <f>Tabella3[[#This Row],[Lombardy fit]]*NOT(ISBLANK(Tabella3[[#This Row],[Lombardy data]]))</f>
        <v>0</v>
      </c>
      <c r="W88" s="10"/>
      <c r="X88" s="10">
        <f>Tabella3[[#This Row],[rest of Italy data]]*NOT(ISBLANK(Tabella3[[#This Row],[rest of Italy data]]))</f>
        <v>0</v>
      </c>
      <c r="Y88" s="10">
        <f>Tabella8[[#This Row],[rest of Italy fit]]</f>
        <v>15587.066164348984</v>
      </c>
      <c r="Z88" s="104">
        <f>Ka*_xlfn.LOGNORM.DIST(Tabella3[[#This Row],[Day]],mu_a,sigma_a,FALSE)</f>
        <v>92.106978255947666</v>
      </c>
      <c r="AA88" s="10">
        <f>Tabella3[[#This Row],[rest of Italy fit]]*NOT(ISBLANK(Tabella3[[#This Row],[rest of Italy data]]))</f>
        <v>0</v>
      </c>
      <c r="AE88"/>
      <c r="AF88"/>
    </row>
    <row r="89" spans="2:32" x14ac:dyDescent="0.3">
      <c r="B89" s="9">
        <v>43966</v>
      </c>
      <c r="C89" s="4">
        <f t="shared" si="1"/>
        <v>82</v>
      </c>
      <c r="E89" s="10"/>
      <c r="F89" s="10">
        <f>Tabella3[[#This Row],[Italy data]]*NOT(ISBLANK(Tabella3[[#This Row],[Italy data]]))</f>
        <v>0</v>
      </c>
      <c r="G89" s="136">
        <f>Tabella8[[#This Row],[Italy fit]]</f>
        <v>25662.398157444073</v>
      </c>
      <c r="H89" s="109">
        <f>Tabella3[[#This Row],[Lombardy fit]]+Tabella3[[#This Row],[rest of Italy fit]]</f>
        <v>122.22350353574166</v>
      </c>
      <c r="I89" s="104">
        <f>Kf*_xlfn.LOGNORM.DIST(Tabella3[[#This Row],[Day]],mu_f,sigma_f,FALSE)</f>
        <v>30.213051100073578</v>
      </c>
      <c r="J89" s="10">
        <f>Tabella3[[#This Row],[Italy sum of regions]]*NOT(ISBLANK(Tabella3[[#This Row],[Italy data]]))</f>
        <v>0</v>
      </c>
      <c r="K89" s="10">
        <f>Tabella3[[#This Row],[Italy fit]]*NOT(ISBLANK(Tabella3[[#This Row],[Italy data]]))</f>
        <v>0</v>
      </c>
      <c r="O89" s="10"/>
      <c r="P89" s="10">
        <f>Tabella3[[#This Row],[Lombardy data]]*NOT(ISBLANK(Tabella3[[#This Row],[Lombardy data]]))</f>
        <v>0</v>
      </c>
      <c r="Q89" s="10">
        <f>Tabella8[[#This Row],[Lombardy fit]]</f>
        <v>14454.035357764715</v>
      </c>
      <c r="R89" s="104">
        <f>Kl*_xlfn.LOGNORM.DIST(Tabella3[[#This Row],[Day]],mu_l,sigma_l,FALSE)</f>
        <v>34.322791711533974</v>
      </c>
      <c r="S89" s="10">
        <f>Tabella3[[#This Row],[Lombardy fit]]*NOT(ISBLANK(Tabella3[[#This Row],[Lombardy data]]))</f>
        <v>0</v>
      </c>
      <c r="W89" s="10"/>
      <c r="X89" s="10">
        <f>Tabella3[[#This Row],[rest of Italy data]]*NOT(ISBLANK(Tabella3[[#This Row],[rest of Italy data]]))</f>
        <v>0</v>
      </c>
      <c r="Y89" s="10">
        <f>Tabella8[[#This Row],[rest of Italy fit]]</f>
        <v>15677.055117473876</v>
      </c>
      <c r="Z89" s="104">
        <f>Ka*_xlfn.LOGNORM.DIST(Tabella3[[#This Row],[Day]],mu_a,sigma_a,FALSE)</f>
        <v>87.900711824207676</v>
      </c>
      <c r="AA89" s="10">
        <f>Tabella3[[#This Row],[rest of Italy fit]]*NOT(ISBLANK(Tabella3[[#This Row],[rest of Italy data]]))</f>
        <v>0</v>
      </c>
      <c r="AE89"/>
      <c r="AF89"/>
    </row>
    <row r="90" spans="2:32" x14ac:dyDescent="0.3">
      <c r="B90" s="9">
        <v>43967</v>
      </c>
      <c r="C90" s="4">
        <f t="shared" si="1"/>
        <v>83</v>
      </c>
      <c r="E90" s="10"/>
      <c r="F90" s="10">
        <f>Tabella3[[#This Row],[Italy data]]*NOT(ISBLANK(Tabella3[[#This Row],[Italy data]]))</f>
        <v>0</v>
      </c>
      <c r="G90" s="136">
        <f>Tabella8[[#This Row],[Italy fit]]</f>
        <v>25691.297117891081</v>
      </c>
      <c r="H90" s="109">
        <f>Tabella3[[#This Row],[Lombardy fit]]+Tabella3[[#This Row],[rest of Italy fit]]</f>
        <v>116.07610200922646</v>
      </c>
      <c r="I90" s="104">
        <f>Kf*_xlfn.LOGNORM.DIST(Tabella3[[#This Row],[Day]],mu_f,sigma_f,FALSE)</f>
        <v>27.623039152345775</v>
      </c>
      <c r="J90" s="10">
        <f>Tabella3[[#This Row],[Italy sum of regions]]*NOT(ISBLANK(Tabella3[[#This Row],[Italy data]]))</f>
        <v>0</v>
      </c>
      <c r="K90" s="10">
        <f>Tabella3[[#This Row],[Italy fit]]*NOT(ISBLANK(Tabella3[[#This Row],[Italy data]]))</f>
        <v>0</v>
      </c>
      <c r="O90" s="10"/>
      <c r="P90" s="10">
        <f>Tabella3[[#This Row],[Lombardy data]]*NOT(ISBLANK(Tabella3[[#This Row],[Lombardy data]]))</f>
        <v>0</v>
      </c>
      <c r="Q90" s="10">
        <f>Tabella8[[#This Row],[Lombardy fit]]</f>
        <v>14487.288466799537</v>
      </c>
      <c r="R90" s="104">
        <f>Kl*_xlfn.LOGNORM.DIST(Tabella3[[#This Row],[Day]],mu_l,sigma_l,FALSE)</f>
        <v>32.205664217757771</v>
      </c>
      <c r="S90" s="10">
        <f>Tabella3[[#This Row],[Lombardy fit]]*NOT(ISBLANK(Tabella3[[#This Row],[Lombardy data]]))</f>
        <v>0</v>
      </c>
      <c r="W90" s="10"/>
      <c r="X90" s="10">
        <f>Tabella3[[#This Row],[rest of Italy data]]*NOT(ISBLANK(Tabella3[[#This Row],[rest of Italy data]]))</f>
        <v>0</v>
      </c>
      <c r="Y90" s="10">
        <f>Tabella8[[#This Row],[rest of Italy fit]]</f>
        <v>15762.926253070453</v>
      </c>
      <c r="Z90" s="104">
        <f>Ka*_xlfn.LOGNORM.DIST(Tabella3[[#This Row],[Day]],mu_a,sigma_a,FALSE)</f>
        <v>83.870437791468689</v>
      </c>
      <c r="AA90" s="10">
        <f>Tabella3[[#This Row],[rest of Italy fit]]*NOT(ISBLANK(Tabella3[[#This Row],[rest of Italy data]]))</f>
        <v>0</v>
      </c>
      <c r="AE90"/>
      <c r="AF90"/>
    </row>
    <row r="91" spans="2:32" x14ac:dyDescent="0.3">
      <c r="B91" s="9">
        <v>43968</v>
      </c>
      <c r="C91" s="4">
        <f t="shared" si="1"/>
        <v>84</v>
      </c>
      <c r="E91" s="10"/>
      <c r="F91" s="10">
        <f>Tabella3[[#This Row],[Italy data]]*NOT(ISBLANK(Tabella3[[#This Row],[Italy data]]))</f>
        <v>0</v>
      </c>
      <c r="G91" s="136">
        <f>Tabella8[[#This Row],[Italy fit]]</f>
        <v>25717.717402317983</v>
      </c>
      <c r="H91" s="109">
        <f>Tabella3[[#This Row],[Lombardy fit]]+Tabella3[[#This Row],[rest of Italy fit]]</f>
        <v>110.22874421450435</v>
      </c>
      <c r="I91" s="104">
        <f>Kf*_xlfn.LOGNORM.DIST(Tabella3[[#This Row],[Day]],mu_f,sigma_f,FALSE)</f>
        <v>25.252575790144487</v>
      </c>
      <c r="J91" s="10">
        <f>Tabella3[[#This Row],[Italy sum of regions]]*NOT(ISBLANK(Tabella3[[#This Row],[Italy data]]))</f>
        <v>0</v>
      </c>
      <c r="K91" s="10">
        <f>Tabella3[[#This Row],[Italy fit]]*NOT(ISBLANK(Tabella3[[#This Row],[Italy data]]))</f>
        <v>0</v>
      </c>
      <c r="O91" s="10"/>
      <c r="P91" s="10">
        <f>Tabella3[[#This Row],[Lombardy data]]*NOT(ISBLANK(Tabella3[[#This Row],[Lombardy data]]))</f>
        <v>0</v>
      </c>
      <c r="Q91" s="10">
        <f>Tabella8[[#This Row],[Lombardy fit]]</f>
        <v>14518.489854875801</v>
      </c>
      <c r="R91" s="104">
        <f>Kl*_xlfn.LOGNORM.DIST(Tabella3[[#This Row],[Day]],mu_l,sigma_l,FALSE)</f>
        <v>30.218055951540236</v>
      </c>
      <c r="S91" s="10">
        <f>Tabella3[[#This Row],[Lombardy fit]]*NOT(ISBLANK(Tabella3[[#This Row],[Lombardy data]]))</f>
        <v>0</v>
      </c>
      <c r="W91" s="10"/>
      <c r="X91" s="10">
        <f>Tabella3[[#This Row],[rest of Italy data]]*NOT(ISBLANK(Tabella3[[#This Row],[rest of Italy data]]))</f>
        <v>0</v>
      </c>
      <c r="Y91" s="10">
        <f>Tabella8[[#This Row],[rest of Italy fit]]</f>
        <v>15844.852835092111</v>
      </c>
      <c r="Z91" s="104">
        <f>Ka*_xlfn.LOGNORM.DIST(Tabella3[[#This Row],[Day]],mu_a,sigma_a,FALSE)</f>
        <v>80.010688262964109</v>
      </c>
      <c r="AA91" s="10">
        <f>Tabella3[[#This Row],[rest of Italy fit]]*NOT(ISBLANK(Tabella3[[#This Row],[rest of Italy data]]))</f>
        <v>0</v>
      </c>
      <c r="AE91"/>
      <c r="AF91"/>
    </row>
    <row r="92" spans="2:32" x14ac:dyDescent="0.3">
      <c r="B92" s="9">
        <v>43969</v>
      </c>
      <c r="C92" s="4">
        <f t="shared" si="1"/>
        <v>85</v>
      </c>
      <c r="E92" s="10"/>
      <c r="F92" s="10">
        <f>Tabella3[[#This Row],[Italy data]]*NOT(ISBLANK(Tabella3[[#This Row],[Italy data]]))</f>
        <v>0</v>
      </c>
      <c r="G92" s="136">
        <f>Tabella8[[#This Row],[Italy fit]]</f>
        <v>25741.869429345697</v>
      </c>
      <c r="H92" s="109">
        <f>Tabella3[[#This Row],[Lombardy fit]]+Tabella3[[#This Row],[rest of Italy fit]]</f>
        <v>104.66834676074603</v>
      </c>
      <c r="I92" s="104">
        <f>Kf*_xlfn.LOGNORM.DIST(Tabella3[[#This Row],[Day]],mu_f,sigma_f,FALSE)</f>
        <v>23.083637912405862</v>
      </c>
      <c r="J92" s="10">
        <f>Tabella3[[#This Row],[Italy sum of regions]]*NOT(ISBLANK(Tabella3[[#This Row],[Italy data]]))</f>
        <v>0</v>
      </c>
      <c r="K92" s="10">
        <f>Tabella3[[#This Row],[Italy fit]]*NOT(ISBLANK(Tabella3[[#This Row],[Italy data]]))</f>
        <v>0</v>
      </c>
      <c r="O92" s="10"/>
      <c r="P92" s="10">
        <f>Tabella3[[#This Row],[Lombardy data]]*NOT(ISBLANK(Tabella3[[#This Row],[Lombardy data]]))</f>
        <v>0</v>
      </c>
      <c r="Q92" s="10">
        <f>Tabella8[[#This Row],[Lombardy fit]]</f>
        <v>14547.765225191835</v>
      </c>
      <c r="R92" s="104">
        <f>Kl*_xlfn.LOGNORM.DIST(Tabella3[[#This Row],[Day]],mu_l,sigma_l,FALSE)</f>
        <v>28.35240000753512</v>
      </c>
      <c r="S92" s="10">
        <f>Tabella3[[#This Row],[Lombardy fit]]*NOT(ISBLANK(Tabella3[[#This Row],[Lombardy data]]))</f>
        <v>0</v>
      </c>
      <c r="W92" s="10"/>
      <c r="X92" s="10">
        <f>Tabella3[[#This Row],[rest of Italy data]]*NOT(ISBLANK(Tabella3[[#This Row],[rest of Italy data]]))</f>
        <v>0</v>
      </c>
      <c r="Y92" s="10">
        <f>Tabella8[[#This Row],[rest of Italy fit]]</f>
        <v>15923.002632447486</v>
      </c>
      <c r="Z92" s="104">
        <f>Ka*_xlfn.LOGNORM.DIST(Tabella3[[#This Row],[Day]],mu_a,sigma_a,FALSE)</f>
        <v>76.315946753210909</v>
      </c>
      <c r="AA92" s="10">
        <f>Tabella3[[#This Row],[rest of Italy fit]]*NOT(ISBLANK(Tabella3[[#This Row],[rest of Italy data]]))</f>
        <v>0</v>
      </c>
      <c r="AE92"/>
      <c r="AF92"/>
    </row>
    <row r="93" spans="2:32" x14ac:dyDescent="0.3">
      <c r="B93" s="9">
        <v>43970</v>
      </c>
      <c r="C93" s="4">
        <f t="shared" si="1"/>
        <v>86</v>
      </c>
      <c r="E93" s="10"/>
      <c r="F93" s="10">
        <f>Tabella3[[#This Row],[Italy data]]*NOT(ISBLANK(Tabella3[[#This Row],[Italy data]]))</f>
        <v>0</v>
      </c>
      <c r="G93" s="136">
        <f>Tabella8[[#This Row],[Italy fit]]</f>
        <v>25763.946290001615</v>
      </c>
      <c r="H93" s="109">
        <f>Tabella3[[#This Row],[Lombardy fit]]+Tabella3[[#This Row],[rest of Italy fit]]</f>
        <v>99.382195223829726</v>
      </c>
      <c r="I93" s="104">
        <f>Kf*_xlfn.LOGNORM.DIST(Tabella3[[#This Row],[Day]],mu_f,sigma_f,FALSE)</f>
        <v>21.099578531204656</v>
      </c>
      <c r="J93" s="10">
        <f>Tabella3[[#This Row],[Italy sum of regions]]*NOT(ISBLANK(Tabella3[[#This Row],[Italy data]]))</f>
        <v>0</v>
      </c>
      <c r="K93" s="10">
        <f>Tabella3[[#This Row],[Italy fit]]*NOT(ISBLANK(Tabella3[[#This Row],[Italy data]]))</f>
        <v>0</v>
      </c>
      <c r="O93" s="10"/>
      <c r="P93" s="10">
        <f>Tabella3[[#This Row],[Lombardy data]]*NOT(ISBLANK(Tabella3[[#This Row],[Lombardy data]]))</f>
        <v>0</v>
      </c>
      <c r="Q93" s="10">
        <f>Tabella8[[#This Row],[Lombardy fit]]</f>
        <v>14575.232907705064</v>
      </c>
      <c r="R93" s="104">
        <f>Kl*_xlfn.LOGNORM.DIST(Tabella3[[#This Row],[Day]],mu_l,sigma_l,FALSE)</f>
        <v>26.601514974339977</v>
      </c>
      <c r="S93" s="10">
        <f>Tabella3[[#This Row],[Lombardy fit]]*NOT(ISBLANK(Tabella3[[#This Row],[Lombardy data]]))</f>
        <v>0</v>
      </c>
      <c r="W93" s="10"/>
      <c r="X93" s="10">
        <f>Tabella3[[#This Row],[rest of Italy data]]*NOT(ISBLANK(Tabella3[[#This Row],[rest of Italy data]]))</f>
        <v>0</v>
      </c>
      <c r="Y93" s="10">
        <f>Tabella8[[#This Row],[rest of Italy fit]]</f>
        <v>15997.537886802136</v>
      </c>
      <c r="Z93" s="104">
        <f>Ka*_xlfn.LOGNORM.DIST(Tabella3[[#This Row],[Day]],mu_a,sigma_a,FALSE)</f>
        <v>72.780680249489748</v>
      </c>
      <c r="AA93" s="10">
        <f>Tabella3[[#This Row],[rest of Italy fit]]*NOT(ISBLANK(Tabella3[[#This Row],[rest of Italy data]]))</f>
        <v>0</v>
      </c>
      <c r="AE93"/>
      <c r="AF93"/>
    </row>
    <row r="94" spans="2:32" x14ac:dyDescent="0.3">
      <c r="B94" s="9">
        <v>43971</v>
      </c>
      <c r="C94" s="4">
        <f t="shared" si="1"/>
        <v>87</v>
      </c>
      <c r="E94" s="10"/>
      <c r="F94" s="10">
        <f>Tabella3[[#This Row],[Italy data]]*NOT(ISBLANK(Tabella3[[#This Row],[Italy data]]))</f>
        <v>0</v>
      </c>
      <c r="G94" s="136">
        <f>Tabella8[[#This Row],[Italy fit]]</f>
        <v>25784.125079533951</v>
      </c>
      <c r="H94" s="109">
        <f>Tabella3[[#This Row],[Lombardy fit]]+Tabella3[[#This Row],[rest of Italy fit]]</f>
        <v>94.357960531930445</v>
      </c>
      <c r="I94" s="104">
        <f>Kf*_xlfn.LOGNORM.DIST(Tabella3[[#This Row],[Day]],mu_f,sigma_f,FALSE)</f>
        <v>19.285038601363304</v>
      </c>
      <c r="J94" s="10">
        <f>Tabella3[[#This Row],[Italy sum of regions]]*NOT(ISBLANK(Tabella3[[#This Row],[Italy data]]))</f>
        <v>0</v>
      </c>
      <c r="K94" s="10">
        <f>Tabella3[[#This Row],[Italy fit]]*NOT(ISBLANK(Tabella3[[#This Row],[Italy data]]))</f>
        <v>0</v>
      </c>
      <c r="O94" s="10"/>
      <c r="P94" s="10">
        <f>Tabella3[[#This Row],[Lombardy data]]*NOT(ISBLANK(Tabella3[[#This Row],[Lombardy data]]))</f>
        <v>0</v>
      </c>
      <c r="Q94" s="10">
        <f>Tabella8[[#This Row],[Lombardy fit]]</f>
        <v>14601.004238936182</v>
      </c>
      <c r="R94" s="104">
        <f>Kl*_xlfn.LOGNORM.DIST(Tabella3[[#This Row],[Day]],mu_l,sigma_l,FALSE)</f>
        <v>24.958593379904325</v>
      </c>
      <c r="S94" s="10">
        <f>Tabella3[[#This Row],[Lombardy fit]]*NOT(ISBLANK(Tabella3[[#This Row],[Lombardy data]]))</f>
        <v>0</v>
      </c>
      <c r="W94" s="10"/>
      <c r="X94" s="10">
        <f>Tabella3[[#This Row],[rest of Italy data]]*NOT(ISBLANK(Tabella3[[#This Row],[rest of Italy data]]))</f>
        <v>0</v>
      </c>
      <c r="Y94" s="10">
        <f>Tabella8[[#This Row],[rest of Italy fit]]</f>
        <v>16068.615310348303</v>
      </c>
      <c r="Z94" s="104">
        <f>Ka*_xlfn.LOGNORM.DIST(Tabella3[[#This Row],[Day]],mu_a,sigma_a,FALSE)</f>
        <v>69.399367152026116</v>
      </c>
      <c r="AA94" s="10">
        <f>Tabella3[[#This Row],[rest of Italy fit]]*NOT(ISBLANK(Tabella3[[#This Row],[rest of Italy data]]))</f>
        <v>0</v>
      </c>
      <c r="AE94"/>
      <c r="AF94"/>
    </row>
    <row r="95" spans="2:32" x14ac:dyDescent="0.3">
      <c r="B95" s="9">
        <v>43972</v>
      </c>
      <c r="C95" s="4">
        <f t="shared" si="1"/>
        <v>88</v>
      </c>
      <c r="E95" s="10"/>
      <c r="F95" s="10">
        <f>Tabella3[[#This Row],[Italy data]]*NOT(ISBLANK(Tabella3[[#This Row],[Italy data]]))</f>
        <v>0</v>
      </c>
      <c r="G95" s="136">
        <f>Tabella8[[#This Row],[Italy fit]]</f>
        <v>25802.568142429911</v>
      </c>
      <c r="H95" s="109">
        <f>Tabella3[[#This Row],[Lombardy fit]]+Tabella3[[#This Row],[rest of Italy fit]]</f>
        <v>89.583710710266189</v>
      </c>
      <c r="I95" s="104">
        <f>Kf*_xlfn.LOGNORM.DIST(Tabella3[[#This Row],[Day]],mu_f,sigma_f,FALSE)</f>
        <v>17.625861685819821</v>
      </c>
      <c r="J95" s="10">
        <f>Tabella3[[#This Row],[Italy sum of regions]]*NOT(ISBLANK(Tabella3[[#This Row],[Italy data]]))</f>
        <v>0</v>
      </c>
      <c r="K95" s="10">
        <f>Tabella3[[#This Row],[Italy fit]]*NOT(ISBLANK(Tabella3[[#This Row],[Italy data]]))</f>
        <v>0</v>
      </c>
      <c r="O95" s="10"/>
      <c r="P95" s="10">
        <f>Tabella3[[#This Row],[Lombardy data]]*NOT(ISBLANK(Tabella3[[#This Row],[Lombardy data]]))</f>
        <v>0</v>
      </c>
      <c r="Q95" s="10">
        <f>Tabella8[[#This Row],[Lombardy fit]]</f>
        <v>14625.183929740999</v>
      </c>
      <c r="R95" s="104">
        <f>Kl*_xlfn.LOGNORM.DIST(Tabella3[[#This Row],[Day]],mu_l,sigma_l,FALSE)</f>
        <v>23.417189227429056</v>
      </c>
      <c r="S95" s="10">
        <f>Tabella3[[#This Row],[Lombardy fit]]*NOT(ISBLANK(Tabella3[[#This Row],[Lombardy data]]))</f>
        <v>0</v>
      </c>
      <c r="W95" s="10"/>
      <c r="X95" s="10">
        <f>Tabella3[[#This Row],[rest of Italy data]]*NOT(ISBLANK(Tabella3[[#This Row],[rest of Italy data]]))</f>
        <v>0</v>
      </c>
      <c r="Y95" s="10">
        <f>Tabella8[[#This Row],[rest of Italy fit]]</f>
        <v>16136.386109617586</v>
      </c>
      <c r="Z95" s="104">
        <f>Ka*_xlfn.LOGNORM.DIST(Tabella3[[#This Row],[Day]],mu_a,sigma_a,FALSE)</f>
        <v>66.16652148283714</v>
      </c>
      <c r="AA95" s="10">
        <f>Tabella3[[#This Row],[rest of Italy fit]]*NOT(ISBLANK(Tabella3[[#This Row],[rest of Italy data]]))</f>
        <v>0</v>
      </c>
      <c r="AE95"/>
      <c r="AF95"/>
    </row>
    <row r="96" spans="2:32" x14ac:dyDescent="0.3">
      <c r="B96" s="9">
        <v>43973</v>
      </c>
      <c r="C96" s="4">
        <f t="shared" si="1"/>
        <v>89</v>
      </c>
      <c r="E96" s="10"/>
      <c r="F96" s="10">
        <f>Tabella3[[#This Row],[Italy data]]*NOT(ISBLANK(Tabella3[[#This Row],[Italy data]]))</f>
        <v>0</v>
      </c>
      <c r="G96" s="136">
        <f>Tabella8[[#This Row],[Italy fit]]</f>
        <v>25819.4242337102</v>
      </c>
      <c r="H96" s="109">
        <f>Tabella3[[#This Row],[Lombardy fit]]+Tabella3[[#This Row],[rest of Italy fit]]</f>
        <v>85.047918602353448</v>
      </c>
      <c r="I96" s="104">
        <f>Kf*_xlfn.LOGNORM.DIST(Tabella3[[#This Row],[Day]],mu_f,sigma_f,FALSE)</f>
        <v>16.109011905936139</v>
      </c>
      <c r="J96" s="10">
        <f>Tabella3[[#This Row],[Italy sum of regions]]*NOT(ISBLANK(Tabella3[[#This Row],[Italy data]]))</f>
        <v>0</v>
      </c>
      <c r="K96" s="10">
        <f>Tabella3[[#This Row],[Italy fit]]*NOT(ISBLANK(Tabella3[[#This Row],[Italy data]]))</f>
        <v>0</v>
      </c>
      <c r="O96" s="10"/>
      <c r="P96" s="10">
        <f>Tabella3[[#This Row],[Lombardy data]]*NOT(ISBLANK(Tabella3[[#This Row],[Lombardy data]]))</f>
        <v>0</v>
      </c>
      <c r="Q96" s="10">
        <f>Tabella8[[#This Row],[Lombardy fit]]</f>
        <v>14647.870420271101</v>
      </c>
      <c r="R96" s="104">
        <f>Kl*_xlfn.LOGNORM.DIST(Tabella3[[#This Row],[Day]],mu_l,sigma_l,FALSE)</f>
        <v>21.971204876052226</v>
      </c>
      <c r="S96" s="10">
        <f>Tabella3[[#This Row],[Lombardy fit]]*NOT(ISBLANK(Tabella3[[#This Row],[Lombardy data]]))</f>
        <v>0</v>
      </c>
      <c r="W96" s="10"/>
      <c r="X96" s="10">
        <f>Tabella3[[#This Row],[rest of Italy data]]*NOT(ISBLANK(Tabella3[[#This Row],[rest of Italy data]]))</f>
        <v>0</v>
      </c>
      <c r="Y96" s="10">
        <f>Tabella8[[#This Row],[rest of Italy fit]]</f>
        <v>16200.996031789373</v>
      </c>
      <c r="Z96" s="104">
        <f>Ka*_xlfn.LOGNORM.DIST(Tabella3[[#This Row],[Day]],mu_a,sigma_a,FALSE)</f>
        <v>63.076713726301222</v>
      </c>
      <c r="AA96" s="10">
        <f>Tabella3[[#This Row],[rest of Italy fit]]*NOT(ISBLANK(Tabella3[[#This Row],[rest of Italy data]]))</f>
        <v>0</v>
      </c>
      <c r="AE96"/>
      <c r="AF96"/>
    </row>
    <row r="97" spans="2:32" x14ac:dyDescent="0.3">
      <c r="B97" s="9">
        <v>43974</v>
      </c>
      <c r="C97" s="4">
        <f t="shared" si="1"/>
        <v>90</v>
      </c>
      <c r="E97" s="10"/>
      <c r="F97" s="10">
        <f>Tabella3[[#This Row],[Italy data]]*NOT(ISBLANK(Tabella3[[#This Row],[Italy data]]))</f>
        <v>0</v>
      </c>
      <c r="G97" s="136">
        <f>Tabella8[[#This Row],[Italy fit]]</f>
        <v>25834.829599952984</v>
      </c>
      <c r="H97" s="109">
        <f>Tabella3[[#This Row],[Lombardy fit]]+Tabella3[[#This Row],[rest of Italy fit]]</f>
        <v>80.739466119172477</v>
      </c>
      <c r="I97" s="104">
        <f>Kf*_xlfn.LOGNORM.DIST(Tabella3[[#This Row],[Day]],mu_f,sigma_f,FALSE)</f>
        <v>14.722495493007385</v>
      </c>
      <c r="J97" s="10">
        <f>Tabella3[[#This Row],[Italy sum of regions]]*NOT(ISBLANK(Tabella3[[#This Row],[Italy data]]))</f>
        <v>0</v>
      </c>
      <c r="K97" s="10">
        <f>Tabella3[[#This Row],[Italy fit]]*NOT(ISBLANK(Tabella3[[#This Row],[Italy data]]))</f>
        <v>0</v>
      </c>
      <c r="O97" s="10"/>
      <c r="P97" s="10">
        <f>Tabella3[[#This Row],[Lombardy data]]*NOT(ISBLANK(Tabella3[[#This Row],[Lombardy data]]))</f>
        <v>0</v>
      </c>
      <c r="Q97" s="10">
        <f>Tabella8[[#This Row],[Lombardy fit]]</f>
        <v>14669.156221579084</v>
      </c>
      <c r="R97" s="104">
        <f>Kl*_xlfn.LOGNORM.DIST(Tabella3[[#This Row],[Day]],mu_l,sigma_l,FALSE)</f>
        <v>20.614877482433318</v>
      </c>
      <c r="S97" s="10">
        <f>Tabella3[[#This Row],[Lombardy fit]]*NOT(ISBLANK(Tabella3[[#This Row],[Lombardy data]]))</f>
        <v>0</v>
      </c>
      <c r="W97" s="10"/>
      <c r="X97" s="10">
        <f>Tabella3[[#This Row],[rest of Italy data]]*NOT(ISBLANK(Tabella3[[#This Row],[rest of Italy data]]))</f>
        <v>0</v>
      </c>
      <c r="Y97" s="10">
        <f>Tabella8[[#This Row],[rest of Italy fit]]</f>
        <v>16262.585430296474</v>
      </c>
      <c r="Z97" s="104">
        <f>Ka*_xlfn.LOGNORM.DIST(Tabella3[[#This Row],[Day]],mu_a,sigma_a,FALSE)</f>
        <v>60.124588636739162</v>
      </c>
      <c r="AA97" s="10">
        <f>Tabella3[[#This Row],[rest of Italy fit]]*NOT(ISBLANK(Tabella3[[#This Row],[rest of Italy data]]))</f>
        <v>0</v>
      </c>
      <c r="AE97"/>
      <c r="AF97"/>
    </row>
    <row r="98" spans="2:32" x14ac:dyDescent="0.3">
      <c r="B98" s="9">
        <v>43975</v>
      </c>
      <c r="C98" s="4">
        <f t="shared" si="1"/>
        <v>91</v>
      </c>
      <c r="E98" s="10"/>
      <c r="F98" s="10">
        <f>Tabella3[[#This Row],[Italy data]]*NOT(ISBLANK(Tabella3[[#This Row],[Italy data]]))</f>
        <v>0</v>
      </c>
      <c r="G98" s="136">
        <f>Tabella8[[#This Row],[Italy fit]]</f>
        <v>25848.908983760033</v>
      </c>
      <c r="H98" s="109">
        <f>Tabella3[[#This Row],[Lombardy fit]]+Tabella3[[#This Row],[rest of Italy fit]]</f>
        <v>76.647645507620396</v>
      </c>
      <c r="I98" s="104">
        <f>Kf*_xlfn.LOGNORM.DIST(Tabella3[[#This Row],[Day]],mu_f,sigma_f,FALSE)</f>
        <v>13.455286147508343</v>
      </c>
      <c r="J98" s="10">
        <f>Tabella3[[#This Row],[Italy sum of regions]]*NOT(ISBLANK(Tabella3[[#This Row],[Italy data]]))</f>
        <v>0</v>
      </c>
      <c r="K98" s="10">
        <f>Tabella3[[#This Row],[Italy fit]]*NOT(ISBLANK(Tabella3[[#This Row],[Italy data]]))</f>
        <v>0</v>
      </c>
      <c r="O98" s="10"/>
      <c r="P98" s="10">
        <f>Tabella3[[#This Row],[Lombardy data]]*NOT(ISBLANK(Tabella3[[#This Row],[Lombardy data]]))</f>
        <v>0</v>
      </c>
      <c r="Q98" s="10">
        <f>Tabella8[[#This Row],[Lombardy fit]]</f>
        <v>14689.128243523186</v>
      </c>
      <c r="R98" s="104">
        <f>Kl*_xlfn.LOGNORM.DIST(Tabella3[[#This Row],[Day]],mu_l,sigma_l,FALSE)</f>
        <v>19.342765185845121</v>
      </c>
      <c r="S98" s="10">
        <f>Tabella3[[#This Row],[Lombardy fit]]*NOT(ISBLANK(Tabella3[[#This Row],[Lombardy data]]))</f>
        <v>0</v>
      </c>
      <c r="W98" s="10"/>
      <c r="X98" s="10">
        <f>Tabella3[[#This Row],[rest of Italy data]]*NOT(ISBLANK(Tabella3[[#This Row],[rest of Italy data]]))</f>
        <v>0</v>
      </c>
      <c r="Y98" s="10">
        <f>Tabella8[[#This Row],[rest of Italy fit]]</f>
        <v>16321.289346851547</v>
      </c>
      <c r="Z98" s="104">
        <f>Ka*_xlfn.LOGNORM.DIST(Tabella3[[#This Row],[Day]],mu_a,sigma_a,FALSE)</f>
        <v>57.304880321775279</v>
      </c>
      <c r="AA98" s="10">
        <f>Tabella3[[#This Row],[rest of Italy fit]]*NOT(ISBLANK(Tabella3[[#This Row],[rest of Italy data]]))</f>
        <v>0</v>
      </c>
      <c r="AE98"/>
      <c r="AF98"/>
    </row>
    <row r="99" spans="2:32" x14ac:dyDescent="0.3">
      <c r="B99" s="9">
        <v>43976</v>
      </c>
      <c r="C99" s="4">
        <f t="shared" si="1"/>
        <v>92</v>
      </c>
      <c r="E99" s="10"/>
      <c r="F99" s="10">
        <f>Tabella3[[#This Row],[Italy data]]*NOT(ISBLANK(Tabella3[[#This Row],[Italy data]]))</f>
        <v>0</v>
      </c>
      <c r="G99" s="136">
        <f>Tabella8[[#This Row],[Italy fit]]</f>
        <v>25861.776555537897</v>
      </c>
      <c r="H99" s="109">
        <f>Tabella3[[#This Row],[Lombardy fit]]+Tabella3[[#This Row],[rest of Italy fit]]</f>
        <v>72.762158075133058</v>
      </c>
      <c r="I99" s="104">
        <f>Kf*_xlfn.LOGNORM.DIST(Tabella3[[#This Row],[Day]],mu_f,sigma_f,FALSE)</f>
        <v>12.297254322818615</v>
      </c>
      <c r="J99" s="10">
        <f>Tabella3[[#This Row],[Italy sum of regions]]*NOT(ISBLANK(Tabella3[[#This Row],[Italy data]]))</f>
        <v>0</v>
      </c>
      <c r="K99" s="10">
        <f>Tabella3[[#This Row],[Italy fit]]*NOT(ISBLANK(Tabella3[[#This Row],[Italy data]]))</f>
        <v>0</v>
      </c>
      <c r="O99" s="10"/>
      <c r="P99" s="10">
        <f>Tabella3[[#This Row],[Lombardy data]]*NOT(ISBLANK(Tabella3[[#This Row],[Lombardy data]]))</f>
        <v>0</v>
      </c>
      <c r="Q99" s="10">
        <f>Tabella8[[#This Row],[Lombardy fit]]</f>
        <v>14707.868108793768</v>
      </c>
      <c r="R99" s="104">
        <f>Kl*_xlfn.LOGNORM.DIST(Tabella3[[#This Row],[Day]],mu_l,sigma_l,FALSE)</f>
        <v>18.149733190070034</v>
      </c>
      <c r="S99" s="10">
        <f>Tabella3[[#This Row],[Lombardy fit]]*NOT(ISBLANK(Tabella3[[#This Row],[Lombardy data]]))</f>
        <v>0</v>
      </c>
      <c r="W99" s="10"/>
      <c r="X99" s="10">
        <f>Tabella3[[#This Row],[rest of Italy data]]*NOT(ISBLANK(Tabella3[[#This Row],[rest of Italy data]]))</f>
        <v>0</v>
      </c>
      <c r="Y99" s="10">
        <f>Tabella8[[#This Row],[rest of Italy fit]]</f>
        <v>16377.237607314011</v>
      </c>
      <c r="Z99" s="104">
        <f>Ka*_xlfn.LOGNORM.DIST(Tabella3[[#This Row],[Day]],mu_a,sigma_a,FALSE)</f>
        <v>54.612424885063021</v>
      </c>
      <c r="AA99" s="10">
        <f>Tabella3[[#This Row],[rest of Italy fit]]*NOT(ISBLANK(Tabella3[[#This Row],[rest of Italy data]]))</f>
        <v>0</v>
      </c>
      <c r="AE99"/>
      <c r="AF99"/>
    </row>
    <row r="100" spans="2:32" x14ac:dyDescent="0.3">
      <c r="B100" s="9">
        <v>43977</v>
      </c>
      <c r="C100" s="4">
        <f t="shared" si="1"/>
        <v>93</v>
      </c>
      <c r="E100" s="10"/>
      <c r="F100" s="10">
        <f>Tabella3[[#This Row],[Italy data]]*NOT(ISBLANK(Tabella3[[#This Row],[Italy data]]))</f>
        <v>0</v>
      </c>
      <c r="G100" s="136">
        <f>Tabella8[[#This Row],[Italy fit]]</f>
        <v>25873.536776546018</v>
      </c>
      <c r="H100" s="109">
        <f>Tabella3[[#This Row],[Lombardy fit]]+Tabella3[[#This Row],[rest of Italy fit]]</f>
        <v>69.073110758043526</v>
      </c>
      <c r="I100" s="104">
        <f>Kf*_xlfn.LOGNORM.DIST(Tabella3[[#This Row],[Day]],mu_f,sigma_f,FALSE)</f>
        <v>11.239100477415207</v>
      </c>
      <c r="J100" s="10">
        <f>Tabella3[[#This Row],[Italy sum of regions]]*NOT(ISBLANK(Tabella3[[#This Row],[Italy data]]))</f>
        <v>0</v>
      </c>
      <c r="K100" s="10">
        <f>Tabella3[[#This Row],[Italy fit]]*NOT(ISBLANK(Tabella3[[#This Row],[Italy data]]))</f>
        <v>0</v>
      </c>
      <c r="O100" s="10"/>
      <c r="P100" s="10">
        <f>Tabella3[[#This Row],[Lombardy data]]*NOT(ISBLANK(Tabella3[[#This Row],[Lombardy data]]))</f>
        <v>0</v>
      </c>
      <c r="Q100" s="10">
        <f>Tabella8[[#This Row],[Lombardy fit]]</f>
        <v>14725.452453024269</v>
      </c>
      <c r="R100" s="104">
        <f>Kl*_xlfn.LOGNORM.DIST(Tabella3[[#This Row],[Day]],mu_l,sigma_l,FALSE)</f>
        <v>17.030939869830185</v>
      </c>
      <c r="S100" s="10">
        <f>Tabella3[[#This Row],[Lombardy fit]]*NOT(ISBLANK(Tabella3[[#This Row],[Lombardy data]]))</f>
        <v>0</v>
      </c>
      <c r="W100" s="10"/>
      <c r="X100" s="10">
        <f>Tabella3[[#This Row],[rest of Italy data]]*NOT(ISBLANK(Tabella3[[#This Row],[rest of Italy data]]))</f>
        <v>0</v>
      </c>
      <c r="Y100" s="10">
        <f>Tabella8[[#This Row],[rest of Italy fit]]</f>
        <v>16430.554929088499</v>
      </c>
      <c r="Z100" s="104">
        <f>Ka*_xlfn.LOGNORM.DIST(Tabella3[[#This Row],[Day]],mu_a,sigma_a,FALSE)</f>
        <v>52.042170888213342</v>
      </c>
      <c r="AA100" s="10">
        <f>Tabella3[[#This Row],[rest of Italy fit]]*NOT(ISBLANK(Tabella3[[#This Row],[rest of Italy data]]))</f>
        <v>0</v>
      </c>
      <c r="AE100"/>
      <c r="AF100"/>
    </row>
    <row r="101" spans="2:32" x14ac:dyDescent="0.3">
      <c r="B101" s="9">
        <v>43978</v>
      </c>
      <c r="C101" s="4">
        <f t="shared" si="1"/>
        <v>94</v>
      </c>
      <c r="E101" s="10"/>
      <c r="F101" s="10">
        <f>Tabella3[[#This Row],[Italy data]]*NOT(ISBLANK(Tabella3[[#This Row],[Italy data]]))</f>
        <v>0</v>
      </c>
      <c r="G101" s="136">
        <f>Tabella8[[#This Row],[Italy fit]]</f>
        <v>25884.285197177374</v>
      </c>
      <c r="H101" s="109">
        <f>Tabella3[[#This Row],[Lombardy fit]]+Tabella3[[#This Row],[rest of Italy fit]]</f>
        <v>65.571010876661347</v>
      </c>
      <c r="I101" s="104">
        <f>Kf*_xlfn.LOGNORM.DIST(Tabella3[[#This Row],[Day]],mu_f,sigma_f,FALSE)</f>
        <v>10.272292281254559</v>
      </c>
      <c r="J101" s="10">
        <f>Tabella3[[#This Row],[Italy sum of regions]]*NOT(ISBLANK(Tabella3[[#This Row],[Italy data]]))</f>
        <v>0</v>
      </c>
      <c r="K101" s="10">
        <f>Tabella3[[#This Row],[Italy fit]]*NOT(ISBLANK(Tabella3[[#This Row],[Italy data]]))</f>
        <v>0</v>
      </c>
      <c r="O101" s="10"/>
      <c r="P101" s="10">
        <f>Tabella3[[#This Row],[Lombardy data]]*NOT(ISBLANK(Tabella3[[#This Row],[Lombardy data]]))</f>
        <v>0</v>
      </c>
      <c r="Q101" s="10">
        <f>Tabella8[[#This Row],[Lombardy fit]]</f>
        <v>14741.953211065689</v>
      </c>
      <c r="R101" s="104">
        <f>Kl*_xlfn.LOGNORM.DIST(Tabella3[[#This Row],[Day]],mu_l,sigma_l,FALSE)</f>
        <v>15.981823007236285</v>
      </c>
      <c r="S101" s="10">
        <f>Tabella3[[#This Row],[Lombardy fit]]*NOT(ISBLANK(Tabella3[[#This Row],[Lombardy data]]))</f>
        <v>0</v>
      </c>
      <c r="W101" s="10"/>
      <c r="X101" s="10">
        <f>Tabella3[[#This Row],[rest of Italy data]]*NOT(ISBLANK(Tabella3[[#This Row],[rest of Italy data]]))</f>
        <v>0</v>
      </c>
      <c r="Y101" s="10">
        <f>Tabella8[[#This Row],[rest of Italy fit]]</f>
        <v>16481.361037994786</v>
      </c>
      <c r="Z101" s="104">
        <f>Ka*_xlfn.LOGNORM.DIST(Tabella3[[#This Row],[Day]],mu_a,sigma_a,FALSE)</f>
        <v>49.589187869425068</v>
      </c>
      <c r="AA101" s="10">
        <f>Tabella3[[#This Row],[rest of Italy fit]]*NOT(ISBLANK(Tabella3[[#This Row],[rest of Italy data]]))</f>
        <v>0</v>
      </c>
      <c r="AE101"/>
      <c r="AF101"/>
    </row>
    <row r="102" spans="2:32" x14ac:dyDescent="0.3">
      <c r="B102" s="9">
        <v>43979</v>
      </c>
      <c r="C102" s="4">
        <f t="shared" si="1"/>
        <v>95</v>
      </c>
      <c r="E102" s="10"/>
      <c r="F102" s="10">
        <f>Tabella3[[#This Row],[Italy data]]*NOT(ISBLANK(Tabella3[[#This Row],[Italy data]]))</f>
        <v>0</v>
      </c>
      <c r="G102" s="136">
        <f>Tabella8[[#This Row],[Italy fit]]</f>
        <v>25894.10919439916</v>
      </c>
      <c r="H102" s="109">
        <f>Tabella3[[#This Row],[Lombardy fit]]+Tabella3[[#This Row],[rest of Italy fit]]</f>
        <v>62.246759379886591</v>
      </c>
      <c r="I102" s="104">
        <f>Kf*_xlfn.LOGNORM.DIST(Tabella3[[#This Row],[Day]],mu_f,sigma_f,FALSE)</f>
        <v>9.3890057160739495</v>
      </c>
      <c r="J102" s="10">
        <f>Tabella3[[#This Row],[Italy sum of regions]]*NOT(ISBLANK(Tabella3[[#This Row],[Italy data]]))</f>
        <v>0</v>
      </c>
      <c r="K102" s="10">
        <f>Tabella3[[#This Row],[Italy fit]]*NOT(ISBLANK(Tabella3[[#This Row],[Italy data]]))</f>
        <v>0</v>
      </c>
      <c r="O102" s="10"/>
      <c r="P102" s="10">
        <f>Tabella3[[#This Row],[Lombardy data]]*NOT(ISBLANK(Tabella3[[#This Row],[Lombardy data]]))</f>
        <v>0</v>
      </c>
      <c r="Q102" s="10">
        <f>Tabella8[[#This Row],[Lombardy fit]]</f>
        <v>14757.437889599149</v>
      </c>
      <c r="R102" s="104">
        <f>Kl*_xlfn.LOGNORM.DIST(Tabella3[[#This Row],[Day]],mu_l,sigma_l,FALSE)</f>
        <v>14.998086244451498</v>
      </c>
      <c r="S102" s="10">
        <f>Tabella3[[#This Row],[Lombardy fit]]*NOT(ISBLANK(Tabella3[[#This Row],[Lombardy data]]))</f>
        <v>0</v>
      </c>
      <c r="W102" s="10"/>
      <c r="X102" s="10">
        <f>Tabella3[[#This Row],[rest of Italy data]]*NOT(ISBLANK(Tabella3[[#This Row],[rest of Italy data]]))</f>
        <v>0</v>
      </c>
      <c r="Y102" s="10">
        <f>Tabella8[[#This Row],[rest of Italy fit]]</f>
        <v>16529.770792775711</v>
      </c>
      <c r="Z102" s="104">
        <f>Ka*_xlfn.LOGNORM.DIST(Tabella3[[#This Row],[Day]],mu_a,sigma_a,FALSE)</f>
        <v>47.248673135435091</v>
      </c>
      <c r="AA102" s="10">
        <f>Tabella3[[#This Row],[rest of Italy fit]]*NOT(ISBLANK(Tabella3[[#This Row],[rest of Italy data]]))</f>
        <v>0</v>
      </c>
      <c r="AE102"/>
      <c r="AF102"/>
    </row>
    <row r="103" spans="2:32" x14ac:dyDescent="0.3">
      <c r="B103" s="9">
        <v>43980</v>
      </c>
      <c r="C103" s="4">
        <f t="shared" si="1"/>
        <v>96</v>
      </c>
      <c r="E103" s="10"/>
      <c r="F103" s="10">
        <f>Tabella3[[#This Row],[Italy data]]*NOT(ISBLANK(Tabella3[[#This Row],[Italy data]]))</f>
        <v>0</v>
      </c>
      <c r="G103" s="136">
        <f>Tabella8[[#This Row],[Italy fit]]</f>
        <v>25903.088652201975</v>
      </c>
      <c r="H103" s="109">
        <f>Tabella3[[#This Row],[Lombardy fit]]+Tabella3[[#This Row],[rest of Italy fit]]</f>
        <v>59.091642846017201</v>
      </c>
      <c r="I103" s="104">
        <f>Kf*_xlfn.LOGNORM.DIST(Tabella3[[#This Row],[Day]],mu_f,sigma_f,FALSE)</f>
        <v>8.5820699736761163</v>
      </c>
      <c r="J103" s="10">
        <f>Tabella3[[#This Row],[Italy sum of regions]]*NOT(ISBLANK(Tabella3[[#This Row],[Italy data]]))</f>
        <v>0</v>
      </c>
      <c r="K103" s="10">
        <f>Tabella3[[#This Row],[Italy fit]]*NOT(ISBLANK(Tabella3[[#This Row],[Italy data]]))</f>
        <v>0</v>
      </c>
      <c r="O103" s="10"/>
      <c r="P103" s="10">
        <f>Tabella3[[#This Row],[Lombardy data]]*NOT(ISBLANK(Tabella3[[#This Row],[Lombardy data]]))</f>
        <v>0</v>
      </c>
      <c r="Q103" s="10">
        <f>Tabella8[[#This Row],[Lombardy fit]]</f>
        <v>14771.969826338824</v>
      </c>
      <c r="R103" s="104">
        <f>Kl*_xlfn.LOGNORM.DIST(Tabella3[[#This Row],[Day]],mu_l,sigma_l,FALSE)</f>
        <v>14.075685822092021</v>
      </c>
      <c r="S103" s="10">
        <f>Tabella3[[#This Row],[Lombardy fit]]*NOT(ISBLANK(Tabella3[[#This Row],[Lombardy data]]))</f>
        <v>0</v>
      </c>
      <c r="W103" s="10"/>
      <c r="X103" s="10">
        <f>Tabella3[[#This Row],[rest of Italy data]]*NOT(ISBLANK(Tabella3[[#This Row],[rest of Italy data]]))</f>
        <v>0</v>
      </c>
      <c r="Y103" s="10">
        <f>Tabella8[[#This Row],[rest of Italy fit]]</f>
        <v>16575.894315616657</v>
      </c>
      <c r="Z103" s="104">
        <f>Ka*_xlfn.LOGNORM.DIST(Tabella3[[#This Row],[Day]],mu_a,sigma_a,FALSE)</f>
        <v>45.015957023925182</v>
      </c>
      <c r="AA103" s="10">
        <f>Tabella3[[#This Row],[rest of Italy fit]]*NOT(ISBLANK(Tabella3[[#This Row],[rest of Italy data]]))</f>
        <v>0</v>
      </c>
      <c r="AE103"/>
      <c r="AF103"/>
    </row>
    <row r="104" spans="2:32" x14ac:dyDescent="0.3">
      <c r="B104" s="9">
        <v>43981</v>
      </c>
      <c r="C104" s="4">
        <f t="shared" si="1"/>
        <v>97</v>
      </c>
      <c r="E104" s="10"/>
      <c r="F104" s="10">
        <f>Tabella3[[#This Row],[Italy data]]*NOT(ISBLANK(Tabella3[[#This Row],[Italy data]]))</f>
        <v>0</v>
      </c>
      <c r="G104" s="136">
        <f>Tabella8[[#This Row],[Italy fit]]</f>
        <v>25911.29658879598</v>
      </c>
      <c r="H104" s="109">
        <f>Tabella3[[#This Row],[Lombardy fit]]+Tabella3[[#This Row],[rest of Italy fit]]</f>
        <v>56.097324473942152</v>
      </c>
      <c r="I104" s="104">
        <f>Kf*_xlfn.LOGNORM.DIST(Tabella3[[#This Row],[Day]],mu_f,sigma_f,FALSE)</f>
        <v>7.8449160292473588</v>
      </c>
      <c r="J104" s="10">
        <f>Tabella3[[#This Row],[Italy sum of regions]]*NOT(ISBLANK(Tabella3[[#This Row],[Italy data]]))</f>
        <v>0</v>
      </c>
      <c r="K104" s="10">
        <f>Tabella3[[#This Row],[Italy fit]]*NOT(ISBLANK(Tabella3[[#This Row],[Italy data]]))</f>
        <v>0</v>
      </c>
      <c r="O104" s="10"/>
      <c r="P104" s="10">
        <f>Tabella3[[#This Row],[Lombardy data]]*NOT(ISBLANK(Tabella3[[#This Row],[Lombardy data]]))</f>
        <v>0</v>
      </c>
      <c r="Q104" s="10">
        <f>Tabella8[[#This Row],[Lombardy fit]]</f>
        <v>14785.608436139693</v>
      </c>
      <c r="R104" s="104">
        <f>Kl*_xlfn.LOGNORM.DIST(Tabella3[[#This Row],[Day]],mu_l,sigma_l,FALSE)</f>
        <v>13.210817658518554</v>
      </c>
      <c r="S104" s="10">
        <f>Tabella3[[#This Row],[Lombardy fit]]*NOT(ISBLANK(Tabella3[[#This Row],[Lombardy data]]))</f>
        <v>0</v>
      </c>
      <c r="W104" s="10"/>
      <c r="X104" s="10">
        <f>Tabella3[[#This Row],[rest of Italy data]]*NOT(ISBLANK(Tabella3[[#This Row],[rest of Italy data]]))</f>
        <v>0</v>
      </c>
      <c r="Y104" s="10">
        <f>Tabella8[[#This Row],[rest of Italy fit]]</f>
        <v>16619.837127238006</v>
      </c>
      <c r="Z104" s="104">
        <f>Ka*_xlfn.LOGNORM.DIST(Tabella3[[#This Row],[Day]],mu_a,sigma_a,FALSE)</f>
        <v>42.886506815423594</v>
      </c>
      <c r="AA104" s="10">
        <f>Tabella3[[#This Row],[rest of Italy fit]]*NOT(ISBLANK(Tabella3[[#This Row],[rest of Italy data]]))</f>
        <v>0</v>
      </c>
      <c r="AE104"/>
      <c r="AF104"/>
    </row>
    <row r="105" spans="2:32" x14ac:dyDescent="0.3">
      <c r="B105" s="9">
        <v>43982</v>
      </c>
      <c r="C105" s="4">
        <f t="shared" si="1"/>
        <v>98</v>
      </c>
      <c r="E105" s="10"/>
      <c r="F105" s="10">
        <f>Tabella3[[#This Row],[Italy data]]*NOT(ISBLANK(Tabella3[[#This Row],[Italy data]]))</f>
        <v>0</v>
      </c>
      <c r="G105" s="136">
        <f>Tabella8[[#This Row],[Italy fit]]</f>
        <v>25918.799734159093</v>
      </c>
      <c r="H105" s="109">
        <f>Tabella3[[#This Row],[Lombardy fit]]+Tabella3[[#This Row],[rest of Italy fit]]</f>
        <v>53.255834269819957</v>
      </c>
      <c r="I105" s="104">
        <f>Kf*_xlfn.LOGNORM.DIST(Tabella3[[#This Row],[Day]],mu_f,sigma_f,FALSE)</f>
        <v>7.1715287469504947</v>
      </c>
      <c r="J105" s="10">
        <f>Tabella3[[#This Row],[Italy sum of regions]]*NOT(ISBLANK(Tabella3[[#This Row],[Italy data]]))</f>
        <v>0</v>
      </c>
      <c r="K105" s="10">
        <f>Tabella3[[#This Row],[Italy fit]]*NOT(ISBLANK(Tabella3[[#This Row],[Italy data]]))</f>
        <v>0</v>
      </c>
      <c r="O105" s="10"/>
      <c r="P105" s="10">
        <f>Tabella3[[#This Row],[Lombardy data]]*NOT(ISBLANK(Tabella3[[#This Row],[Lombardy data]]))</f>
        <v>0</v>
      </c>
      <c r="Q105" s="10">
        <f>Tabella8[[#This Row],[Lombardy fit]]</f>
        <v>14798.409444373303</v>
      </c>
      <c r="R105" s="104">
        <f>Kl*_xlfn.LOGNORM.DIST(Tabella3[[#This Row],[Day]],mu_l,sigma_l,FALSE)</f>
        <v>12.399904812841632</v>
      </c>
      <c r="S105" s="10">
        <f>Tabella3[[#This Row],[Lombardy fit]]*NOT(ISBLANK(Tabella3[[#This Row],[Lombardy data]]))</f>
        <v>0</v>
      </c>
      <c r="W105" s="10"/>
      <c r="X105" s="10">
        <f>Tabella3[[#This Row],[rest of Italy data]]*NOT(ISBLANK(Tabella3[[#This Row],[rest of Italy data]]))</f>
        <v>0</v>
      </c>
      <c r="Y105" s="10">
        <f>Tabella8[[#This Row],[rest of Italy fit]]</f>
        <v>16661.700285292452</v>
      </c>
      <c r="Z105" s="104">
        <f>Ka*_xlfn.LOGNORM.DIST(Tabella3[[#This Row],[Day]],mu_a,sigma_a,FALSE)</f>
        <v>40.855929456978323</v>
      </c>
      <c r="AA105" s="10">
        <f>Tabella3[[#This Row],[rest of Italy fit]]*NOT(ISBLANK(Tabella3[[#This Row],[rest of Italy data]]))</f>
        <v>0</v>
      </c>
      <c r="AE105"/>
      <c r="AF105"/>
    </row>
    <row r="106" spans="2:32" x14ac:dyDescent="0.3">
      <c r="B106" s="9">
        <v>43983</v>
      </c>
      <c r="C106" s="4">
        <f t="shared" si="1"/>
        <v>99</v>
      </c>
      <c r="E106" s="10"/>
      <c r="F106" s="10">
        <f>Tabella3[[#This Row],[Italy data]]*NOT(ISBLANK(Tabella3[[#This Row],[Italy data]]))</f>
        <v>0</v>
      </c>
      <c r="G106" s="136">
        <f>Tabella8[[#This Row],[Italy fit]]</f>
        <v>25925.65906139206</v>
      </c>
      <c r="H106" s="109">
        <f>Tabella3[[#This Row],[Lombardy fit]]+Tabella3[[#This Row],[rest of Italy fit]]</f>
        <v>50.559558608308976</v>
      </c>
      <c r="I106" s="104">
        <f>Kf*_xlfn.LOGNORM.DIST(Tabella3[[#This Row],[Day]],mu_f,sigma_f,FALSE)</f>
        <v>6.5564023611771542</v>
      </c>
      <c r="J106" s="10">
        <f>Tabella3[[#This Row],[Italy sum of regions]]*NOT(ISBLANK(Tabella3[[#This Row],[Italy data]]))</f>
        <v>0</v>
      </c>
      <c r="K106" s="10">
        <f>Tabella3[[#This Row],[Italy fit]]*NOT(ISBLANK(Tabella3[[#This Row],[Italy data]]))</f>
        <v>0</v>
      </c>
      <c r="O106" s="10"/>
      <c r="P106" s="10">
        <f>Tabella3[[#This Row],[Lombardy data]]*NOT(ISBLANK(Tabella3[[#This Row],[Lombardy data]]))</f>
        <v>0</v>
      </c>
      <c r="Q106" s="10">
        <f>Tabella8[[#This Row],[Lombardy fit]]</f>
        <v>14810.425107972253</v>
      </c>
      <c r="R106" s="104">
        <f>Kl*_xlfn.LOGNORM.DIST(Tabella3[[#This Row],[Day]],mu_l,sigma_l,FALSE)</f>
        <v>11.639585363920174</v>
      </c>
      <c r="S106" s="10">
        <f>Tabella3[[#This Row],[Lombardy fit]]*NOT(ISBLANK(Tabella3[[#This Row],[Lombardy data]]))</f>
        <v>0</v>
      </c>
      <c r="W106" s="10"/>
      <c r="X106" s="10">
        <f>Tabella3[[#This Row],[rest of Italy data]]*NOT(ISBLANK(Tabella3[[#This Row],[rest of Italy data]]))</f>
        <v>0</v>
      </c>
      <c r="Y106" s="10">
        <f>Tabella8[[#This Row],[rest of Italy fit]]</f>
        <v>16701.580524953737</v>
      </c>
      <c r="Z106" s="104">
        <f>Ka*_xlfn.LOGNORM.DIST(Tabella3[[#This Row],[Day]],mu_a,sigma_a,FALSE)</f>
        <v>38.9199732443888</v>
      </c>
      <c r="AA106" s="10">
        <f>Tabella3[[#This Row],[rest of Italy fit]]*NOT(ISBLANK(Tabella3[[#This Row],[rest of Italy data]]))</f>
        <v>0</v>
      </c>
      <c r="AE106"/>
      <c r="AF106"/>
    </row>
    <row r="107" spans="2:32" x14ac:dyDescent="0.3">
      <c r="B107" s="9">
        <v>43984</v>
      </c>
      <c r="C107" s="4">
        <f t="shared" si="1"/>
        <v>100</v>
      </c>
      <c r="E107" s="10"/>
      <c r="F107" s="10">
        <f>Tabella3[[#This Row],[Italy data]]*NOT(ISBLANK(Tabella3[[#This Row],[Italy data]]))</f>
        <v>0</v>
      </c>
      <c r="G107" s="136">
        <f>Tabella8[[#This Row],[Italy fit]]</f>
        <v>25931.930275173927</v>
      </c>
      <c r="H107" s="109">
        <f>Tabella3[[#This Row],[Lombardy fit]]+Tabella3[[#This Row],[rest of Italy fit]]</f>
        <v>48.001229324165926</v>
      </c>
      <c r="I107" s="104">
        <f>Kf*_xlfn.LOGNORM.DIST(Tabella3[[#This Row],[Day]],mu_f,sigma_f,FALSE)</f>
        <v>5.9944991678773007</v>
      </c>
      <c r="J107" s="10">
        <f>Tabella3[[#This Row],[Italy sum of regions]]*NOT(ISBLANK(Tabella3[[#This Row],[Italy data]]))</f>
        <v>0</v>
      </c>
      <c r="K107" s="10">
        <f>Tabella3[[#This Row],[Italy fit]]*NOT(ISBLANK(Tabella3[[#This Row],[Italy data]]))</f>
        <v>0</v>
      </c>
      <c r="O107" s="10"/>
      <c r="P107" s="10">
        <f>Tabella3[[#This Row],[Lombardy data]]*NOT(ISBLANK(Tabella3[[#This Row],[Lombardy data]]))</f>
        <v>0</v>
      </c>
      <c r="Q107" s="10">
        <f>Tabella8[[#This Row],[Lombardy fit]]</f>
        <v>14821.704424571741</v>
      </c>
      <c r="R107" s="104">
        <f>Kl*_xlfn.LOGNORM.DIST(Tabella3[[#This Row],[Day]],mu_l,sigma_l,FALSE)</f>
        <v>10.926700728655824</v>
      </c>
      <c r="S107" s="10">
        <f>Tabella3[[#This Row],[Lombardy fit]]*NOT(ISBLANK(Tabella3[[#This Row],[Lombardy data]]))</f>
        <v>0</v>
      </c>
      <c r="W107" s="10"/>
      <c r="X107" s="10">
        <f>Tabella3[[#This Row],[rest of Italy data]]*NOT(ISBLANK(Tabella3[[#This Row],[rest of Italy data]]))</f>
        <v>0</v>
      </c>
      <c r="Y107" s="10">
        <f>Tabella8[[#This Row],[rest of Italy fit]]</f>
        <v>16739.570400722616</v>
      </c>
      <c r="Z107" s="104">
        <f>Ka*_xlfn.LOGNORM.DIST(Tabella3[[#This Row],[Day]],mu_a,sigma_a,FALSE)</f>
        <v>37.074528595510102</v>
      </c>
      <c r="AA107" s="10">
        <f>Tabella3[[#This Row],[rest of Italy fit]]*NOT(ISBLANK(Tabella3[[#This Row],[rest of Italy data]]))</f>
        <v>0</v>
      </c>
      <c r="AE107"/>
      <c r="AF107"/>
    </row>
    <row r="108" spans="2:32" x14ac:dyDescent="0.3">
      <c r="B108" s="9">
        <v>43985</v>
      </c>
      <c r="C108" s="4">
        <f t="shared" si="1"/>
        <v>101</v>
      </c>
      <c r="E108" s="10"/>
      <c r="F108" s="10">
        <f>Tabella3[[#This Row],[Italy data]]*NOT(ISBLANK(Tabella3[[#This Row],[Italy data]]))</f>
        <v>0</v>
      </c>
      <c r="G108" s="136">
        <f>Tabella8[[#This Row],[Italy fit]]</f>
        <v>25937.664260442871</v>
      </c>
      <c r="H108" s="109">
        <f>Tabella3[[#This Row],[Lombardy fit]]+Tabella3[[#This Row],[rest of Italy fit]]</f>
        <v>45.573912469313655</v>
      </c>
      <c r="I108" s="104">
        <f>Kf*_xlfn.LOGNORM.DIST(Tabella3[[#This Row],[Day]],mu_f,sigma_f,FALSE)</f>
        <v>5.4812112553982653</v>
      </c>
      <c r="J108" s="10">
        <f>Tabella3[[#This Row],[Italy sum of regions]]*NOT(ISBLANK(Tabella3[[#This Row],[Italy data]]))</f>
        <v>0</v>
      </c>
      <c r="K108" s="10">
        <f>Tabella3[[#This Row],[Italy fit]]*NOT(ISBLANK(Tabella3[[#This Row],[Italy data]]))</f>
        <v>0</v>
      </c>
      <c r="O108" s="10"/>
      <c r="P108" s="10">
        <f>Tabella3[[#This Row],[Lombardy data]]*NOT(ISBLANK(Tabella3[[#This Row],[Lombardy data]]))</f>
        <v>0</v>
      </c>
      <c r="Q108" s="10">
        <f>Tabella8[[#This Row],[Lombardy fit]]</f>
        <v>14832.293330195829</v>
      </c>
      <c r="R108" s="104">
        <f>Kl*_xlfn.LOGNORM.DIST(Tabella3[[#This Row],[Day]],mu_l,sigma_l,FALSE)</f>
        <v>10.258284435284677</v>
      </c>
      <c r="S108" s="10">
        <f>Tabella3[[#This Row],[Lombardy fit]]*NOT(ISBLANK(Tabella3[[#This Row],[Lombardy data]]))</f>
        <v>0</v>
      </c>
      <c r="W108" s="10"/>
      <c r="X108" s="10">
        <f>Tabella3[[#This Row],[rest of Italy data]]*NOT(ISBLANK(Tabella3[[#This Row],[rest of Italy data]]))</f>
        <v>0</v>
      </c>
      <c r="Y108" s="10">
        <f>Tabella8[[#This Row],[rest of Italy fit]]</f>
        <v>16775.758428601926</v>
      </c>
      <c r="Z108" s="104">
        <f>Ka*_xlfn.LOGNORM.DIST(Tabella3[[#This Row],[Day]],mu_a,sigma_a,FALSE)</f>
        <v>35.315628034028975</v>
      </c>
      <c r="AA108" s="10">
        <f>Tabella3[[#This Row],[rest of Italy fit]]*NOT(ISBLANK(Tabella3[[#This Row],[rest of Italy data]]))</f>
        <v>0</v>
      </c>
      <c r="AE108"/>
      <c r="AF108"/>
    </row>
    <row r="109" spans="2:32" x14ac:dyDescent="0.3">
      <c r="B109" s="9">
        <v>43986</v>
      </c>
      <c r="C109" s="4">
        <f t="shared" si="1"/>
        <v>102</v>
      </c>
      <c r="E109" s="10"/>
      <c r="F109" s="10">
        <f>Tabella3[[#This Row],[Italy data]]*NOT(ISBLANK(Tabella3[[#This Row],[Italy data]]))</f>
        <v>0</v>
      </c>
      <c r="G109" s="136">
        <f>Tabella8[[#This Row],[Italy fit]]</f>
        <v>25942.907494255873</v>
      </c>
      <c r="H109" s="109">
        <f>Tabella3[[#This Row],[Lombardy fit]]+Tabella3[[#This Row],[rest of Italy fit]]</f>
        <v>43.270996852027643</v>
      </c>
      <c r="I109" s="104">
        <f>Kf*_xlfn.LOGNORM.DIST(Tabella3[[#This Row],[Day]],mu_f,sigma_f,FALSE)</f>
        <v>5.0123251024820821</v>
      </c>
      <c r="J109" s="10">
        <f>Tabella3[[#This Row],[Italy sum of regions]]*NOT(ISBLANK(Tabella3[[#This Row],[Italy data]]))</f>
        <v>0</v>
      </c>
      <c r="K109" s="10">
        <f>Tabella3[[#This Row],[Italy fit]]*NOT(ISBLANK(Tabella3[[#This Row],[Italy data]]))</f>
        <v>0</v>
      </c>
      <c r="O109" s="10"/>
      <c r="P109" s="10">
        <f>Tabella3[[#This Row],[Lombardy data]]*NOT(ISBLANK(Tabella3[[#This Row],[Lombardy data]]))</f>
        <v>0</v>
      </c>
      <c r="Q109" s="10">
        <f>Tabella8[[#This Row],[Lombardy fit]]</f>
        <v>14842.234885948668</v>
      </c>
      <c r="R109" s="104">
        <f>Kl*_xlfn.LOGNORM.DIST(Tabella3[[#This Row],[Day]],mu_l,sigma_l,FALSE)</f>
        <v>9.6315513609595982</v>
      </c>
      <c r="S109" s="10">
        <f>Tabella3[[#This Row],[Lombardy fit]]*NOT(ISBLANK(Tabella3[[#This Row],[Lombardy data]]))</f>
        <v>0</v>
      </c>
      <c r="W109" s="10"/>
      <c r="X109" s="10">
        <f>Tabella3[[#This Row],[rest of Italy data]]*NOT(ISBLANK(Tabella3[[#This Row],[rest of Italy data]]))</f>
        <v>0</v>
      </c>
      <c r="Y109" s="10">
        <f>Tabella8[[#This Row],[rest of Italy fit]]</f>
        <v>16810.229227905926</v>
      </c>
      <c r="Z109" s="104">
        <f>Ka*_xlfn.LOGNORM.DIST(Tabella3[[#This Row],[Day]],mu_a,sigma_a,FALSE)</f>
        <v>33.639445491068045</v>
      </c>
      <c r="AA109" s="10">
        <f>Tabella3[[#This Row],[rest of Italy fit]]*NOT(ISBLANK(Tabella3[[#This Row],[rest of Italy data]]))</f>
        <v>0</v>
      </c>
      <c r="AE109"/>
      <c r="AF109"/>
    </row>
    <row r="110" spans="2:32" x14ac:dyDescent="0.3">
      <c r="B110" s="9">
        <v>43987</v>
      </c>
      <c r="C110" s="4">
        <f t="shared" si="1"/>
        <v>103</v>
      </c>
      <c r="E110" s="10"/>
      <c r="F110" s="10">
        <f>Tabella3[[#This Row],[Italy data]]*NOT(ISBLANK(Tabella3[[#This Row],[Italy data]]))</f>
        <v>0</v>
      </c>
      <c r="G110" s="136">
        <f>Tabella8[[#This Row],[Italy fit]]</f>
        <v>25947.702423608338</v>
      </c>
      <c r="H110" s="109">
        <f>Tabella3[[#This Row],[Lombardy fit]]+Tabella3[[#This Row],[rest of Italy fit]]</f>
        <v>41.086182458525975</v>
      </c>
      <c r="I110" s="104">
        <f>Kf*_xlfn.LOGNORM.DIST(Tabella3[[#This Row],[Day]],mu_f,sigma_f,FALSE)</f>
        <v>4.5839888718462865</v>
      </c>
      <c r="J110" s="10">
        <f>Tabella3[[#This Row],[Italy sum of regions]]*NOT(ISBLANK(Tabella3[[#This Row],[Italy data]]))</f>
        <v>0</v>
      </c>
      <c r="K110" s="10">
        <f>Tabella3[[#This Row],[Italy fit]]*NOT(ISBLANK(Tabella3[[#This Row],[Italy data]]))</f>
        <v>0</v>
      </c>
      <c r="O110" s="10"/>
      <c r="P110" s="10">
        <f>Tabella3[[#This Row],[Lombardy data]]*NOT(ISBLANK(Tabella3[[#This Row],[Lombardy data]]))</f>
        <v>0</v>
      </c>
      <c r="Q110" s="10">
        <f>Tabella8[[#This Row],[Lombardy fit]]</f>
        <v>14851.569454177245</v>
      </c>
      <c r="R110" s="104">
        <f>Kl*_xlfn.LOGNORM.DIST(Tabella3[[#This Row],[Day]],mu_l,sigma_l,FALSE)</f>
        <v>9.043887437557558</v>
      </c>
      <c r="S110" s="10">
        <f>Tabella3[[#This Row],[Lombardy fit]]*NOT(ISBLANK(Tabella3[[#This Row],[Lombardy data]]))</f>
        <v>0</v>
      </c>
      <c r="W110" s="10"/>
      <c r="X110" s="10">
        <f>Tabella3[[#This Row],[rest of Italy data]]*NOT(ISBLANK(Tabella3[[#This Row],[rest of Italy data]]))</f>
        <v>0</v>
      </c>
      <c r="Y110" s="10">
        <f>Tabella8[[#This Row],[rest of Italy fit]]</f>
        <v>16843.063662070683</v>
      </c>
      <c r="Z110" s="104">
        <f>Ka*_xlfn.LOGNORM.DIST(Tabella3[[#This Row],[Day]],mu_a,sigma_a,FALSE)</f>
        <v>32.042295020968417</v>
      </c>
      <c r="AA110" s="10">
        <f>Tabella3[[#This Row],[rest of Italy fit]]*NOT(ISBLANK(Tabella3[[#This Row],[rest of Italy data]]))</f>
        <v>0</v>
      </c>
      <c r="AE110"/>
      <c r="AF110"/>
    </row>
    <row r="111" spans="2:32" x14ac:dyDescent="0.3">
      <c r="B111" s="9">
        <v>43988</v>
      </c>
      <c r="C111" s="4">
        <f t="shared" si="1"/>
        <v>104</v>
      </c>
      <c r="E111" s="10"/>
      <c r="F111" s="10">
        <f>Tabella3[[#This Row],[Italy data]]*NOT(ISBLANK(Tabella3[[#This Row],[Italy data]]))</f>
        <v>0</v>
      </c>
      <c r="G111" s="136">
        <f>Tabella8[[#This Row],[Italy fit]]</f>
        <v>25952.087811824626</v>
      </c>
      <c r="H111" s="109">
        <f>Tabella3[[#This Row],[Lombardy fit]]+Tabella3[[#This Row],[rest of Italy fit]]</f>
        <v>39.013468842719917</v>
      </c>
      <c r="I111" s="104">
        <f>Kf*_xlfn.LOGNORM.DIST(Tabella3[[#This Row],[Day]],mu_f,sigma_f,FALSE)</f>
        <v>4.1926822305495977</v>
      </c>
      <c r="J111" s="10">
        <f>Tabella3[[#This Row],[Italy sum of regions]]*NOT(ISBLANK(Tabella3[[#This Row],[Italy data]]))</f>
        <v>0</v>
      </c>
      <c r="K111" s="10">
        <f>Tabella3[[#This Row],[Italy fit]]*NOT(ISBLANK(Tabella3[[#This Row],[Italy data]]))</f>
        <v>0</v>
      </c>
      <c r="O111" s="10"/>
      <c r="P111" s="10">
        <f>Tabella3[[#This Row],[Lombardy data]]*NOT(ISBLANK(Tabella3[[#This Row],[Lombardy data]]))</f>
        <v>0</v>
      </c>
      <c r="Q111" s="10">
        <f>Tabella8[[#This Row],[Lombardy fit]]</f>
        <v>14860.334864574008</v>
      </c>
      <c r="R111" s="104">
        <f>Kl*_xlfn.LOGNORM.DIST(Tabella3[[#This Row],[Day]],mu_l,sigma_l,FALSE)</f>
        <v>8.492839825189165</v>
      </c>
      <c r="S111" s="10">
        <f>Tabella3[[#This Row],[Lombardy fit]]*NOT(ISBLANK(Tabella3[[#This Row],[Lombardy data]]))</f>
        <v>0</v>
      </c>
      <c r="W111" s="10"/>
      <c r="X111" s="10">
        <f>Tabella3[[#This Row],[rest of Italy data]]*NOT(ISBLANK(Tabella3[[#This Row],[rest of Italy data]]))</f>
        <v>0</v>
      </c>
      <c r="Y111" s="10">
        <f>Tabella8[[#This Row],[rest of Italy fit]]</f>
        <v>16874.338977923693</v>
      </c>
      <c r="Z111" s="104">
        <f>Ka*_xlfn.LOGNORM.DIST(Tabella3[[#This Row],[Day]],mu_a,sigma_a,FALSE)</f>
        <v>30.520629017530748</v>
      </c>
      <c r="AA111" s="10">
        <f>Tabella3[[#This Row],[rest of Italy fit]]*NOT(ISBLANK(Tabella3[[#This Row],[rest of Italy data]]))</f>
        <v>0</v>
      </c>
      <c r="AE111"/>
      <c r="AF111"/>
    </row>
    <row r="112" spans="2:32" x14ac:dyDescent="0.3">
      <c r="B112" s="9">
        <v>43989</v>
      </c>
      <c r="C112" s="4">
        <f t="shared" si="1"/>
        <v>105</v>
      </c>
      <c r="E112" s="10"/>
      <c r="F112" s="10">
        <f>Tabella3[[#This Row],[Italy data]]*NOT(ISBLANK(Tabella3[[#This Row],[Italy data]]))</f>
        <v>0</v>
      </c>
      <c r="G112" s="136">
        <f>Tabella8[[#This Row],[Italy fit]]</f>
        <v>25956.099055963587</v>
      </c>
      <c r="H112" s="109">
        <f>Tabella3[[#This Row],[Lombardy fit]]+Tabella3[[#This Row],[rest of Italy fit]]</f>
        <v>37.047143557035255</v>
      </c>
      <c r="I112" s="104">
        <f>Kf*_xlfn.LOGNORM.DIST(Tabella3[[#This Row],[Day]],mu_f,sigma_f,FALSE)</f>
        <v>3.8351885326670465</v>
      </c>
      <c r="J112" s="10">
        <f>Tabella3[[#This Row],[Italy sum of regions]]*NOT(ISBLANK(Tabella3[[#This Row],[Italy data]]))</f>
        <v>0</v>
      </c>
      <c r="K112" s="10">
        <f>Tabella3[[#This Row],[Italy fit]]*NOT(ISBLANK(Tabella3[[#This Row],[Italy data]]))</f>
        <v>0</v>
      </c>
      <c r="O112" s="10"/>
      <c r="P112" s="10">
        <f>Tabella3[[#This Row],[Lombardy data]]*NOT(ISBLANK(Tabella3[[#This Row],[Lombardy data]]))</f>
        <v>0</v>
      </c>
      <c r="Q112" s="10">
        <f>Tabella8[[#This Row],[Lombardy fit]]</f>
        <v>14868.566570685251</v>
      </c>
      <c r="R112" s="104">
        <f>Kl*_xlfn.LOGNORM.DIST(Tabella3[[#This Row],[Day]],mu_l,sigma_l,FALSE)</f>
        <v>7.9761075492161817</v>
      </c>
      <c r="S112" s="10">
        <f>Tabella3[[#This Row],[Lombardy fit]]*NOT(ISBLANK(Tabella3[[#This Row],[Lombardy data]]))</f>
        <v>0</v>
      </c>
      <c r="W112" s="10"/>
      <c r="X112" s="10">
        <f>Tabella3[[#This Row],[rest of Italy data]]*NOT(ISBLANK(Tabella3[[#This Row],[rest of Italy data]]))</f>
        <v>0</v>
      </c>
      <c r="Y112" s="10">
        <f>Tabella8[[#This Row],[rest of Italy fit]]</f>
        <v>16904.128942952451</v>
      </c>
      <c r="Z112" s="104">
        <f>Ka*_xlfn.LOGNORM.DIST(Tabella3[[#This Row],[Day]],mu_a,sigma_a,FALSE)</f>
        <v>29.071036007819071</v>
      </c>
      <c r="AA112" s="10">
        <f>Tabella3[[#This Row],[rest of Italy fit]]*NOT(ISBLANK(Tabella3[[#This Row],[rest of Italy data]]))</f>
        <v>0</v>
      </c>
      <c r="AE112"/>
      <c r="AF112"/>
    </row>
    <row r="113" spans="2:32" x14ac:dyDescent="0.3">
      <c r="B113" s="9">
        <v>43990</v>
      </c>
      <c r="C113" s="4">
        <f t="shared" si="1"/>
        <v>106</v>
      </c>
      <c r="E113" s="10"/>
      <c r="F113" s="10">
        <f>Tabella3[[#This Row],[Italy data]]*NOT(ISBLANK(Tabella3[[#This Row],[Italy data]]))</f>
        <v>0</v>
      </c>
      <c r="G113" s="136">
        <f>Tabella8[[#This Row],[Italy fit]]</f>
        <v>25959.768477521426</v>
      </c>
      <c r="H113" s="109">
        <f>Tabella3[[#This Row],[Lombardy fit]]+Tabella3[[#This Row],[rest of Italy fit]]</f>
        <v>35.181770685875463</v>
      </c>
      <c r="I113" s="104">
        <f>Kf*_xlfn.LOGNORM.DIST(Tabella3[[#This Row],[Day]],mu_f,sigma_f,FALSE)</f>
        <v>3.5085692052844748</v>
      </c>
      <c r="J113" s="10">
        <f>Tabella3[[#This Row],[Italy sum of regions]]*NOT(ISBLANK(Tabella3[[#This Row],[Italy data]]))</f>
        <v>0</v>
      </c>
      <c r="K113" s="10">
        <f>Tabella3[[#This Row],[Italy fit]]*NOT(ISBLANK(Tabella3[[#This Row],[Italy data]]))</f>
        <v>0</v>
      </c>
      <c r="O113" s="10"/>
      <c r="P113" s="10">
        <f>Tabella3[[#This Row],[Lombardy data]]*NOT(ISBLANK(Tabella3[[#This Row],[Lombardy data]]))</f>
        <v>0</v>
      </c>
      <c r="Q113" s="10">
        <f>Tabella8[[#This Row],[Lombardy fit]]</f>
        <v>14876.29779728537</v>
      </c>
      <c r="R113" s="104">
        <f>Kl*_xlfn.LOGNORM.DIST(Tabella3[[#This Row],[Day]],mu_l,sigma_l,FALSE)</f>
        <v>7.4915325935936128</v>
      </c>
      <c r="S113" s="10">
        <f>Tabella3[[#This Row],[Lombardy fit]]*NOT(ISBLANK(Tabella3[[#This Row],[Lombardy data]]))</f>
        <v>0</v>
      </c>
      <c r="W113" s="10"/>
      <c r="X113" s="10">
        <f>Tabella3[[#This Row],[rest of Italy data]]*NOT(ISBLANK(Tabella3[[#This Row],[rest of Italy data]]))</f>
        <v>0</v>
      </c>
      <c r="Y113" s="10">
        <f>Tabella8[[#This Row],[rest of Italy fit]]</f>
        <v>16932.503980184621</v>
      </c>
      <c r="Z113" s="104">
        <f>Ka*_xlfn.LOGNORM.DIST(Tabella3[[#This Row],[Day]],mu_a,sigma_a,FALSE)</f>
        <v>27.690238092281849</v>
      </c>
      <c r="AA113" s="10">
        <f>Tabella3[[#This Row],[rest of Italy fit]]*NOT(ISBLANK(Tabella3[[#This Row],[rest of Italy data]]))</f>
        <v>0</v>
      </c>
      <c r="AE113"/>
      <c r="AF113"/>
    </row>
    <row r="114" spans="2:32" x14ac:dyDescent="0.3">
      <c r="B114" s="9">
        <v>43991</v>
      </c>
      <c r="C114" s="4">
        <f t="shared" si="1"/>
        <v>107</v>
      </c>
      <c r="E114" s="10"/>
      <c r="F114" s="10">
        <f>Tabella3[[#This Row],[Italy data]]*NOT(ISBLANK(Tabella3[[#This Row],[Italy data]]))</f>
        <v>0</v>
      </c>
      <c r="G114" s="136">
        <f>Tabella8[[#This Row],[Italy fit]]</f>
        <v>25963.125588558338</v>
      </c>
      <c r="H114" s="109">
        <f>Tabella3[[#This Row],[Lombardy fit]]+Tabella3[[#This Row],[rest of Italy fit]]</f>
        <v>33.412179533293973</v>
      </c>
      <c r="I114" s="104">
        <f>Kf*_xlfn.LOGNORM.DIST(Tabella3[[#This Row],[Day]],mu_f,sigma_f,FALSE)</f>
        <v>3.210140185150145</v>
      </c>
      <c r="J114" s="10">
        <f>Tabella3[[#This Row],[Italy sum of regions]]*NOT(ISBLANK(Tabella3[[#This Row],[Italy data]]))</f>
        <v>0</v>
      </c>
      <c r="K114" s="10">
        <f>Tabella3[[#This Row],[Italy fit]]*NOT(ISBLANK(Tabella3[[#This Row],[Italy data]]))</f>
        <v>0</v>
      </c>
      <c r="O114" s="10"/>
      <c r="P114" s="10">
        <f>Tabella3[[#This Row],[Lombardy data]]*NOT(ISBLANK(Tabella3[[#This Row],[Lombardy data]]))</f>
        <v>0</v>
      </c>
      <c r="Q114" s="10">
        <f>Tabella8[[#This Row],[Lombardy fit]]</f>
        <v>14883.55967906872</v>
      </c>
      <c r="R114" s="104">
        <f>Kl*_xlfn.LOGNORM.DIST(Tabella3[[#This Row],[Day]],mu_l,sigma_l,FALSE)</f>
        <v>7.0370914409428282</v>
      </c>
      <c r="S114" s="10">
        <f>Tabella3[[#This Row],[Lombardy fit]]*NOT(ISBLANK(Tabella3[[#This Row],[Lombardy data]]))</f>
        <v>0</v>
      </c>
      <c r="W114" s="10"/>
      <c r="X114" s="10">
        <f>Tabella3[[#This Row],[rest of Italy data]]*NOT(ISBLANK(Tabella3[[#This Row],[rest of Italy data]]))</f>
        <v>0</v>
      </c>
      <c r="Y114" s="10">
        <f>Tabella8[[#This Row],[rest of Italy fit]]</f>
        <v>16959.531300357186</v>
      </c>
      <c r="Z114" s="104">
        <f>Ka*_xlfn.LOGNORM.DIST(Tabella3[[#This Row],[Day]],mu_a,sigma_a,FALSE)</f>
        <v>26.375088092351142</v>
      </c>
      <c r="AA114" s="10">
        <f>Tabella3[[#This Row],[rest of Italy fit]]*NOT(ISBLANK(Tabella3[[#This Row],[rest of Italy data]]))</f>
        <v>0</v>
      </c>
    </row>
    <row r="115" spans="2:32" x14ac:dyDescent="0.3">
      <c r="B115" s="9">
        <v>43992</v>
      </c>
      <c r="C115" s="4">
        <f t="shared" si="1"/>
        <v>108</v>
      </c>
      <c r="E115" s="10"/>
      <c r="F115" s="10">
        <f>Tabella3[[#This Row],[Italy data]]*NOT(ISBLANK(Tabella3[[#This Row],[Italy data]]))</f>
        <v>0</v>
      </c>
      <c r="G115" s="136">
        <f>Tabella8[[#This Row],[Italy fit]]</f>
        <v>25966.197335226083</v>
      </c>
      <c r="H115" s="109">
        <f>Tabella3[[#This Row],[Lombardy fit]]+Tabella3[[#This Row],[rest of Italy fit]]</f>
        <v>31.733453507655479</v>
      </c>
      <c r="I115" s="104">
        <f>Kf*_xlfn.LOGNORM.DIST(Tabella3[[#This Row],[Day]],mu_f,sigma_f,FALSE)</f>
        <v>2.9374502602339567</v>
      </c>
      <c r="J115" s="10">
        <f>Tabella3[[#This Row],[Italy sum of regions]]*NOT(ISBLANK(Tabella3[[#This Row],[Italy data]]))</f>
        <v>0</v>
      </c>
      <c r="K115" s="10">
        <f>Tabella3[[#This Row],[Italy fit]]*NOT(ISBLANK(Tabella3[[#This Row],[Italy data]]))</f>
        <v>0</v>
      </c>
      <c r="O115" s="10"/>
      <c r="P115" s="10">
        <f>Tabella3[[#This Row],[Lombardy data]]*NOT(ISBLANK(Tabella3[[#This Row],[Lombardy data]]))</f>
        <v>0</v>
      </c>
      <c r="Q115" s="10">
        <f>Tabella8[[#This Row],[Lombardy fit]]</f>
        <v>14890.381391100189</v>
      </c>
      <c r="R115" s="104">
        <f>Kl*_xlfn.LOGNORM.DIST(Tabella3[[#This Row],[Day]],mu_l,sigma_l,FALSE)</f>
        <v>6.6108870478580153</v>
      </c>
      <c r="S115" s="10">
        <f>Tabella3[[#This Row],[Lombardy fit]]*NOT(ISBLANK(Tabella3[[#This Row],[Lombardy data]]))</f>
        <v>0</v>
      </c>
      <c r="W115" s="10"/>
      <c r="X115" s="10">
        <f>Tabella3[[#This Row],[rest of Italy data]]*NOT(ISBLANK(Tabella3[[#This Row],[rest of Italy data]]))</f>
        <v>0</v>
      </c>
      <c r="Y115" s="10">
        <f>Tabella8[[#This Row],[rest of Italy fit]]</f>
        <v>16985.275031109926</v>
      </c>
      <c r="Z115" s="104">
        <f>Ka*_xlfn.LOGNORM.DIST(Tabella3[[#This Row],[Day]],mu_a,sigma_a,FALSE)</f>
        <v>25.122566459797465</v>
      </c>
      <c r="AA115" s="10">
        <f>Tabella3[[#This Row],[rest of Italy fit]]*NOT(ISBLANK(Tabella3[[#This Row],[rest of Italy data]]))</f>
        <v>0</v>
      </c>
    </row>
    <row r="116" spans="2:32" x14ac:dyDescent="0.3">
      <c r="B116" s="9">
        <v>43993</v>
      </c>
      <c r="C116" s="4">
        <f t="shared" si="1"/>
        <v>109</v>
      </c>
      <c r="E116" s="10"/>
      <c r="F116" s="10">
        <f>Tabella3[[#This Row],[Italy data]]*NOT(ISBLANK(Tabella3[[#This Row],[Italy data]]))</f>
        <v>0</v>
      </c>
      <c r="G116" s="136">
        <f>Tabella8[[#This Row],[Italy fit]]</f>
        <v>25969.008320531579</v>
      </c>
      <c r="H116" s="109">
        <f>Tabella3[[#This Row],[Lombardy fit]]+Tabella3[[#This Row],[rest of Italy fit]]</f>
        <v>30.140919238354847</v>
      </c>
      <c r="I116" s="104">
        <f>Kf*_xlfn.LOGNORM.DIST(Tabella3[[#This Row],[Day]],mu_f,sigma_f,FALSE)</f>
        <v>2.6882611777276839</v>
      </c>
      <c r="J116" s="10">
        <f>Tabella3[[#This Row],[Italy sum of regions]]*NOT(ISBLANK(Tabella3[[#This Row],[Italy data]]))</f>
        <v>0</v>
      </c>
      <c r="K116" s="10">
        <f>Tabella3[[#This Row],[Italy fit]]*NOT(ISBLANK(Tabella3[[#This Row],[Italy data]]))</f>
        <v>0</v>
      </c>
      <c r="O116" s="10"/>
      <c r="P116" s="10">
        <f>Tabella3[[#This Row],[Lombardy data]]*NOT(ISBLANK(Tabella3[[#This Row],[Lombardy data]]))</f>
        <v>0</v>
      </c>
      <c r="Q116" s="10">
        <f>Tabella8[[#This Row],[Lombardy fit]]</f>
        <v>14896.790271453332</v>
      </c>
      <c r="R116" s="104">
        <f>Kl*_xlfn.LOGNORM.DIST(Tabella3[[#This Row],[Day]],mu_l,sigma_l,FALSE)</f>
        <v>6.2111412424724186</v>
      </c>
      <c r="S116" s="10">
        <f>Tabella3[[#This Row],[Lombardy fit]]*NOT(ISBLANK(Tabella3[[#This Row],[Lombardy data]]))</f>
        <v>0</v>
      </c>
      <c r="W116" s="10"/>
      <c r="X116" s="10">
        <f>Tabella3[[#This Row],[rest of Italy data]]*NOT(ISBLANK(Tabella3[[#This Row],[rest of Italy data]]))</f>
        <v>0</v>
      </c>
      <c r="Y116" s="10">
        <f>Tabella8[[#This Row],[rest of Italy fit]]</f>
        <v>17009.796342989284</v>
      </c>
      <c r="Z116" s="104">
        <f>Ka*_xlfn.LOGNORM.DIST(Tabella3[[#This Row],[Day]],mu_a,sigma_a,FALSE)</f>
        <v>23.929777995882429</v>
      </c>
      <c r="AA116" s="10">
        <f>Tabella3[[#This Row],[rest of Italy fit]]*NOT(ISBLANK(Tabella3[[#This Row],[rest of Italy data]]))</f>
        <v>0</v>
      </c>
    </row>
    <row r="117" spans="2:32" x14ac:dyDescent="0.3">
      <c r="B117" s="9">
        <v>43994</v>
      </c>
      <c r="C117" s="4">
        <f t="shared" si="1"/>
        <v>110</v>
      </c>
      <c r="E117" s="10"/>
      <c r="F117" s="10">
        <f>Tabella3[[#This Row],[Italy data]]*NOT(ISBLANK(Tabella3[[#This Row],[Italy data]]))</f>
        <v>0</v>
      </c>
      <c r="G117" s="136">
        <f>Tabella8[[#This Row],[Italy fit]]</f>
        <v>25971.581008036828</v>
      </c>
      <c r="H117" s="109">
        <f>Tabella3[[#This Row],[Lombardy fit]]+Tabella3[[#This Row],[rest of Italy fit]]</f>
        <v>28.630135952910777</v>
      </c>
      <c r="I117" s="104">
        <f>Kf*_xlfn.LOGNORM.DIST(Tabella3[[#This Row],[Day]],mu_f,sigma_f,FALSE)</f>
        <v>2.4605293874987844</v>
      </c>
      <c r="J117" s="10">
        <f>Tabella3[[#This Row],[Italy sum of regions]]*NOT(ISBLANK(Tabella3[[#This Row],[Italy data]]))</f>
        <v>0</v>
      </c>
      <c r="K117" s="10">
        <f>Tabella3[[#This Row],[Italy fit]]*NOT(ISBLANK(Tabella3[[#This Row],[Italy data]]))</f>
        <v>0</v>
      </c>
      <c r="O117" s="10"/>
      <c r="P117" s="10">
        <f>Tabella3[[#This Row],[Lombardy data]]*NOT(ISBLANK(Tabella3[[#This Row],[Lombardy data]]))</f>
        <v>0</v>
      </c>
      <c r="Q117" s="10">
        <f>Tabella8[[#This Row],[Lombardy fit]]</f>
        <v>14902.811936451379</v>
      </c>
      <c r="R117" s="104">
        <f>Kl*_xlfn.LOGNORM.DIST(Tabella3[[#This Row],[Day]],mu_l,sigma_l,FALSE)</f>
        <v>5.8361875301998021</v>
      </c>
      <c r="S117" s="10">
        <f>Tabella3[[#This Row],[Lombardy fit]]*NOT(ISBLANK(Tabella3[[#This Row],[Lombardy data]]))</f>
        <v>0</v>
      </c>
      <c r="W117" s="10"/>
      <c r="X117" s="10">
        <f>Tabella3[[#This Row],[rest of Italy data]]*NOT(ISBLANK(Tabella3[[#This Row],[rest of Italy data]]))</f>
        <v>0</v>
      </c>
      <c r="Y117" s="10">
        <f>Tabella8[[#This Row],[rest of Italy fit]]</f>
        <v>17033.153572094263</v>
      </c>
      <c r="Z117" s="104">
        <f>Ka*_xlfn.LOGNORM.DIST(Tabella3[[#This Row],[Day]],mu_a,sigma_a,FALSE)</f>
        <v>22.793948422710976</v>
      </c>
      <c r="AA117" s="10">
        <f>Tabella3[[#This Row],[rest of Italy fit]]*NOT(ISBLANK(Tabella3[[#This Row],[rest of Italy data]]))</f>
        <v>0</v>
      </c>
    </row>
    <row r="118" spans="2:32" x14ac:dyDescent="0.3">
      <c r="B118" s="9">
        <v>43995</v>
      </c>
      <c r="C118" s="4">
        <f t="shared" si="1"/>
        <v>111</v>
      </c>
      <c r="E118" s="10"/>
      <c r="F118" s="10">
        <f>Tabella3[[#This Row],[Italy data]]*NOT(ISBLANK(Tabella3[[#This Row],[Italy data]]))</f>
        <v>0</v>
      </c>
      <c r="G118" s="136">
        <f>Tabella8[[#This Row],[Italy fit]]</f>
        <v>25973.935908068263</v>
      </c>
      <c r="H118" s="109">
        <f>Tabella3[[#This Row],[Lombardy fit]]+Tabella3[[#This Row],[rest of Italy fit]]</f>
        <v>27.196885136869071</v>
      </c>
      <c r="I118" s="104">
        <f>Kf*_xlfn.LOGNORM.DIST(Tabella3[[#This Row],[Day]],mu_f,sigma_f,FALSE)</f>
        <v>2.2523892975514723</v>
      </c>
      <c r="J118" s="10">
        <f>Tabella3[[#This Row],[Italy sum of regions]]*NOT(ISBLANK(Tabella3[[#This Row],[Italy data]]))</f>
        <v>0</v>
      </c>
      <c r="K118" s="10">
        <f>Tabella3[[#This Row],[Italy fit]]*NOT(ISBLANK(Tabella3[[#This Row],[Italy data]]))</f>
        <v>0</v>
      </c>
      <c r="O118" s="10"/>
      <c r="P118" s="10">
        <f>Tabella3[[#This Row],[Lombardy data]]*NOT(ISBLANK(Tabella3[[#This Row],[Lombardy data]]))</f>
        <v>0</v>
      </c>
      <c r="Q118" s="10">
        <f>Tabella8[[#This Row],[Lombardy fit]]</f>
        <v>14908.470388911899</v>
      </c>
      <c r="R118" s="104">
        <f>Kl*_xlfn.LOGNORM.DIST(Tabella3[[#This Row],[Day]],mu_l,sigma_l,FALSE)</f>
        <v>5.4844642927698075</v>
      </c>
      <c r="S118" s="10">
        <f>Tabella3[[#This Row],[Lombardy fit]]*NOT(ISBLANK(Tabella3[[#This Row],[Lombardy data]]))</f>
        <v>0</v>
      </c>
      <c r="W118" s="10"/>
      <c r="X118" s="10">
        <f>Tabella3[[#This Row],[rest of Italy data]]*NOT(ISBLANK(Tabella3[[#This Row],[rest of Italy data]]))</f>
        <v>0</v>
      </c>
      <c r="Y118" s="10">
        <f>Tabella8[[#This Row],[rest of Italy fit]]</f>
        <v>17055.402339235443</v>
      </c>
      <c r="Z118" s="104">
        <f>Ka*_xlfn.LOGNORM.DIST(Tabella3[[#This Row],[Day]],mu_a,sigma_a,FALSE)</f>
        <v>21.712420844099263</v>
      </c>
      <c r="AA118" s="10">
        <f>Tabella3[[#This Row],[rest of Italy fit]]*NOT(ISBLANK(Tabella3[[#This Row],[rest of Italy data]]))</f>
        <v>0</v>
      </c>
    </row>
    <row r="119" spans="2:32" x14ac:dyDescent="0.3">
      <c r="B119" s="9">
        <v>43996</v>
      </c>
      <c r="C119" s="4">
        <f t="shared" si="1"/>
        <v>112</v>
      </c>
      <c r="E119" s="10"/>
      <c r="F119" s="10">
        <f>Tabella3[[#This Row],[Italy data]]*NOT(ISBLANK(Tabella3[[#This Row],[Italy data]]))</f>
        <v>0</v>
      </c>
      <c r="G119" s="136">
        <f>Tabella8[[#This Row],[Italy fit]]</f>
        <v>25976.091747888935</v>
      </c>
      <c r="H119" s="109">
        <f>Tabella3[[#This Row],[Lombardy fit]]+Tabella3[[#This Row],[rest of Italy fit]]</f>
        <v>25.837160493818224</v>
      </c>
      <c r="I119" s="104">
        <f>Kf*_xlfn.LOGNORM.DIST(Tabella3[[#This Row],[Day]],mu_f,sigma_f,FALSE)</f>
        <v>2.0621379255361232</v>
      </c>
      <c r="J119" s="10">
        <f>Tabella3[[#This Row],[Italy sum of regions]]*NOT(ISBLANK(Tabella3[[#This Row],[Italy data]]))</f>
        <v>0</v>
      </c>
      <c r="K119" s="10">
        <f>Tabella3[[#This Row],[Italy fit]]*NOT(ISBLANK(Tabella3[[#This Row],[Italy data]]))</f>
        <v>0</v>
      </c>
      <c r="O119" s="10"/>
      <c r="P119" s="10">
        <f>Tabella3[[#This Row],[Lombardy data]]*NOT(ISBLANK(Tabella3[[#This Row],[Lombardy data]]))</f>
        <v>0</v>
      </c>
      <c r="Q119" s="10">
        <f>Tabella8[[#This Row],[Lombardy fit]]</f>
        <v>14913.788119780729</v>
      </c>
      <c r="R119" s="104">
        <f>Kl*_xlfn.LOGNORM.DIST(Tabella3[[#This Row],[Day]],mu_l,sigma_l,FALSE)</f>
        <v>5.1545083651368495</v>
      </c>
      <c r="S119" s="10">
        <f>Tabella3[[#This Row],[Lombardy fit]]*NOT(ISBLANK(Tabella3[[#This Row],[Lombardy data]]))</f>
        <v>0</v>
      </c>
      <c r="W119" s="10"/>
      <c r="X119" s="10">
        <f>Tabella3[[#This Row],[rest of Italy data]]*NOT(ISBLANK(Tabella3[[#This Row],[rest of Italy data]]))</f>
        <v>0</v>
      </c>
      <c r="Y119" s="10">
        <f>Tabella8[[#This Row],[rest of Italy fit]]</f>
        <v>17076.595665513505</v>
      </c>
      <c r="Z119" s="104">
        <f>Ka*_xlfn.LOGNORM.DIST(Tabella3[[#This Row],[Day]],mu_a,sigma_a,FALSE)</f>
        <v>20.682652128681376</v>
      </c>
      <c r="AA119" s="10">
        <f>Tabella3[[#This Row],[rest of Italy fit]]*NOT(ISBLANK(Tabella3[[#This Row],[rest of Italy data]]))</f>
        <v>0</v>
      </c>
    </row>
    <row r="120" spans="2:32" x14ac:dyDescent="0.3">
      <c r="B120" s="9">
        <v>43997</v>
      </c>
      <c r="C120" s="4">
        <f t="shared" si="1"/>
        <v>113</v>
      </c>
      <c r="E120" s="10"/>
      <c r="F120" s="10">
        <f>Tabella3[[#This Row],[Italy data]]*NOT(ISBLANK(Tabella3[[#This Row],[Italy data]]))</f>
        <v>0</v>
      </c>
      <c r="G120" s="136">
        <f>Tabella8[[#This Row],[Italy fit]]</f>
        <v>25978.065627174688</v>
      </c>
      <c r="H120" s="109">
        <f>Tabella3[[#This Row],[Lombardy fit]]+Tabella3[[#This Row],[rest of Italy fit]]</f>
        <v>24.547158218384311</v>
      </c>
      <c r="I120" s="104">
        <f>Kf*_xlfn.LOGNORM.DIST(Tabella3[[#This Row],[Day]],mu_f,sigma_f,FALSE)</f>
        <v>1.888220837703797</v>
      </c>
      <c r="J120" s="10">
        <f>Tabella3[[#This Row],[Italy sum of regions]]*NOT(ISBLANK(Tabella3[[#This Row],[Italy data]]))</f>
        <v>0</v>
      </c>
      <c r="K120" s="10">
        <f>Tabella3[[#This Row],[Italy fit]]*NOT(ISBLANK(Tabella3[[#This Row],[Italy data]]))</f>
        <v>0</v>
      </c>
      <c r="O120" s="10"/>
      <c r="P120" s="10">
        <f>Tabella3[[#This Row],[Lombardy data]]*NOT(ISBLANK(Tabella3[[#This Row],[Lombardy data]]))</f>
        <v>0</v>
      </c>
      <c r="Q120" s="10">
        <f>Tabella8[[#This Row],[Lombardy fit]]</f>
        <v>14918.7862035252</v>
      </c>
      <c r="R120" s="104">
        <f>Kl*_xlfn.LOGNORM.DIST(Tabella3[[#This Row],[Day]],mu_l,sigma_l,FALSE)</f>
        <v>4.8449489745294283</v>
      </c>
      <c r="S120" s="10">
        <f>Tabella3[[#This Row],[Lombardy fit]]*NOT(ISBLANK(Tabella3[[#This Row],[Lombardy data]]))</f>
        <v>0</v>
      </c>
      <c r="W120" s="10"/>
      <c r="X120" s="10">
        <f>Tabella3[[#This Row],[rest of Italy data]]*NOT(ISBLANK(Tabella3[[#This Row],[rest of Italy data]]))</f>
        <v>0</v>
      </c>
      <c r="Y120" s="10">
        <f>Tabella8[[#This Row],[rest of Italy fit]]</f>
        <v>17096.784084254017</v>
      </c>
      <c r="Z120" s="104">
        <f>Ka*_xlfn.LOGNORM.DIST(Tabella3[[#This Row],[Day]],mu_a,sigma_a,FALSE)</f>
        <v>19.702209243854881</v>
      </c>
      <c r="AA120" s="10">
        <f>Tabella3[[#This Row],[rest of Italy fit]]*NOT(ISBLANK(Tabella3[[#This Row],[rest of Italy data]]))</f>
        <v>0</v>
      </c>
    </row>
    <row r="121" spans="2:32" x14ac:dyDescent="0.3">
      <c r="B121" s="9">
        <v>43998</v>
      </c>
      <c r="C121" s="4">
        <f t="shared" si="1"/>
        <v>114</v>
      </c>
      <c r="E121" s="10"/>
      <c r="F121" s="10">
        <f>Tabella3[[#This Row],[Italy data]]*NOT(ISBLANK(Tabella3[[#This Row],[Italy data]]))</f>
        <v>0</v>
      </c>
      <c r="G121" s="136">
        <f>Tabella8[[#This Row],[Italy fit]]</f>
        <v>25979.873160030442</v>
      </c>
      <c r="H121" s="109">
        <f>Tabella3[[#This Row],[Lombardy fit]]+Tabella3[[#This Row],[rest of Italy fit]]</f>
        <v>23.323267591226333</v>
      </c>
      <c r="I121" s="104">
        <f>Kf*_xlfn.LOGNORM.DIST(Tabella3[[#This Row],[Day]],mu_f,sigma_f,FALSE)</f>
        <v>1.7292192738537202</v>
      </c>
      <c r="J121" s="10">
        <f>Tabella3[[#This Row],[Italy sum of regions]]*NOT(ISBLANK(Tabella3[[#This Row],[Italy data]]))</f>
        <v>0</v>
      </c>
      <c r="K121" s="10">
        <f>Tabella3[[#This Row],[Italy fit]]*NOT(ISBLANK(Tabella3[[#This Row],[Italy data]]))</f>
        <v>0</v>
      </c>
      <c r="O121" s="10"/>
      <c r="P121" s="10">
        <f>Tabella3[[#This Row],[Lombardy data]]*NOT(ISBLANK(Tabella3[[#This Row],[Lombardy data]]))</f>
        <v>0</v>
      </c>
      <c r="Q121" s="10">
        <f>Tabella8[[#This Row],[Lombardy fit]]</f>
        <v>14923.484387640894</v>
      </c>
      <c r="R121" s="104">
        <f>Kl*_xlfn.LOGNORM.DIST(Tabella3[[#This Row],[Day]],mu_l,sigma_l,FALSE)</f>
        <v>4.5545020257730808</v>
      </c>
      <c r="S121" s="10">
        <f>Tabella3[[#This Row],[Lombardy fit]]*NOT(ISBLANK(Tabella3[[#This Row],[Lombardy data]]))</f>
        <v>0</v>
      </c>
      <c r="W121" s="10"/>
      <c r="X121" s="10">
        <f>Tabella3[[#This Row],[rest of Italy data]]*NOT(ISBLANK(Tabella3[[#This Row],[rest of Italy data]]))</f>
        <v>0</v>
      </c>
      <c r="Y121" s="10">
        <f>Tabella8[[#This Row],[rest of Italy fit]]</f>
        <v>17116.0157492621</v>
      </c>
      <c r="Z121" s="104">
        <f>Ka*_xlfn.LOGNORM.DIST(Tabella3[[#This Row],[Day]],mu_a,sigma_a,FALSE)</f>
        <v>18.768765565453251</v>
      </c>
      <c r="AA121" s="10">
        <f>Tabella3[[#This Row],[rest of Italy fit]]*NOT(ISBLANK(Tabella3[[#This Row],[rest of Italy data]]))</f>
        <v>0</v>
      </c>
    </row>
    <row r="122" spans="2:32" x14ac:dyDescent="0.3">
      <c r="B122" s="9">
        <v>43999</v>
      </c>
      <c r="C122" s="4">
        <f t="shared" si="1"/>
        <v>115</v>
      </c>
      <c r="E122" s="10"/>
      <c r="F122" s="10">
        <f>Tabella3[[#This Row],[Italy data]]*NOT(ISBLANK(Tabella3[[#This Row],[Italy data]]))</f>
        <v>0</v>
      </c>
      <c r="G122" s="136">
        <f>Tabella8[[#This Row],[Italy fit]]</f>
        <v>25981.528604684747</v>
      </c>
      <c r="H122" s="109">
        <f>Tabella3[[#This Row],[Lombardy fit]]+Tabella3[[#This Row],[rest of Italy fit]]</f>
        <v>22.162061901750011</v>
      </c>
      <c r="I122" s="104">
        <f>Kf*_xlfn.LOGNORM.DIST(Tabella3[[#This Row],[Day]],mu_f,sigma_f,FALSE)</f>
        <v>1.5838383637252722</v>
      </c>
      <c r="J122" s="10">
        <f>Tabella3[[#This Row],[Italy sum of regions]]*NOT(ISBLANK(Tabella3[[#This Row],[Italy data]]))</f>
        <v>0</v>
      </c>
      <c r="K122" s="10">
        <f>Tabella3[[#This Row],[Italy fit]]*NOT(ISBLANK(Tabella3[[#This Row],[Italy data]]))</f>
        <v>0</v>
      </c>
      <c r="O122" s="10"/>
      <c r="P122" s="10">
        <f>Tabella3[[#This Row],[Lombardy data]]*NOT(ISBLANK(Tabella3[[#This Row],[Lombardy data]]))</f>
        <v>0</v>
      </c>
      <c r="Q122" s="10">
        <f>Tabella8[[#This Row],[Lombardy fit]]</f>
        <v>14927.901176610219</v>
      </c>
      <c r="R122" s="104">
        <f>Kl*_xlfn.LOGNORM.DIST(Tabella3[[#This Row],[Day]],mu_l,sigma_l,FALSE)</f>
        <v>4.2819647170425768</v>
      </c>
      <c r="S122" s="10">
        <f>Tabella3[[#This Row],[Lombardy fit]]*NOT(ISBLANK(Tabella3[[#This Row],[Lombardy data]]))</f>
        <v>0</v>
      </c>
      <c r="W122" s="10"/>
      <c r="X122" s="10">
        <f>Tabella3[[#This Row],[rest of Italy data]]*NOT(ISBLANK(Tabella3[[#This Row],[rest of Italy data]]))</f>
        <v>0</v>
      </c>
      <c r="Y122" s="10">
        <f>Tabella8[[#This Row],[rest of Italy fit]]</f>
        <v>17134.336539383759</v>
      </c>
      <c r="Z122" s="104">
        <f>Ka*_xlfn.LOGNORM.DIST(Tabella3[[#This Row],[Day]],mu_a,sigma_a,FALSE)</f>
        <v>17.880097184707434</v>
      </c>
      <c r="AA122" s="10">
        <f>Tabella3[[#This Row],[rest of Italy fit]]*NOT(ISBLANK(Tabella3[[#This Row],[rest of Italy data]]))</f>
        <v>0</v>
      </c>
    </row>
    <row r="123" spans="2:32" x14ac:dyDescent="0.3">
      <c r="B123" s="9">
        <v>44000</v>
      </c>
      <c r="C123" s="4">
        <f t="shared" si="1"/>
        <v>116</v>
      </c>
      <c r="E123" s="10"/>
      <c r="F123" s="10">
        <f>Tabella3[[#This Row],[Italy data]]*NOT(ISBLANK(Tabella3[[#This Row],[Italy data]]))</f>
        <v>0</v>
      </c>
      <c r="G123" s="136">
        <f>Tabella8[[#This Row],[Italy fit]]</f>
        <v>25983.044981909541</v>
      </c>
      <c r="H123" s="109">
        <f>Tabella3[[#This Row],[Lombardy fit]]+Tabella3[[#This Row],[rest of Italy fit]]</f>
        <v>21.060289701427553</v>
      </c>
      <c r="I123" s="104">
        <f>Kf*_xlfn.LOGNORM.DIST(Tabella3[[#This Row],[Day]],mu_f,sigma_f,FALSE)</f>
        <v>1.4508963469045761</v>
      </c>
      <c r="J123" s="10">
        <f>Tabella3[[#This Row],[Italy sum of regions]]*NOT(ISBLANK(Tabella3[[#This Row],[Italy data]]))</f>
        <v>0</v>
      </c>
      <c r="K123" s="10">
        <f>Tabella3[[#This Row],[Italy fit]]*NOT(ISBLANK(Tabella3[[#This Row],[Italy data]]))</f>
        <v>0</v>
      </c>
      <c r="O123" s="10"/>
      <c r="P123" s="10">
        <f>Tabella3[[#This Row],[Lombardy data]]*NOT(ISBLANK(Tabella3[[#This Row],[Lombardy data]]))</f>
        <v>0</v>
      </c>
      <c r="Q123" s="10">
        <f>Tabella8[[#This Row],[Lombardy fit]]</f>
        <v>14932.053910635439</v>
      </c>
      <c r="R123" s="104">
        <f>Kl*_xlfn.LOGNORM.DIST(Tabella3[[#This Row],[Day]],mu_l,sigma_l,FALSE)</f>
        <v>4.0262104703460864</v>
      </c>
      <c r="S123" s="10">
        <f>Tabella3[[#This Row],[Lombardy fit]]*NOT(ISBLANK(Tabella3[[#This Row],[Lombardy data]]))</f>
        <v>0</v>
      </c>
      <c r="W123" s="10"/>
      <c r="X123" s="10">
        <f>Tabella3[[#This Row],[rest of Italy data]]*NOT(ISBLANK(Tabella3[[#This Row],[rest of Italy data]]))</f>
        <v>0</v>
      </c>
      <c r="Y123" s="10">
        <f>Tabella8[[#This Row],[rest of Italy fit]]</f>
        <v>17151.790159380693</v>
      </c>
      <c r="Z123" s="104">
        <f>Ka*_xlfn.LOGNORM.DIST(Tabella3[[#This Row],[Day]],mu_a,sigma_a,FALSE)</f>
        <v>17.034079231081467</v>
      </c>
      <c r="AA123" s="10">
        <f>Tabella3[[#This Row],[rest of Italy fit]]*NOT(ISBLANK(Tabella3[[#This Row],[rest of Italy data]]))</f>
        <v>0</v>
      </c>
    </row>
    <row r="124" spans="2:32" x14ac:dyDescent="0.3">
      <c r="B124" s="9">
        <v>44001</v>
      </c>
      <c r="C124" s="4">
        <f t="shared" si="1"/>
        <v>117</v>
      </c>
      <c r="E124" s="10"/>
      <c r="F124" s="10">
        <f>Tabella3[[#This Row],[Italy data]]*NOT(ISBLANK(Tabella3[[#This Row],[Italy data]]))</f>
        <v>0</v>
      </c>
      <c r="G124" s="136">
        <f>Tabella8[[#This Row],[Italy fit]]</f>
        <v>25984.43418312732</v>
      </c>
      <c r="H124" s="109">
        <f>Tabella3[[#This Row],[Lombardy fit]]+Tabella3[[#This Row],[rest of Italy fit]]</f>
        <v>20.014866388194992</v>
      </c>
      <c r="I124" s="104">
        <f>Kf*_xlfn.LOGNORM.DIST(Tabella3[[#This Row],[Day]],mu_f,sigma_f,FALSE)</f>
        <v>1.3293147146250819</v>
      </c>
      <c r="J124" s="10">
        <f>Tabella3[[#This Row],[Italy sum of regions]]*NOT(ISBLANK(Tabella3[[#This Row],[Italy data]]))</f>
        <v>0</v>
      </c>
      <c r="K124" s="10">
        <f>Tabella3[[#This Row],[Italy fit]]*NOT(ISBLANK(Tabella3[[#This Row],[Italy data]]))</f>
        <v>0</v>
      </c>
      <c r="O124" s="10"/>
      <c r="P124" s="10">
        <f>Tabella3[[#This Row],[Lombardy data]]*NOT(ISBLANK(Tabella3[[#This Row],[Lombardy data]]))</f>
        <v>0</v>
      </c>
      <c r="Q124" s="10">
        <f>Tabella8[[#This Row],[Lombardy fit]]</f>
        <v>14935.958839453066</v>
      </c>
      <c r="R124" s="104">
        <f>Kl*_xlfn.LOGNORM.DIST(Tabella3[[#This Row],[Day]],mu_l,sigma_l,FALSE)</f>
        <v>3.7861841612919731</v>
      </c>
      <c r="S124" s="10">
        <f>Tabella3[[#This Row],[Lombardy fit]]*NOT(ISBLANK(Tabella3[[#This Row],[Lombardy data]]))</f>
        <v>0</v>
      </c>
      <c r="W124" s="10"/>
      <c r="X124" s="10">
        <f>Tabella3[[#This Row],[rest of Italy data]]*NOT(ISBLANK(Tabella3[[#This Row],[rest of Italy data]]))</f>
        <v>0</v>
      </c>
      <c r="Y124" s="10">
        <f>Tabella8[[#This Row],[rest of Italy fit]]</f>
        <v>17168.41823714256</v>
      </c>
      <c r="Z124" s="104">
        <f>Ka*_xlfn.LOGNORM.DIST(Tabella3[[#This Row],[Day]],mu_a,sigma_a,FALSE)</f>
        <v>16.228682226903018</v>
      </c>
      <c r="AA124" s="10">
        <f>Tabella3[[#This Row],[rest of Italy fit]]*NOT(ISBLANK(Tabella3[[#This Row],[rest of Italy data]]))</f>
        <v>0</v>
      </c>
    </row>
    <row r="125" spans="2:32" x14ac:dyDescent="0.3">
      <c r="B125" s="9">
        <v>44002</v>
      </c>
      <c r="C125" s="4">
        <f t="shared" si="1"/>
        <v>118</v>
      </c>
      <c r="E125" s="10"/>
      <c r="F125" s="10">
        <f>Tabella3[[#This Row],[Italy data]]*NOT(ISBLANK(Tabella3[[#This Row],[Italy data]]))</f>
        <v>0</v>
      </c>
      <c r="G125" s="136">
        <f>Tabella8[[#This Row],[Italy fit]]</f>
        <v>25985.707069089291</v>
      </c>
      <c r="H125" s="109">
        <f>Tabella3[[#This Row],[Lombardy fit]]+Tabella3[[#This Row],[rest of Italy fit]]</f>
        <v>19.022866120356383</v>
      </c>
      <c r="I125" s="104">
        <f>Kf*_xlfn.LOGNORM.DIST(Tabella3[[#This Row],[Day]],mu_f,sigma_f,FALSE)</f>
        <v>1.2181091978290914</v>
      </c>
      <c r="J125" s="10">
        <f>Tabella3[[#This Row],[Italy sum of regions]]*NOT(ISBLANK(Tabella3[[#This Row],[Italy data]]))</f>
        <v>0</v>
      </c>
      <c r="K125" s="10">
        <f>Tabella3[[#This Row],[Italy fit]]*NOT(ISBLANK(Tabella3[[#This Row],[Italy data]]))</f>
        <v>0</v>
      </c>
      <c r="O125" s="10"/>
      <c r="P125" s="10">
        <f>Tabella3[[#This Row],[Lombardy data]]*NOT(ISBLANK(Tabella3[[#This Row],[Lombardy data]]))</f>
        <v>0</v>
      </c>
      <c r="Q125" s="10">
        <f>Tabella8[[#This Row],[Lombardy fit]]</f>
        <v>14939.631191521388</v>
      </c>
      <c r="R125" s="104">
        <f>Kl*_xlfn.LOGNORM.DIST(Tabella3[[#This Row],[Day]],mu_l,sigma_l,FALSE)</f>
        <v>3.5608976330202102</v>
      </c>
      <c r="S125" s="10">
        <f>Tabella3[[#This Row],[Lombardy fit]]*NOT(ISBLANK(Tabella3[[#This Row],[Lombardy data]]))</f>
        <v>0</v>
      </c>
      <c r="W125" s="10"/>
      <c r="X125" s="10">
        <f>Tabella3[[#This Row],[rest of Italy data]]*NOT(ISBLANK(Tabella3[[#This Row],[rest of Italy data]]))</f>
        <v>0</v>
      </c>
      <c r="Y125" s="10">
        <f>Tabella8[[#This Row],[rest of Italy fit]]</f>
        <v>17184.260417275575</v>
      </c>
      <c r="Z125" s="104">
        <f>Ka*_xlfn.LOGNORM.DIST(Tabella3[[#This Row],[Day]],mu_a,sigma_a,FALSE)</f>
        <v>15.461968487336172</v>
      </c>
      <c r="AA125" s="10">
        <f>Tabella3[[#This Row],[rest of Italy fit]]*NOT(ISBLANK(Tabella3[[#This Row],[rest of Italy data]]))</f>
        <v>0</v>
      </c>
    </row>
    <row r="126" spans="2:32" x14ac:dyDescent="0.3">
      <c r="B126" s="9">
        <v>44003</v>
      </c>
      <c r="C126" s="4">
        <f t="shared" si="1"/>
        <v>119</v>
      </c>
      <c r="E126" s="10"/>
      <c r="F126" s="10">
        <f>Tabella3[[#This Row],[Italy data]]*NOT(ISBLANK(Tabella3[[#This Row],[Italy data]]))</f>
        <v>0</v>
      </c>
      <c r="G126" s="136">
        <f>Tabella8[[#This Row],[Italy fit]]</f>
        <v>25986.873559935331</v>
      </c>
      <c r="H126" s="109">
        <f>Tabella3[[#This Row],[Lombardy fit]]+Tabella3[[#This Row],[rest of Italy fit]]</f>
        <v>18.081514056701625</v>
      </c>
      <c r="I126" s="104">
        <f>Kf*_xlfn.LOGNORM.DIST(Tabella3[[#This Row],[Day]],mu_f,sigma_f,FALSE)</f>
        <v>1.1163815315133623</v>
      </c>
      <c r="J126" s="10">
        <f>Tabella3[[#This Row],[Italy sum of regions]]*NOT(ISBLANK(Tabella3[[#This Row],[Italy data]]))</f>
        <v>0</v>
      </c>
      <c r="K126" s="10">
        <f>Tabella3[[#This Row],[Italy fit]]*NOT(ISBLANK(Tabella3[[#This Row],[Italy data]]))</f>
        <v>0</v>
      </c>
      <c r="O126" s="10"/>
      <c r="P126" s="10">
        <f>Tabella3[[#This Row],[Lombardy data]]*NOT(ISBLANK(Tabella3[[#This Row],[Lombardy data]]))</f>
        <v>0</v>
      </c>
      <c r="Q126" s="10">
        <f>Tabella8[[#This Row],[Lombardy fit]]</f>
        <v>14943.085238857819</v>
      </c>
      <c r="R126" s="104">
        <f>Kl*_xlfn.LOGNORM.DIST(Tabella3[[#This Row],[Day]],mu_l,sigma_l,FALSE)</f>
        <v>3.3494254795753093</v>
      </c>
      <c r="S126" s="10">
        <f>Tabella3[[#This Row],[Lombardy fit]]*NOT(ISBLANK(Tabella3[[#This Row],[Lombardy data]]))</f>
        <v>0</v>
      </c>
      <c r="W126" s="10"/>
      <c r="X126" s="10">
        <f>Tabella3[[#This Row],[rest of Italy data]]*NOT(ISBLANK(Tabella3[[#This Row],[rest of Italy data]]))</f>
        <v>0</v>
      </c>
      <c r="Y126" s="10">
        <f>Tabella8[[#This Row],[rest of Italy fit]]</f>
        <v>17199.354451118532</v>
      </c>
      <c r="Z126" s="104">
        <f>Ka*_xlfn.LOGNORM.DIST(Tabella3[[#This Row],[Day]],mu_a,sigma_a,FALSE)</f>
        <v>14.732088577126316</v>
      </c>
      <c r="AA126" s="10">
        <f>Tabella3[[#This Row],[rest of Italy fit]]*NOT(ISBLANK(Tabella3[[#This Row],[rest of Italy data]]))</f>
        <v>0</v>
      </c>
    </row>
    <row r="127" spans="2:32" x14ac:dyDescent="0.3">
      <c r="B127" s="9">
        <v>44004</v>
      </c>
      <c r="C127" s="4">
        <f t="shared" si="1"/>
        <v>120</v>
      </c>
      <c r="E127" s="10"/>
      <c r="F127" s="10">
        <f>Tabella3[[#This Row],[Italy data]]*NOT(ISBLANK(Tabella3[[#This Row],[Italy data]]))</f>
        <v>0</v>
      </c>
      <c r="G127" s="136">
        <f>Tabella8[[#This Row],[Italy fit]]</f>
        <v>25987.942717379297</v>
      </c>
      <c r="H127" s="109">
        <f>Tabella3[[#This Row],[Lombardy fit]]+Tabella3[[#This Row],[rest of Italy fit]]</f>
        <v>17.188178918112659</v>
      </c>
      <c r="I127" s="104">
        <f>Kf*_xlfn.LOGNORM.DIST(Tabella3[[#This Row],[Day]],mu_f,sigma_f,FALSE)</f>
        <v>1.0233119307075398</v>
      </c>
      <c r="J127" s="10">
        <f>Tabella3[[#This Row],[Italy sum of regions]]*NOT(ISBLANK(Tabella3[[#This Row],[Italy data]]))</f>
        <v>0</v>
      </c>
      <c r="K127" s="10">
        <f>Tabella3[[#This Row],[Italy fit]]*NOT(ISBLANK(Tabella3[[#This Row],[Italy data]]))</f>
        <v>0</v>
      </c>
      <c r="O127" s="10"/>
      <c r="P127" s="10">
        <f>Tabella3[[#This Row],[Lombardy data]]*NOT(ISBLANK(Tabella3[[#This Row],[Lombardy data]]))</f>
        <v>0</v>
      </c>
      <c r="Q127" s="10">
        <f>Tabella8[[#This Row],[Lombardy fit]]</f>
        <v>14946.334357788395</v>
      </c>
      <c r="R127" s="104">
        <f>Kl*_xlfn.LOGNORM.DIST(Tabella3[[#This Row],[Day]],mu_l,sigma_l,FALSE)</f>
        <v>3.1509010844428436</v>
      </c>
      <c r="S127" s="10">
        <f>Tabella3[[#This Row],[Lombardy fit]]*NOT(ISBLANK(Tabella3[[#This Row],[Lombardy data]]))</f>
        <v>0</v>
      </c>
      <c r="W127" s="10"/>
      <c r="X127" s="10">
        <f>Tabella3[[#This Row],[rest of Italy data]]*NOT(ISBLANK(Tabella3[[#This Row],[rest of Italy data]]))</f>
        <v>0</v>
      </c>
      <c r="Y127" s="10">
        <f>Tabella8[[#This Row],[rest of Italy fit]]</f>
        <v>17213.736283248072</v>
      </c>
      <c r="Z127" s="104">
        <f>Ka*_xlfn.LOGNORM.DIST(Tabella3[[#This Row],[Day]],mu_a,sigma_a,FALSE)</f>
        <v>14.037277833669815</v>
      </c>
      <c r="AA127" s="10">
        <f>Tabella3[[#This Row],[rest of Italy fit]]*NOT(ISBLANK(Tabella3[[#This Row],[rest of Italy data]]))</f>
        <v>0</v>
      </c>
    </row>
    <row r="128" spans="2:32" x14ac:dyDescent="0.3">
      <c r="B128" s="9">
        <v>44005</v>
      </c>
      <c r="C128" s="4">
        <f t="shared" si="1"/>
        <v>121</v>
      </c>
      <c r="E128" s="10"/>
      <c r="F128" s="10">
        <f>Tabella3[[#This Row],[Italy data]]*NOT(ISBLANK(Tabella3[[#This Row],[Italy data]]))</f>
        <v>0</v>
      </c>
      <c r="G128" s="136">
        <f>Tabella8[[#This Row],[Italy fit]]</f>
        <v>25988.922819701056</v>
      </c>
      <c r="H128" s="109">
        <f>Tabella3[[#This Row],[Lombardy fit]]+Tabella3[[#This Row],[rest of Italy fit]]</f>
        <v>16.340365864745834</v>
      </c>
      <c r="I128" s="104">
        <f>Kf*_xlfn.LOGNORM.DIST(Tabella3[[#This Row],[Day]],mu_f,sigma_f,FALSE)</f>
        <v>0.93815221843047081</v>
      </c>
      <c r="J128" s="10">
        <f>Tabella3[[#This Row],[Italy sum of regions]]*NOT(ISBLANK(Tabella3[[#This Row],[Italy data]]))</f>
        <v>0</v>
      </c>
      <c r="K128" s="10">
        <f>Tabella3[[#This Row],[Italy fit]]*NOT(ISBLANK(Tabella3[[#This Row],[Italy data]]))</f>
        <v>0</v>
      </c>
      <c r="O128" s="10"/>
      <c r="P128" s="10">
        <f>Tabella3[[#This Row],[Lombardy data]]*NOT(ISBLANK(Tabella3[[#This Row],[Lombardy data]]))</f>
        <v>0</v>
      </c>
      <c r="Q128" s="10">
        <f>Tabella8[[#This Row],[Lombardy fit]]</f>
        <v>14949.39108585762</v>
      </c>
      <c r="R128" s="104">
        <f>Kl*_xlfn.LOGNORM.DIST(Tabella3[[#This Row],[Day]],mu_l,sigma_l,FALSE)</f>
        <v>2.9645129004537814</v>
      </c>
      <c r="S128" s="10">
        <f>Tabella3[[#This Row],[Lombardy fit]]*NOT(ISBLANK(Tabella3[[#This Row],[Lombardy data]]))</f>
        <v>0</v>
      </c>
      <c r="W128" s="10"/>
      <c r="X128" s="10">
        <f>Tabella3[[#This Row],[rest of Italy data]]*NOT(ISBLANK(Tabella3[[#This Row],[rest of Italy data]]))</f>
        <v>0</v>
      </c>
      <c r="Y128" s="10">
        <f>Tabella8[[#This Row],[rest of Italy fit]]</f>
        <v>17227.440134543478</v>
      </c>
      <c r="Z128" s="104">
        <f>Ka*_xlfn.LOGNORM.DIST(Tabella3[[#This Row],[Day]],mu_a,sigma_a,FALSE)</f>
        <v>13.375852964292053</v>
      </c>
      <c r="AA128" s="10">
        <f>Tabella3[[#This Row],[rest of Italy fit]]*NOT(ISBLANK(Tabella3[[#This Row],[rest of Italy data]]))</f>
        <v>0</v>
      </c>
    </row>
    <row r="129" spans="2:27" x14ac:dyDescent="0.3">
      <c r="B129" s="9">
        <v>44006</v>
      </c>
      <c r="C129" s="4">
        <f t="shared" si="1"/>
        <v>122</v>
      </c>
      <c r="E129" s="10"/>
      <c r="F129" s="10">
        <f>Tabella3[[#This Row],[Italy data]]*NOT(ISBLANK(Tabella3[[#This Row],[Italy data]]))</f>
        <v>0</v>
      </c>
      <c r="G129" s="136">
        <f>Tabella8[[#This Row],[Italy fit]]</f>
        <v>25989.821430169381</v>
      </c>
      <c r="H129" s="109">
        <f>Tabella3[[#This Row],[Lombardy fit]]+Tabella3[[#This Row],[rest of Italy fit]]</f>
        <v>15.535709681913783</v>
      </c>
      <c r="I129" s="104">
        <f>Kf*_xlfn.LOGNORM.DIST(Tabella3[[#This Row],[Day]],mu_f,sigma_f,FALSE)</f>
        <v>0.86021955064491762</v>
      </c>
      <c r="J129" s="10">
        <f>Tabella3[[#This Row],[Italy sum of regions]]*NOT(ISBLANK(Tabella3[[#This Row],[Italy data]]))</f>
        <v>0</v>
      </c>
      <c r="K129" s="10">
        <f>Tabella3[[#This Row],[Italy fit]]*NOT(ISBLANK(Tabella3[[#This Row],[Italy data]]))</f>
        <v>0</v>
      </c>
      <c r="O129" s="10"/>
      <c r="P129" s="10">
        <f>Tabella3[[#This Row],[Lombardy data]]*NOT(ISBLANK(Tabella3[[#This Row],[Lombardy data]]))</f>
        <v>0</v>
      </c>
      <c r="Q129" s="10">
        <f>Tabella8[[#This Row],[Lombardy fit]]</f>
        <v>14952.267175133333</v>
      </c>
      <c r="R129" s="104">
        <f>Kl*_xlfn.LOGNORM.DIST(Tabella3[[#This Row],[Day]],mu_l,sigma_l,FALSE)</f>
        <v>2.7895009577701062</v>
      </c>
      <c r="S129" s="10">
        <f>Tabella3[[#This Row],[Lombardy fit]]*NOT(ISBLANK(Tabella3[[#This Row],[Lombardy data]]))</f>
        <v>0</v>
      </c>
      <c r="W129" s="10"/>
      <c r="X129" s="10">
        <f>Tabella3[[#This Row],[rest of Italy data]]*NOT(ISBLANK(Tabella3[[#This Row],[rest of Italy data]]))</f>
        <v>0</v>
      </c>
      <c r="Y129" s="10">
        <f>Tabella8[[#This Row],[rest of Italy fit]]</f>
        <v>17240.498581888613</v>
      </c>
      <c r="Z129" s="104">
        <f>Ka*_xlfn.LOGNORM.DIST(Tabella3[[#This Row],[Day]],mu_a,sigma_a,FALSE)</f>
        <v>12.746208724143678</v>
      </c>
      <c r="AA129" s="10">
        <f>Tabella3[[#This Row],[rest of Italy fit]]*NOT(ISBLANK(Tabella3[[#This Row],[rest of Italy data]]))</f>
        <v>0</v>
      </c>
    </row>
    <row r="130" spans="2:27" x14ac:dyDescent="0.3">
      <c r="B130" s="9">
        <v>44007</v>
      </c>
      <c r="C130" s="4">
        <f t="shared" si="1"/>
        <v>123</v>
      </c>
      <c r="E130" s="10"/>
      <c r="F130" s="10">
        <f>Tabella3[[#This Row],[Italy data]]*NOT(ISBLANK(Tabella3[[#This Row],[Italy data]]))</f>
        <v>0</v>
      </c>
      <c r="G130" s="136">
        <f>Tabella8[[#This Row],[Italy fit]]</f>
        <v>25990.645459467025</v>
      </c>
      <c r="H130" s="109">
        <f>Tabella3[[#This Row],[Lombardy fit]]+Tabella3[[#This Row],[rest of Italy fit]]</f>
        <v>14.771968267013531</v>
      </c>
      <c r="I130" s="104">
        <f>Kf*_xlfn.LOGNORM.DIST(Tabella3[[#This Row],[Day]],mu_f,sigma_f,FALSE)</f>
        <v>0.78889068759402547</v>
      </c>
      <c r="J130" s="10">
        <f>Tabella3[[#This Row],[Italy sum of regions]]*NOT(ISBLANK(Tabella3[[#This Row],[Italy data]]))</f>
        <v>0</v>
      </c>
      <c r="K130" s="10">
        <f>Tabella3[[#This Row],[Italy fit]]*NOT(ISBLANK(Tabella3[[#This Row],[Italy data]]))</f>
        <v>0</v>
      </c>
      <c r="O130" s="10"/>
      <c r="P130" s="10">
        <f>Tabella3[[#This Row],[Lombardy data]]*NOT(ISBLANK(Tabella3[[#This Row],[Lombardy data]]))</f>
        <v>0</v>
      </c>
      <c r="Q130" s="10">
        <f>Tabella8[[#This Row],[Lombardy fit]]</f>
        <v>14954.97364212826</v>
      </c>
      <c r="R130" s="104">
        <f>Kl*_xlfn.LOGNORM.DIST(Tabella3[[#This Row],[Day]],mu_l,sigma_l,FALSE)</f>
        <v>2.6251535871912748</v>
      </c>
      <c r="S130" s="10">
        <f>Tabella3[[#This Row],[Lombardy fit]]*NOT(ISBLANK(Tabella3[[#This Row],[Lombardy data]]))</f>
        <v>0</v>
      </c>
      <c r="W130" s="10"/>
      <c r="X130" s="10">
        <f>Tabella3[[#This Row],[rest of Italy data]]*NOT(ISBLANK(Tabella3[[#This Row],[rest of Italy data]]))</f>
        <v>0</v>
      </c>
      <c r="Y130" s="10">
        <f>Tabella8[[#This Row],[rest of Italy fit]]</f>
        <v>17252.942634594223</v>
      </c>
      <c r="Z130" s="104">
        <f>Ka*_xlfn.LOGNORM.DIST(Tabella3[[#This Row],[Day]],mu_a,sigma_a,FALSE)</f>
        <v>12.146814679822256</v>
      </c>
      <c r="AA130" s="10">
        <f>Tabella3[[#This Row],[rest of Italy fit]]*NOT(ISBLANK(Tabella3[[#This Row],[rest of Italy data]]))</f>
        <v>0</v>
      </c>
    </row>
  </sheetData>
  <mergeCells count="9">
    <mergeCell ref="AS8:AS17"/>
    <mergeCell ref="B2:F2"/>
    <mergeCell ref="F3:F6"/>
    <mergeCell ref="AH3:AL3"/>
    <mergeCell ref="B4:E4"/>
    <mergeCell ref="B5:E5"/>
    <mergeCell ref="AH4:AL4"/>
    <mergeCell ref="AH5:AL5"/>
    <mergeCell ref="I3:K6"/>
  </mergeCells>
  <phoneticPr fontId="26" type="noConversion"/>
  <pageMargins left="0.7" right="0.7" top="0.75" bottom="0.75" header="0.3" footer="0.3"/>
  <pageSetup paperSize="9"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79</vt:i4>
      </vt:variant>
    </vt:vector>
  </HeadingPairs>
  <TitlesOfParts>
    <vt:vector size="83" baseType="lpstr">
      <vt:lpstr>dpc-covid19-ita-andamento-naz</vt:lpstr>
      <vt:lpstr>dpc-covid19-ita-regioni</vt:lpstr>
      <vt:lpstr>Cumul_deaths - LNorm</vt:lpstr>
      <vt:lpstr>New_deaths - LNorm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df</vt:lpstr>
      <vt:lpstr>dfa</vt:lpstr>
      <vt:lpstr>dff</vt:lpstr>
      <vt:lpstr>dfl</vt:lpstr>
      <vt:lpstr>dfo</vt:lpstr>
      <vt:lpstr>dfr</vt:lpstr>
      <vt:lpstr>dft</vt:lpstr>
      <vt:lpstr>dfw</vt:lpstr>
      <vt:lpstr>k_a</vt:lpstr>
      <vt:lpstr>k_f</vt:lpstr>
      <vt:lpstr>k_l</vt:lpstr>
      <vt:lpstr>Ka</vt:lpstr>
      <vt:lpstr>Kf</vt:lpstr>
      <vt:lpstr>Kl</vt:lpstr>
      <vt:lpstr>Ko</vt:lpstr>
      <vt:lpstr>Kr</vt:lpstr>
      <vt:lpstr>Kt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mu_a</vt:lpstr>
      <vt:lpstr>mu_f</vt:lpstr>
      <vt:lpstr>mu_l</vt:lpstr>
      <vt:lpstr>mu_o</vt:lpstr>
      <vt:lpstr>mu_r</vt:lpstr>
      <vt:lpstr>mu_t</vt:lpstr>
      <vt:lpstr>pa</vt:lpstr>
      <vt:lpstr>Peak_w</vt:lpstr>
      <vt:lpstr>pf</vt:lpstr>
      <vt:lpstr>pl</vt:lpstr>
      <vt:lpstr>po</vt:lpstr>
      <vt:lpstr>pr</vt:lpstr>
      <vt:lpstr>pt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sigma_a</vt:lpstr>
      <vt:lpstr>sigma_f</vt:lpstr>
      <vt:lpstr>sigma_l</vt:lpstr>
      <vt:lpstr>sigma_o</vt:lpstr>
      <vt:lpstr>sigma_r</vt:lpstr>
      <vt:lpstr>sigma_t</vt:lpstr>
      <vt:lpstr>y_a_peak</vt:lpstr>
      <vt:lpstr>y_f_peak</vt:lpstr>
      <vt:lpstr>y_l_peak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2020-04-23T01:17:30Z</dcterms:modified>
</cp:coreProperties>
</file>