
<file path=[Content_Types].xml><?xml version="1.0" encoding="utf-8"?>
<Types xmlns="http://schemas.openxmlformats.org/package/2006/content-types">
  <Default Extension="data" ContentType="application/vnd.openxmlformats-officedocument.model+data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8BAD0962-A7A2-42CD-AD27-208E231DE8E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19-ita-andamento-naz" sheetId="18" r:id="rId1"/>
    <sheet name="New_confirmed - ExpPwLaw" sheetId="19" r:id="rId2"/>
    <sheet name="Cumul_confirmed - ExpPwLaw" sheetId="12" r:id="rId3"/>
  </sheets>
  <definedNames>
    <definedName name="_xlcn.WorksheetConnection_COVID19ItalycasestrendBfit.xlsxdpc_covid19_ita_andamento_nazionale1" hidden="1">dpc_covid19_ita_andamento_nazionale</definedName>
    <definedName name="CI">'Cumul_confirmed - ExpPwLaw'!$AG$16</definedName>
    <definedName name="CId">'New_confirmed - ExpPwLaw'!$AG$28</definedName>
    <definedName name="CIh">'Cumul_confirmed - ExpPwLaw'!$AG$40</definedName>
    <definedName name="CIn">'New_confirmed - ExpPwLaw'!$AG$16</definedName>
    <definedName name="CIr">'Cumul_confirmed - ExpPwLaw'!$AG$28</definedName>
    <definedName name="CIt">'New_confirmed - ExpPwLaw'!$AG$40</definedName>
    <definedName name="Critical_t">'Cumul_confirmed - ExpPwLaw'!$AG$15</definedName>
    <definedName name="Critical_td">'New_confirmed - ExpPwLaw'!$AG$27</definedName>
    <definedName name="Critical_th">'Cumul_confirmed - ExpPwLaw'!$AG$39</definedName>
    <definedName name="Critical_tn">'New_confirmed - ExpPwLaw'!$AG$15</definedName>
    <definedName name="Critical_tr">'Cumul_confirmed - ExpPwLaw'!$AG$27</definedName>
    <definedName name="Critical_tt">'New_confirmed - ExpPwLaw'!$AG$39</definedName>
    <definedName name="DatiEsterni_1" localSheetId="0" hidden="1">'dpc-covid19-ita-andamento-naz'!$A$1:$O$49</definedName>
    <definedName name="DatiEsterni_2" localSheetId="0" hidden="1">'dpc-covid19-ita-andamento-naz'!#REF!</definedName>
    <definedName name="df">'Cumul_confirmed - ExpPwLaw'!$AG$12</definedName>
    <definedName name="dfd">'New_confirmed - ExpPwLaw'!$AG$24</definedName>
    <definedName name="dfh">'Cumul_confirmed - ExpPwLaw'!$AG$36</definedName>
    <definedName name="dfn">'New_confirmed - ExpPwLaw'!$AG$12</definedName>
    <definedName name="dfr">'Cumul_confirmed - ExpPwLaw'!$AG$24</definedName>
    <definedName name="dft">'New_confirmed - ExpPwLaw'!$AG$36</definedName>
    <definedName name="dpc_covid19_ita_andamento_nazionale_1" localSheetId="2" hidden="1">'Cumul_confirmed - ExpPwLaw'!#REF!</definedName>
    <definedName name="k">'Cumul_confirmed - ExpPwLaw'!$AG$8</definedName>
    <definedName name="Kd">'New_confirmed - ExpPwLaw'!$AG$20</definedName>
    <definedName name="kh">'Cumul_confirmed - ExpPwLaw'!$AG$32</definedName>
    <definedName name="Kn">'New_confirmed - ExpPwLaw'!$AG$8</definedName>
    <definedName name="kr">'Cumul_confirmed - ExpPwLaw'!$AG$20</definedName>
    <definedName name="kt">'New_confirmed - ExpPwLaw'!$AG$32</definedName>
    <definedName name="Mean_of_y">'Cumul_confirmed - ExpPwLaw'!$AG$11</definedName>
    <definedName name="Mean_of_yd">'New_confirmed - ExpPwLaw'!$AG$23</definedName>
    <definedName name="Mean_of_yh">'Cumul_confirmed - ExpPwLaw'!$AG$35</definedName>
    <definedName name="Mean_of_yn">'New_confirmed - ExpPwLaw'!$AG$11</definedName>
    <definedName name="Mean_of_yr">'Cumul_confirmed - ExpPwLaw'!$AG$23</definedName>
    <definedName name="Mean_of_yt">'New_confirmed - ExpPwLaw'!$AG$35</definedName>
    <definedName name="Peak">'Cumul_confirmed - ExpPwLaw'!$AG$17</definedName>
    <definedName name="Peak_d">'New_confirmed - ExpPwLaw'!$AG$29</definedName>
    <definedName name="Peak_h">'Cumul_confirmed - ExpPwLaw'!$AG$41</definedName>
    <definedName name="Peak_n">'New_confirmed - ExpPwLaw'!$AG$17</definedName>
    <definedName name="Peak_r">'Cumul_confirmed - ExpPwLaw'!$AG$29</definedName>
    <definedName name="Peak_t">'New_confirmed - ExpPwLaw'!$AG$41</definedName>
    <definedName name="RSQ">'Cumul_confirmed - ExpPwLaw'!$AG$14</definedName>
    <definedName name="RSQd">'New_confirmed - ExpPwLaw'!$AG$26</definedName>
    <definedName name="RSQh">'Cumul_confirmed - ExpPwLaw'!$AG$38</definedName>
    <definedName name="RSQn">'New_confirmed - ExpPwLaw'!$AG$14</definedName>
    <definedName name="RSQr">'Cumul_confirmed - ExpPwLaw'!$AG$26</definedName>
    <definedName name="RSQt">'New_confirmed - ExpPwLaw'!$AG$38</definedName>
    <definedName name="SE_of_y">'Cumul_confirmed - ExpPwLaw'!$AG$13</definedName>
    <definedName name="SE_of_yd">'New_confirmed - ExpPwLaw'!$AG$25</definedName>
    <definedName name="SE_of_yh">'Cumul_confirmed - ExpPwLaw'!$AG$37</definedName>
    <definedName name="SE_of_yn">'New_confirmed - ExpPwLaw'!$AG$13</definedName>
    <definedName name="SE_of_yr">'Cumul_confirmed - ExpPwLaw'!$AG$25</definedName>
    <definedName name="SE_of_yt">'New_confirmed - ExpPwLaw'!$AG$37</definedName>
    <definedName name="solver_adj" localSheetId="2" hidden="1">'Cumul_confirmed - ExpPwLaw'!$N$19,'Cumul_confirmed - ExpPwLaw'!$N$20</definedName>
    <definedName name="solver_adj" localSheetId="1" hidden="1">'New_confirmed - ExpPwLaw'!$AG$8,'New_confirmed - ExpPwLaw'!$AG$9,'New_confirmed - ExpPwLaw'!$AG$10</definedName>
    <definedName name="solver_cvg" localSheetId="2" hidden="1">0.0001</definedName>
    <definedName name="solver_cvg" localSheetId="1" hidden="1">0.0001</definedName>
    <definedName name="solver_drv" localSheetId="2" hidden="1">2</definedName>
    <definedName name="solver_drv" localSheetId="1" hidden="1">1</definedName>
    <definedName name="solver_eng" localSheetId="2" hidden="1">1</definedName>
    <definedName name="solver_eng" localSheetId="1" hidden="1">1</definedName>
    <definedName name="solver_est" localSheetId="2" hidden="1">1</definedName>
    <definedName name="solver_est" localSheetId="1" hidden="1">1</definedName>
    <definedName name="solver_itr" localSheetId="2" hidden="1">2147483647</definedName>
    <definedName name="solver_itr" localSheetId="1" hidden="1">2147483647</definedName>
    <definedName name="solver_lhs1" localSheetId="2" hidden="1">'Cumul_confirmed - ExpPwLaw'!$N$8</definedName>
    <definedName name="solver_lhs1" localSheetId="1" hidden="1">'New_confirmed - ExpPwLaw'!$AG$9</definedName>
    <definedName name="solver_lhs2" localSheetId="2" hidden="1">'Cumul_confirmed - ExpPwLaw'!$N$8</definedName>
    <definedName name="solver_lhs2" localSheetId="1" hidden="1">'New_confirmed - ExpPwLaw'!$AG$9</definedName>
    <definedName name="solver_lhs3" localSheetId="2" hidden="1">'Cumul_confirmed - ExpPwLaw'!$N$9</definedName>
    <definedName name="solver_lin" localSheetId="1" hidden="1">2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1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0</definedName>
    <definedName name="solver_num" localSheetId="1" hidden="1">0</definedName>
    <definedName name="solver_nwt" localSheetId="2" hidden="1">1</definedName>
    <definedName name="solver_nwt" localSheetId="1" hidden="1">1</definedName>
    <definedName name="solver_opt" localSheetId="2" hidden="1">'Cumul_confirmed - ExpPwLaw'!$N$24</definedName>
    <definedName name="solver_opt" localSheetId="1" hidden="1">'New_confirmed - ExpPwLaw'!$AG$14</definedName>
    <definedName name="solver_pre" localSheetId="2" hidden="1">0.000001</definedName>
    <definedName name="solver_pre" localSheetId="1" hidden="1">0.000001</definedName>
    <definedName name="solver_rbv" localSheetId="2" hidden="1">2</definedName>
    <definedName name="solver_rbv" localSheetId="1" hidden="1">1</definedName>
    <definedName name="solver_rel1" localSheetId="2" hidden="1">4</definedName>
    <definedName name="solver_rel1" localSheetId="1" hidden="1">4</definedName>
    <definedName name="solver_rel2" localSheetId="2" hidden="1">4</definedName>
    <definedName name="solver_rel2" localSheetId="1" hidden="1">4</definedName>
    <definedName name="solver_rel3" localSheetId="2" hidden="1">4</definedName>
    <definedName name="solver_rhs1" localSheetId="2" hidden="1">intero</definedName>
    <definedName name="solver_rhs1" localSheetId="1" hidden="1">intero</definedName>
    <definedName name="solver_rhs2" localSheetId="2" hidden="1">intero</definedName>
    <definedName name="solver_rhs2" localSheetId="1" hidden="1">intero</definedName>
    <definedName name="solver_rhs3" localSheetId="2" hidden="1">intero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2</definedName>
    <definedName name="solver_scl" localSheetId="1" hidden="1">1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</definedName>
    <definedName name="solver_tol" localSheetId="1" hidden="1">0</definedName>
    <definedName name="solver_typ" localSheetId="2" hidden="1">1</definedName>
    <definedName name="solver_typ" localSheetId="1" hidden="1">1</definedName>
    <definedName name="solver_val" localSheetId="2" hidden="1">0</definedName>
    <definedName name="solver_val" localSheetId="1" hidden="1">0</definedName>
    <definedName name="solver_ver" localSheetId="2" hidden="1">3</definedName>
    <definedName name="solver_ver" localSheetId="1" hidden="1">3</definedName>
    <definedName name="t">'Cumul_confirmed - ExpPwLaw'!$AG$18</definedName>
    <definedName name="t_d">'New_confirmed - ExpPwLaw'!$AG$30</definedName>
    <definedName name="t_h">'Cumul_confirmed - ExpPwLaw'!$AG$42</definedName>
    <definedName name="t_n">'New_confirmed - ExpPwLaw'!$AG$18</definedName>
    <definedName name="t_r">'Cumul_confirmed - ExpPwLaw'!$AG$30</definedName>
    <definedName name="t_t">'New_confirmed - ExpPwLaw'!$AG$42</definedName>
    <definedName name="t0">'Cumul_confirmed - ExpPwLaw'!$AG$9</definedName>
    <definedName name="t0d">'New_confirmed - ExpPwLaw'!$AG$21</definedName>
    <definedName name="t0f">'New_confirmed - ExpPwLaw'!$AF$45</definedName>
    <definedName name="t0h">'Cumul_confirmed - ExpPwLaw'!$AG$33</definedName>
    <definedName name="t0n">'New_confirmed - ExpPwLaw'!$AG$9</definedName>
    <definedName name="t0r">'Cumul_confirmed - ExpPwLaw'!$AG$21</definedName>
    <definedName name="t0t">'New_confirmed - ExpPwLaw'!$AG$33</definedName>
    <definedName name="w">'Cumul_confirmed - ExpPwLaw'!$AG$10</definedName>
    <definedName name="wd">'New_confirmed - ExpPwLaw'!$AG$22</definedName>
    <definedName name="wf">'New_confirmed - ExpPwLaw'!$AF$46</definedName>
    <definedName name="wh">'Cumul_confirmed - ExpPwLaw'!$AG$34</definedName>
    <definedName name="wn">'New_confirmed - ExpPwLaw'!$AG$10</definedName>
    <definedName name="wr">'Cumul_confirmed - ExpPwLaw'!$AG$22</definedName>
    <definedName name="wt">'New_confirmed - ExpPwLaw'!$AG$34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55" i="12" l="1"/>
  <c r="AD55" i="12"/>
  <c r="X53" i="12"/>
  <c r="X54" i="12"/>
  <c r="X55" i="12"/>
  <c r="W53" i="12"/>
  <c r="W54" i="12"/>
  <c r="W55" i="12"/>
  <c r="U54" i="12"/>
  <c r="V54" i="12"/>
  <c r="U55" i="12"/>
  <c r="V55" i="12"/>
  <c r="P53" i="12"/>
  <c r="P54" i="12"/>
  <c r="P55" i="12"/>
  <c r="O54" i="12"/>
  <c r="O55" i="12"/>
  <c r="M54" i="12"/>
  <c r="M55" i="12"/>
  <c r="L53" i="12"/>
  <c r="L54" i="12"/>
  <c r="L55" i="12"/>
  <c r="D53" i="12"/>
  <c r="E53" i="12"/>
  <c r="D54" i="12"/>
  <c r="E54" i="12"/>
  <c r="D55" i="12"/>
  <c r="E55" i="12"/>
  <c r="X54" i="19" l="1"/>
  <c r="X55" i="19"/>
  <c r="W53" i="19"/>
  <c r="W54" i="19"/>
  <c r="W55" i="19"/>
  <c r="P54" i="19"/>
  <c r="P55" i="19"/>
  <c r="O53" i="19"/>
  <c r="O54" i="19"/>
  <c r="O55" i="19"/>
  <c r="M53" i="19"/>
  <c r="M54" i="19"/>
  <c r="M55" i="19"/>
  <c r="L53" i="19"/>
  <c r="L54" i="19"/>
  <c r="L55" i="19"/>
  <c r="E53" i="19"/>
  <c r="E54" i="19"/>
  <c r="E55" i="19"/>
  <c r="D53" i="19"/>
  <c r="D54" i="19"/>
  <c r="D55" i="19"/>
  <c r="O53" i="12" l="1"/>
  <c r="L52" i="12"/>
  <c r="M52" i="12"/>
  <c r="M53" i="12"/>
  <c r="D52" i="12"/>
  <c r="E52" i="12"/>
  <c r="W52" i="19"/>
  <c r="X53" i="19" s="1"/>
  <c r="O52" i="19"/>
  <c r="P53" i="19" s="1"/>
  <c r="L52" i="19"/>
  <c r="M52" i="19"/>
  <c r="E52" i="19"/>
  <c r="D52" i="19"/>
  <c r="AT11" i="19" l="1"/>
  <c r="AT10" i="19"/>
  <c r="AT9" i="19"/>
  <c r="AT21" i="19"/>
  <c r="AT20" i="19"/>
  <c r="AT19" i="19"/>
  <c r="AG8" i="12"/>
  <c r="AG20" i="12"/>
  <c r="AG32" i="12"/>
  <c r="AT31" i="19"/>
  <c r="AT30" i="19"/>
  <c r="AT29" i="19"/>
  <c r="AG41" i="19"/>
  <c r="AG29" i="19"/>
  <c r="AG17" i="19"/>
  <c r="AA9" i="19"/>
  <c r="AA10" i="19"/>
  <c r="AA11" i="19"/>
  <c r="AA12" i="19"/>
  <c r="AA13" i="19"/>
  <c r="AA14" i="19"/>
  <c r="AA15" i="19"/>
  <c r="AA16" i="19"/>
  <c r="AA17" i="19"/>
  <c r="AA18" i="19"/>
  <c r="AA19" i="19"/>
  <c r="AA20" i="19"/>
  <c r="AA21" i="19"/>
  <c r="AA22" i="19"/>
  <c r="AA23" i="19"/>
  <c r="AA24" i="19"/>
  <c r="AA25" i="19"/>
  <c r="AA26" i="19"/>
  <c r="AA27" i="19"/>
  <c r="AA28" i="19"/>
  <c r="AA29" i="19"/>
  <c r="AA30" i="19"/>
  <c r="AA31" i="19"/>
  <c r="AA32" i="19"/>
  <c r="AA33" i="19"/>
  <c r="AA34" i="19"/>
  <c r="AA35" i="19"/>
  <c r="AA36" i="19"/>
  <c r="AA37" i="19"/>
  <c r="AA38" i="19"/>
  <c r="AA39" i="19"/>
  <c r="AA40" i="19"/>
  <c r="AA41" i="19"/>
  <c r="AA42" i="19"/>
  <c r="AA43" i="19"/>
  <c r="AA44" i="19"/>
  <c r="AA45" i="19"/>
  <c r="AA46" i="19"/>
  <c r="AA47" i="19"/>
  <c r="AA48" i="19"/>
  <c r="AA49" i="19"/>
  <c r="AA50" i="19"/>
  <c r="AA51" i="19"/>
  <c r="AA52" i="19"/>
  <c r="AA53" i="19"/>
  <c r="AA54" i="19"/>
  <c r="AA55" i="19"/>
  <c r="AA56" i="19"/>
  <c r="AA57" i="19"/>
  <c r="AA58" i="19"/>
  <c r="AA59" i="19"/>
  <c r="AA60" i="19"/>
  <c r="AA61" i="19"/>
  <c r="AA62" i="19"/>
  <c r="AA63" i="19"/>
  <c r="AA64" i="19"/>
  <c r="AA65" i="19"/>
  <c r="AA66" i="19"/>
  <c r="AA67" i="19"/>
  <c r="AA68" i="19"/>
  <c r="AA69" i="19"/>
  <c r="AA70" i="19"/>
  <c r="AA71" i="19"/>
  <c r="AA72" i="19"/>
  <c r="AA73" i="19"/>
  <c r="AA74" i="19"/>
  <c r="AA75" i="19"/>
  <c r="AA76" i="19"/>
  <c r="AA77" i="19"/>
  <c r="AA78" i="19"/>
  <c r="AA8" i="19"/>
  <c r="Z9" i="19"/>
  <c r="Z10" i="19"/>
  <c r="Z11" i="19"/>
  <c r="Z12" i="19"/>
  <c r="Z13" i="19"/>
  <c r="Z14" i="19"/>
  <c r="Z15" i="19"/>
  <c r="Z16" i="19"/>
  <c r="Z17" i="19"/>
  <c r="Z18" i="19"/>
  <c r="Z19" i="19"/>
  <c r="Z20" i="19"/>
  <c r="Z21" i="19"/>
  <c r="Z22" i="19"/>
  <c r="Z23" i="19"/>
  <c r="Z24" i="19"/>
  <c r="Z25" i="19"/>
  <c r="Z26" i="19"/>
  <c r="Z27" i="19"/>
  <c r="Z28" i="19"/>
  <c r="Z29" i="19"/>
  <c r="Z30" i="19"/>
  <c r="Z31" i="19"/>
  <c r="Z32" i="19"/>
  <c r="Z33" i="19"/>
  <c r="Z34" i="19"/>
  <c r="Z35" i="19"/>
  <c r="Z36" i="19"/>
  <c r="Z37" i="19"/>
  <c r="Z38" i="19"/>
  <c r="Z39" i="19"/>
  <c r="Z40" i="19"/>
  <c r="Z41" i="19"/>
  <c r="Z42" i="19"/>
  <c r="Z43" i="19"/>
  <c r="Z44" i="19"/>
  <c r="Z45" i="19"/>
  <c r="Z46" i="19"/>
  <c r="Z47" i="19"/>
  <c r="Z48" i="19"/>
  <c r="Z49" i="19"/>
  <c r="Z50" i="19"/>
  <c r="Z51" i="19"/>
  <c r="Z52" i="19"/>
  <c r="Z53" i="19"/>
  <c r="Z54" i="19"/>
  <c r="Z55" i="19"/>
  <c r="Z56" i="19"/>
  <c r="Z57" i="19"/>
  <c r="Z58" i="19"/>
  <c r="Z59" i="19"/>
  <c r="Z60" i="19"/>
  <c r="Z61" i="19"/>
  <c r="Z62" i="19"/>
  <c r="Z63" i="19"/>
  <c r="Z64" i="19"/>
  <c r="Z65" i="19"/>
  <c r="Z66" i="19"/>
  <c r="Z67" i="19"/>
  <c r="Z68" i="19"/>
  <c r="Z69" i="19"/>
  <c r="Z70" i="19"/>
  <c r="Z71" i="19"/>
  <c r="Z72" i="19"/>
  <c r="Z73" i="19"/>
  <c r="Z74" i="19"/>
  <c r="Z75" i="19"/>
  <c r="Z76" i="19"/>
  <c r="Z77" i="19"/>
  <c r="Z78" i="19"/>
  <c r="Z8" i="19"/>
  <c r="S9" i="19"/>
  <c r="S10" i="19"/>
  <c r="S11" i="19"/>
  <c r="S12" i="19"/>
  <c r="S13" i="19"/>
  <c r="S14" i="19"/>
  <c r="S15" i="19"/>
  <c r="S16" i="19"/>
  <c r="S17" i="19"/>
  <c r="S18" i="19"/>
  <c r="S19" i="19"/>
  <c r="S20" i="19"/>
  <c r="S21" i="19"/>
  <c r="S22" i="19"/>
  <c r="S23" i="19"/>
  <c r="S24" i="19"/>
  <c r="S25" i="19"/>
  <c r="S26" i="19"/>
  <c r="S27" i="19"/>
  <c r="S28" i="19"/>
  <c r="S29" i="19"/>
  <c r="S30" i="19"/>
  <c r="S31" i="19"/>
  <c r="S32" i="19"/>
  <c r="S33" i="19"/>
  <c r="S34" i="19"/>
  <c r="S35" i="19"/>
  <c r="S36" i="19"/>
  <c r="S37" i="19"/>
  <c r="S38" i="19"/>
  <c r="S39" i="19"/>
  <c r="S40" i="19"/>
  <c r="S41" i="19"/>
  <c r="S42" i="19"/>
  <c r="S43" i="19"/>
  <c r="S44" i="19"/>
  <c r="S45" i="19"/>
  <c r="S46" i="19"/>
  <c r="S47" i="19"/>
  <c r="S48" i="19"/>
  <c r="S49" i="19"/>
  <c r="S50" i="19"/>
  <c r="S51" i="19"/>
  <c r="S52" i="19"/>
  <c r="S53" i="19"/>
  <c r="S54" i="19"/>
  <c r="S55" i="19"/>
  <c r="S56" i="19"/>
  <c r="S57" i="19"/>
  <c r="S58" i="19"/>
  <c r="S59" i="19"/>
  <c r="S60" i="19"/>
  <c r="S61" i="19"/>
  <c r="S62" i="19"/>
  <c r="S63" i="19"/>
  <c r="S64" i="19"/>
  <c r="S65" i="19"/>
  <c r="S66" i="19"/>
  <c r="S67" i="19"/>
  <c r="S68" i="19"/>
  <c r="S69" i="19"/>
  <c r="S70" i="19"/>
  <c r="S71" i="19"/>
  <c r="S72" i="19"/>
  <c r="S73" i="19"/>
  <c r="S74" i="19"/>
  <c r="S75" i="19"/>
  <c r="S76" i="19"/>
  <c r="S77" i="19"/>
  <c r="S78" i="19"/>
  <c r="S8" i="19"/>
  <c r="R9" i="19"/>
  <c r="R10" i="19"/>
  <c r="R11" i="19"/>
  <c r="R12" i="19"/>
  <c r="R13" i="19"/>
  <c r="R14" i="19"/>
  <c r="R15" i="19"/>
  <c r="R16" i="19"/>
  <c r="R17" i="19"/>
  <c r="R18" i="19"/>
  <c r="R19" i="19"/>
  <c r="R20" i="19"/>
  <c r="R21" i="19"/>
  <c r="R22" i="19"/>
  <c r="R23" i="19"/>
  <c r="R24" i="19"/>
  <c r="R25" i="19"/>
  <c r="R26" i="19"/>
  <c r="R27" i="19"/>
  <c r="R28" i="19"/>
  <c r="R29" i="19"/>
  <c r="R30" i="19"/>
  <c r="R31" i="19"/>
  <c r="R32" i="19"/>
  <c r="R33" i="19"/>
  <c r="R34" i="19"/>
  <c r="R35" i="19"/>
  <c r="R36" i="19"/>
  <c r="R37" i="19"/>
  <c r="R38" i="19"/>
  <c r="R39" i="19"/>
  <c r="R40" i="19"/>
  <c r="R41" i="19"/>
  <c r="R42" i="19"/>
  <c r="R43" i="19"/>
  <c r="R44" i="19"/>
  <c r="R45" i="19"/>
  <c r="R46" i="19"/>
  <c r="R47" i="19"/>
  <c r="R48" i="19"/>
  <c r="R49" i="19"/>
  <c r="R50" i="19"/>
  <c r="R51" i="19"/>
  <c r="R52" i="19"/>
  <c r="R53" i="19"/>
  <c r="R54" i="19"/>
  <c r="R55" i="19"/>
  <c r="R56" i="19"/>
  <c r="R57" i="19"/>
  <c r="R58" i="19"/>
  <c r="R59" i="19"/>
  <c r="R60" i="19"/>
  <c r="R61" i="19"/>
  <c r="R62" i="19"/>
  <c r="R63" i="19"/>
  <c r="R64" i="19"/>
  <c r="R65" i="19"/>
  <c r="R66" i="19"/>
  <c r="R67" i="19"/>
  <c r="R68" i="19"/>
  <c r="R69" i="19"/>
  <c r="R70" i="19"/>
  <c r="R71" i="19"/>
  <c r="R72" i="19"/>
  <c r="R73" i="19"/>
  <c r="R74" i="19"/>
  <c r="R75" i="19"/>
  <c r="R76" i="19"/>
  <c r="R77" i="19"/>
  <c r="R78" i="19"/>
  <c r="R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77" i="19"/>
  <c r="H78" i="19"/>
  <c r="H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8" i="19"/>
  <c r="W51" i="12"/>
  <c r="W52" i="12"/>
  <c r="O51" i="12"/>
  <c r="O52" i="12"/>
  <c r="M51" i="12"/>
  <c r="L51" i="12"/>
  <c r="E51" i="12"/>
  <c r="D51" i="12"/>
  <c r="W50" i="19"/>
  <c r="W51" i="19"/>
  <c r="X52" i="19" s="1"/>
  <c r="O51" i="19"/>
  <c r="M51" i="19"/>
  <c r="L51" i="19"/>
  <c r="E51" i="19"/>
  <c r="D51" i="19"/>
  <c r="X51" i="19" l="1"/>
  <c r="X52" i="12"/>
  <c r="Q53" i="19"/>
  <c r="P52" i="12"/>
  <c r="P52" i="19"/>
  <c r="Q52" i="19" s="1"/>
  <c r="Y53" i="12"/>
  <c r="Y54" i="12"/>
  <c r="Y55" i="12"/>
  <c r="Y56" i="12"/>
  <c r="Y57" i="12"/>
  <c r="Y58" i="12"/>
  <c r="Y59" i="12"/>
  <c r="Y60" i="12"/>
  <c r="Y61" i="12"/>
  <c r="Y62" i="12"/>
  <c r="Y63" i="12"/>
  <c r="Y64" i="12"/>
  <c r="Y65" i="12"/>
  <c r="Y66" i="12"/>
  <c r="Y67" i="12"/>
  <c r="Y68" i="12"/>
  <c r="Y69" i="12"/>
  <c r="Y70" i="12"/>
  <c r="Y71" i="12"/>
  <c r="Y72" i="12"/>
  <c r="Y73" i="12"/>
  <c r="Y74" i="12"/>
  <c r="Y75" i="12"/>
  <c r="Y76" i="12"/>
  <c r="Y77" i="12"/>
  <c r="Y78" i="12"/>
  <c r="Q53" i="12"/>
  <c r="Q54" i="12"/>
  <c r="Q55" i="12"/>
  <c r="Q56" i="12"/>
  <c r="Q57" i="12"/>
  <c r="Q58" i="12"/>
  <c r="Q59" i="12"/>
  <c r="Q60" i="12"/>
  <c r="Q61" i="12"/>
  <c r="Q62" i="12"/>
  <c r="Q63" i="12"/>
  <c r="Q64" i="12"/>
  <c r="Q65" i="12"/>
  <c r="Q66" i="12"/>
  <c r="Q67" i="12"/>
  <c r="Q68" i="12"/>
  <c r="Q69" i="12"/>
  <c r="Q70" i="12"/>
  <c r="Q71" i="12"/>
  <c r="Q72" i="12"/>
  <c r="Q73" i="12"/>
  <c r="Q74" i="12"/>
  <c r="Q75" i="12"/>
  <c r="Q76" i="12"/>
  <c r="Q77" i="12"/>
  <c r="Q78" i="12"/>
  <c r="AG34" i="12"/>
  <c r="AG33" i="12"/>
  <c r="AG22" i="12"/>
  <c r="AG21" i="12"/>
  <c r="AG10" i="12"/>
  <c r="AG9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Y52" i="12"/>
  <c r="F52" i="12"/>
  <c r="Y51" i="12"/>
  <c r="W50" i="12"/>
  <c r="X51" i="12" s="1"/>
  <c r="O50" i="12"/>
  <c r="P51" i="12" s="1"/>
  <c r="M50" i="12"/>
  <c r="L50" i="12"/>
  <c r="E50" i="12"/>
  <c r="D50" i="12"/>
  <c r="F50" i="12" s="1"/>
  <c r="W49" i="12"/>
  <c r="O49" i="12"/>
  <c r="M49" i="12"/>
  <c r="L49" i="12"/>
  <c r="E49" i="12"/>
  <c r="D49" i="12"/>
  <c r="F49" i="12" s="1"/>
  <c r="W48" i="12"/>
  <c r="Y48" i="12" s="1"/>
  <c r="O48" i="12"/>
  <c r="Q48" i="12" s="1"/>
  <c r="M48" i="12"/>
  <c r="L48" i="12"/>
  <c r="E48" i="12"/>
  <c r="D48" i="12"/>
  <c r="F48" i="12" s="1"/>
  <c r="W47" i="12"/>
  <c r="O47" i="12"/>
  <c r="Q47" i="12" s="1"/>
  <c r="M47" i="12"/>
  <c r="L47" i="12"/>
  <c r="E47" i="12"/>
  <c r="D47" i="12"/>
  <c r="F47" i="12" s="1"/>
  <c r="W46" i="12"/>
  <c r="O46" i="12"/>
  <c r="Q46" i="12" s="1"/>
  <c r="M46" i="12"/>
  <c r="L46" i="12"/>
  <c r="E46" i="12"/>
  <c r="D46" i="12"/>
  <c r="F46" i="12" s="1"/>
  <c r="W45" i="12"/>
  <c r="Y45" i="12" s="1"/>
  <c r="O45" i="12"/>
  <c r="M45" i="12"/>
  <c r="L45" i="12"/>
  <c r="E45" i="12"/>
  <c r="D45" i="12"/>
  <c r="F45" i="12" s="1"/>
  <c r="W44" i="12"/>
  <c r="Y44" i="12" s="1"/>
  <c r="O44" i="12"/>
  <c r="M44" i="12"/>
  <c r="L44" i="12"/>
  <c r="E44" i="12"/>
  <c r="D44" i="12"/>
  <c r="F44" i="12" s="1"/>
  <c r="W43" i="12"/>
  <c r="O43" i="12"/>
  <c r="Q43" i="12" s="1"/>
  <c r="M43" i="12"/>
  <c r="L43" i="12"/>
  <c r="E43" i="12"/>
  <c r="D43" i="12"/>
  <c r="W42" i="12"/>
  <c r="O42" i="12"/>
  <c r="Q42" i="12" s="1"/>
  <c r="M42" i="12"/>
  <c r="L42" i="12"/>
  <c r="E42" i="12"/>
  <c r="D42" i="12"/>
  <c r="W41" i="12"/>
  <c r="O41" i="12"/>
  <c r="Q41" i="12" s="1"/>
  <c r="M41" i="12"/>
  <c r="L41" i="12"/>
  <c r="E41" i="12"/>
  <c r="D41" i="12"/>
  <c r="W40" i="12"/>
  <c r="Y40" i="12" s="1"/>
  <c r="O40" i="12"/>
  <c r="Q40" i="12" s="1"/>
  <c r="M40" i="12"/>
  <c r="L40" i="12"/>
  <c r="E40" i="12"/>
  <c r="D40" i="12"/>
  <c r="W39" i="12"/>
  <c r="Y39" i="12" s="1"/>
  <c r="O39" i="12"/>
  <c r="M39" i="12"/>
  <c r="L39" i="12"/>
  <c r="E39" i="12"/>
  <c r="D39" i="12"/>
  <c r="F39" i="12" s="1"/>
  <c r="W38" i="12"/>
  <c r="O38" i="12"/>
  <c r="Q38" i="12" s="1"/>
  <c r="M38" i="12"/>
  <c r="L38" i="12"/>
  <c r="E38" i="12"/>
  <c r="D38" i="12"/>
  <c r="F38" i="12" s="1"/>
  <c r="W37" i="12"/>
  <c r="Y37" i="12" s="1"/>
  <c r="O37" i="12"/>
  <c r="Q37" i="12" s="1"/>
  <c r="M37" i="12"/>
  <c r="L37" i="12"/>
  <c r="E37" i="12"/>
  <c r="D37" i="12"/>
  <c r="F37" i="12" s="1"/>
  <c r="W36" i="12"/>
  <c r="Y36" i="12" s="1"/>
  <c r="O36" i="12"/>
  <c r="Q36" i="12" s="1"/>
  <c r="M36" i="12"/>
  <c r="L36" i="12"/>
  <c r="E36" i="12"/>
  <c r="D36" i="12"/>
  <c r="F36" i="12" s="1"/>
  <c r="W35" i="12"/>
  <c r="O35" i="12"/>
  <c r="Q35" i="12" s="1"/>
  <c r="M35" i="12"/>
  <c r="L35" i="12"/>
  <c r="E35" i="12"/>
  <c r="D35" i="12"/>
  <c r="W34" i="12"/>
  <c r="Y34" i="12" s="1"/>
  <c r="O34" i="12"/>
  <c r="M34" i="12"/>
  <c r="L34" i="12"/>
  <c r="E34" i="12"/>
  <c r="D34" i="12"/>
  <c r="W33" i="12"/>
  <c r="Y33" i="12" s="1"/>
  <c r="O33" i="12"/>
  <c r="Q33" i="12" s="1"/>
  <c r="M33" i="12"/>
  <c r="L33" i="12"/>
  <c r="E33" i="12"/>
  <c r="D33" i="12"/>
  <c r="F33" i="12" s="1"/>
  <c r="W32" i="12"/>
  <c r="Y32" i="12" s="1"/>
  <c r="O32" i="12"/>
  <c r="M32" i="12"/>
  <c r="L32" i="12"/>
  <c r="E32" i="12"/>
  <c r="D32" i="12"/>
  <c r="F32" i="12" s="1"/>
  <c r="AT31" i="12"/>
  <c r="W31" i="12"/>
  <c r="Y31" i="12" s="1"/>
  <c r="O31" i="12"/>
  <c r="M31" i="12"/>
  <c r="L31" i="12"/>
  <c r="E31" i="12"/>
  <c r="D31" i="12"/>
  <c r="F31" i="12" s="1"/>
  <c r="AT30" i="12"/>
  <c r="W30" i="12"/>
  <c r="Y30" i="12" s="1"/>
  <c r="O30" i="12"/>
  <c r="Q30" i="12" s="1"/>
  <c r="M30" i="12"/>
  <c r="L30" i="12"/>
  <c r="E30" i="12"/>
  <c r="D30" i="12"/>
  <c r="F30" i="12" s="1"/>
  <c r="W29" i="12"/>
  <c r="Y29" i="12" s="1"/>
  <c r="O29" i="12"/>
  <c r="Q29" i="12" s="1"/>
  <c r="M29" i="12"/>
  <c r="L29" i="12"/>
  <c r="E29" i="12"/>
  <c r="D29" i="12"/>
  <c r="F29" i="12" s="1"/>
  <c r="W28" i="12"/>
  <c r="Y28" i="12" s="1"/>
  <c r="O28" i="12"/>
  <c r="Q28" i="12" s="1"/>
  <c r="M28" i="12"/>
  <c r="L28" i="12"/>
  <c r="E28" i="12"/>
  <c r="D28" i="12"/>
  <c r="F28" i="12" s="1"/>
  <c r="W27" i="12"/>
  <c r="Y27" i="12" s="1"/>
  <c r="O27" i="12"/>
  <c r="Q27" i="12" s="1"/>
  <c r="M27" i="12"/>
  <c r="L27" i="12"/>
  <c r="E27" i="12"/>
  <c r="D27" i="12"/>
  <c r="F27" i="12" s="1"/>
  <c r="W26" i="12"/>
  <c r="X27" i="12" s="1"/>
  <c r="O26" i="12"/>
  <c r="M26" i="12"/>
  <c r="L26" i="12"/>
  <c r="E26" i="12"/>
  <c r="D26" i="12"/>
  <c r="W25" i="12"/>
  <c r="O25" i="12"/>
  <c r="M25" i="12"/>
  <c r="L25" i="12"/>
  <c r="E25" i="12"/>
  <c r="D25" i="12"/>
  <c r="F25" i="12" s="1"/>
  <c r="W24" i="12"/>
  <c r="Y24" i="12" s="1"/>
  <c r="O24" i="12"/>
  <c r="Q24" i="12" s="1"/>
  <c r="M24" i="12"/>
  <c r="L24" i="12"/>
  <c r="E24" i="12"/>
  <c r="D24" i="12"/>
  <c r="AT23" i="12"/>
  <c r="W23" i="12"/>
  <c r="O23" i="12"/>
  <c r="M23" i="12"/>
  <c r="L23" i="12"/>
  <c r="E23" i="12"/>
  <c r="D23" i="12"/>
  <c r="F23" i="12" s="1"/>
  <c r="AT22" i="12"/>
  <c r="W22" i="12"/>
  <c r="O22" i="12"/>
  <c r="M22" i="12"/>
  <c r="L22" i="12"/>
  <c r="E22" i="12"/>
  <c r="D22" i="12"/>
  <c r="F22" i="12" s="1"/>
  <c r="AT21" i="12"/>
  <c r="W21" i="12"/>
  <c r="Y21" i="12" s="1"/>
  <c r="O21" i="12"/>
  <c r="Q21" i="12" s="1"/>
  <c r="M21" i="12"/>
  <c r="L21" i="12"/>
  <c r="E21" i="12"/>
  <c r="D21" i="12"/>
  <c r="F21" i="12" s="1"/>
  <c r="AT20" i="12"/>
  <c r="W20" i="12"/>
  <c r="O20" i="12"/>
  <c r="Q20" i="12" s="1"/>
  <c r="M20" i="12"/>
  <c r="L20" i="12"/>
  <c r="E20" i="12"/>
  <c r="D20" i="12"/>
  <c r="F20" i="12" s="1"/>
  <c r="W19" i="12"/>
  <c r="Y19" i="12" s="1"/>
  <c r="O19" i="12"/>
  <c r="M19" i="12"/>
  <c r="L19" i="12"/>
  <c r="E19" i="12"/>
  <c r="D19" i="12"/>
  <c r="F19" i="12" s="1"/>
  <c r="W18" i="12"/>
  <c r="O18" i="12"/>
  <c r="M18" i="12"/>
  <c r="L18" i="12"/>
  <c r="E18" i="12"/>
  <c r="D18" i="12"/>
  <c r="F18" i="12" s="1"/>
  <c r="W17" i="12"/>
  <c r="Y17" i="12" s="1"/>
  <c r="O17" i="12"/>
  <c r="M17" i="12"/>
  <c r="L17" i="12"/>
  <c r="E17" i="12"/>
  <c r="D17" i="12"/>
  <c r="W16" i="12"/>
  <c r="Y16" i="12" s="1"/>
  <c r="O16" i="12"/>
  <c r="M16" i="12"/>
  <c r="L16" i="12"/>
  <c r="E16" i="12"/>
  <c r="D16" i="12"/>
  <c r="W15" i="12"/>
  <c r="Y15" i="12" s="1"/>
  <c r="O15" i="12"/>
  <c r="M15" i="12"/>
  <c r="L15" i="12"/>
  <c r="E15" i="12"/>
  <c r="D15" i="12"/>
  <c r="W14" i="12"/>
  <c r="Y14" i="12" s="1"/>
  <c r="O14" i="12"/>
  <c r="M14" i="12"/>
  <c r="L14" i="12"/>
  <c r="E14" i="12"/>
  <c r="D14" i="12"/>
  <c r="AT13" i="12"/>
  <c r="W13" i="12"/>
  <c r="O13" i="12"/>
  <c r="M13" i="12"/>
  <c r="L13" i="12"/>
  <c r="E13" i="12"/>
  <c r="D13" i="12"/>
  <c r="AT12" i="12"/>
  <c r="W12" i="12"/>
  <c r="Y12" i="12" s="1"/>
  <c r="O12" i="12"/>
  <c r="Q12" i="12" s="1"/>
  <c r="M12" i="12"/>
  <c r="L12" i="12"/>
  <c r="E12" i="12"/>
  <c r="D12" i="12"/>
  <c r="AT11" i="12"/>
  <c r="W11" i="12"/>
  <c r="O11" i="12"/>
  <c r="Q11" i="12" s="1"/>
  <c r="M11" i="12"/>
  <c r="L11" i="12"/>
  <c r="E11" i="12"/>
  <c r="D11" i="12"/>
  <c r="AT10" i="12"/>
  <c r="W10" i="12"/>
  <c r="Y10" i="12" s="1"/>
  <c r="O10" i="12"/>
  <c r="M10" i="12"/>
  <c r="L10" i="12"/>
  <c r="E10" i="12"/>
  <c r="D10" i="12"/>
  <c r="F10" i="12" s="1"/>
  <c r="W9" i="12"/>
  <c r="Y9" i="12" s="1"/>
  <c r="O9" i="12"/>
  <c r="Q9" i="12" s="1"/>
  <c r="M9" i="12"/>
  <c r="L9" i="12"/>
  <c r="E9" i="12"/>
  <c r="D9" i="12"/>
  <c r="F9" i="12" s="1"/>
  <c r="C9" i="12"/>
  <c r="W8" i="12"/>
  <c r="Y8" i="12" s="1"/>
  <c r="O8" i="12"/>
  <c r="Q8" i="12" s="1"/>
  <c r="M8" i="12"/>
  <c r="L8" i="12"/>
  <c r="E8" i="12"/>
  <c r="D8" i="12"/>
  <c r="H143" i="12"/>
  <c r="D143" i="12"/>
  <c r="H142" i="12"/>
  <c r="D142" i="12"/>
  <c r="H141" i="12"/>
  <c r="D141" i="12"/>
  <c r="H140" i="12"/>
  <c r="D140" i="12"/>
  <c r="H139" i="12"/>
  <c r="D139" i="12"/>
  <c r="H138" i="12"/>
  <c r="D138" i="12"/>
  <c r="H137" i="12"/>
  <c r="D137" i="12"/>
  <c r="H136" i="12"/>
  <c r="D136" i="12"/>
  <c r="H135" i="12"/>
  <c r="D135" i="12"/>
  <c r="H134" i="12"/>
  <c r="D134" i="12"/>
  <c r="H133" i="12"/>
  <c r="D133" i="12"/>
  <c r="H132" i="12"/>
  <c r="D132" i="12"/>
  <c r="H131" i="12"/>
  <c r="D131" i="12"/>
  <c r="H130" i="12"/>
  <c r="D130" i="12"/>
  <c r="H129" i="12"/>
  <c r="D129" i="12"/>
  <c r="H128" i="12"/>
  <c r="D128" i="12"/>
  <c r="H127" i="12"/>
  <c r="D127" i="12"/>
  <c r="H126" i="12"/>
  <c r="D126" i="12"/>
  <c r="H125" i="12"/>
  <c r="D125" i="12"/>
  <c r="H124" i="12"/>
  <c r="D124" i="12"/>
  <c r="H123" i="12"/>
  <c r="D123" i="12"/>
  <c r="H122" i="12"/>
  <c r="D122" i="12"/>
  <c r="H121" i="12"/>
  <c r="D121" i="12"/>
  <c r="H120" i="12"/>
  <c r="D120" i="12"/>
  <c r="H119" i="12"/>
  <c r="D119" i="12"/>
  <c r="H118" i="12"/>
  <c r="D118" i="12"/>
  <c r="H117" i="12"/>
  <c r="D117" i="12"/>
  <c r="H116" i="12"/>
  <c r="D116" i="12"/>
  <c r="H115" i="12"/>
  <c r="D115" i="12"/>
  <c r="AB114" i="12"/>
  <c r="H114" i="12"/>
  <c r="D114" i="12"/>
  <c r="AB113" i="12"/>
  <c r="H113" i="12"/>
  <c r="D113" i="12"/>
  <c r="AB112" i="12"/>
  <c r="H112" i="12"/>
  <c r="D112" i="12"/>
  <c r="AB111" i="12"/>
  <c r="H111" i="12"/>
  <c r="D111" i="12"/>
  <c r="H110" i="12"/>
  <c r="D110" i="12"/>
  <c r="H109" i="12"/>
  <c r="D109" i="12"/>
  <c r="H108" i="12"/>
  <c r="D108" i="12"/>
  <c r="H107" i="12"/>
  <c r="D107" i="12"/>
  <c r="H106" i="12"/>
  <c r="D106" i="12"/>
  <c r="H105" i="12"/>
  <c r="D105" i="12"/>
  <c r="AB104" i="12"/>
  <c r="H104" i="12"/>
  <c r="D104" i="12"/>
  <c r="AB103" i="12"/>
  <c r="H103" i="12"/>
  <c r="D103" i="12"/>
  <c r="N102" i="12" s="1"/>
  <c r="AB102" i="12"/>
  <c r="AB101" i="12"/>
  <c r="O50" i="19"/>
  <c r="P51" i="19" s="1"/>
  <c r="M50" i="19"/>
  <c r="L50" i="19"/>
  <c r="E50" i="19"/>
  <c r="D50" i="19"/>
  <c r="Y8" i="19"/>
  <c r="Y53" i="19"/>
  <c r="Y54" i="19"/>
  <c r="Y55" i="19"/>
  <c r="Y56" i="19"/>
  <c r="Y57" i="19"/>
  <c r="Y58" i="19"/>
  <c r="Y59" i="19"/>
  <c r="Y60" i="19"/>
  <c r="Y61" i="19"/>
  <c r="Y62" i="19"/>
  <c r="Y63" i="19"/>
  <c r="Y64" i="19"/>
  <c r="Y65" i="19"/>
  <c r="Y66" i="19"/>
  <c r="Y67" i="19"/>
  <c r="Y68" i="19"/>
  <c r="Y69" i="19"/>
  <c r="Y70" i="19"/>
  <c r="Y71" i="19"/>
  <c r="Y72" i="19"/>
  <c r="Y73" i="19"/>
  <c r="Y74" i="19"/>
  <c r="Y75" i="19"/>
  <c r="Y76" i="19"/>
  <c r="Y77" i="19"/>
  <c r="Y78" i="19"/>
  <c r="Q54" i="19"/>
  <c r="Q55" i="19"/>
  <c r="Q56" i="19"/>
  <c r="Q57" i="19"/>
  <c r="Q58" i="19"/>
  <c r="Q59" i="19"/>
  <c r="Q60" i="19"/>
  <c r="Q61" i="19"/>
  <c r="Q62" i="19"/>
  <c r="Q63" i="19"/>
  <c r="Q64" i="19"/>
  <c r="Q65" i="19"/>
  <c r="Q66" i="19"/>
  <c r="Q67" i="19"/>
  <c r="Q68" i="19"/>
  <c r="Q69" i="19"/>
  <c r="Q70" i="19"/>
  <c r="Q71" i="19"/>
  <c r="Q72" i="19"/>
  <c r="Q73" i="19"/>
  <c r="Q74" i="19"/>
  <c r="Q75" i="19"/>
  <c r="Q76" i="19"/>
  <c r="Q77" i="19"/>
  <c r="Q78" i="19"/>
  <c r="Q8" i="19"/>
  <c r="AG29" i="12" l="1"/>
  <c r="P40" i="12"/>
  <c r="X12" i="12"/>
  <c r="P14" i="12"/>
  <c r="X20" i="12"/>
  <c r="AA60" i="12"/>
  <c r="Z28" i="12"/>
  <c r="Z35" i="12"/>
  <c r="Z52" i="12"/>
  <c r="Z21" i="12"/>
  <c r="Z22" i="12"/>
  <c r="Z23" i="12"/>
  <c r="Z42" i="12"/>
  <c r="Z55" i="12"/>
  <c r="AA26" i="12"/>
  <c r="Z75" i="12"/>
  <c r="Z76" i="12"/>
  <c r="Z65" i="12"/>
  <c r="Z66" i="12"/>
  <c r="Z67" i="12"/>
  <c r="Z45" i="12"/>
  <c r="Z46" i="12"/>
  <c r="Z47" i="12"/>
  <c r="Z33" i="12"/>
  <c r="AA38" i="12"/>
  <c r="AA16" i="12"/>
  <c r="AA17" i="12"/>
  <c r="Z77" i="12"/>
  <c r="Z78" i="12"/>
  <c r="Z8" i="12"/>
  <c r="AB8" i="12" s="1"/>
  <c r="Z57" i="12"/>
  <c r="Z58" i="12"/>
  <c r="Z59" i="12"/>
  <c r="Z43" i="12"/>
  <c r="Z54" i="12"/>
  <c r="AA50" i="12"/>
  <c r="AA28" i="12"/>
  <c r="AA29" i="12"/>
  <c r="AA18" i="12"/>
  <c r="AA19" i="12"/>
  <c r="AA20" i="12"/>
  <c r="Z69" i="12"/>
  <c r="Z70" i="12"/>
  <c r="Z71" i="12"/>
  <c r="Z41" i="12"/>
  <c r="Z53" i="12"/>
  <c r="AA62" i="12"/>
  <c r="AA40" i="12"/>
  <c r="AA41" i="12"/>
  <c r="AA30" i="12"/>
  <c r="AA31" i="12"/>
  <c r="AA32" i="12"/>
  <c r="AA10" i="12"/>
  <c r="AA11" i="12"/>
  <c r="AA12" i="12"/>
  <c r="Z34" i="12"/>
  <c r="AA74" i="12"/>
  <c r="AA52" i="12"/>
  <c r="AA53" i="12"/>
  <c r="AA42" i="12"/>
  <c r="AA43" i="12"/>
  <c r="AA44" i="12"/>
  <c r="AA22" i="12"/>
  <c r="AA23" i="12"/>
  <c r="AA24" i="12"/>
  <c r="AA14" i="12"/>
  <c r="AA64" i="12"/>
  <c r="AA65" i="12"/>
  <c r="AA54" i="12"/>
  <c r="AA55" i="12"/>
  <c r="AA56" i="12"/>
  <c r="AA34" i="12"/>
  <c r="AA35" i="12"/>
  <c r="AA36" i="12"/>
  <c r="Z73" i="12"/>
  <c r="Z63" i="12"/>
  <c r="Z25" i="12"/>
  <c r="AA76" i="12"/>
  <c r="AA77" i="12"/>
  <c r="AA66" i="12"/>
  <c r="AA67" i="12"/>
  <c r="AA68" i="12"/>
  <c r="AA46" i="12"/>
  <c r="AA47" i="12"/>
  <c r="AA48" i="12"/>
  <c r="Z64" i="12"/>
  <c r="Z37" i="12"/>
  <c r="Z15" i="12"/>
  <c r="Z16" i="12"/>
  <c r="AG41" i="12"/>
  <c r="AA78" i="12"/>
  <c r="AA8" i="12"/>
  <c r="AA58" i="12"/>
  <c r="AA59" i="12"/>
  <c r="Z49" i="12"/>
  <c r="Z27" i="12"/>
  <c r="Z17" i="12"/>
  <c r="Z18" i="12"/>
  <c r="Z19" i="12"/>
  <c r="AA70" i="12"/>
  <c r="AA71" i="12"/>
  <c r="AA72" i="12"/>
  <c r="Z51" i="12"/>
  <c r="AA13" i="12"/>
  <c r="Z14" i="12"/>
  <c r="Z26" i="12"/>
  <c r="Z38" i="12"/>
  <c r="Z50" i="12"/>
  <c r="Z62" i="12"/>
  <c r="Z74" i="12"/>
  <c r="AA15" i="12"/>
  <c r="AA27" i="12"/>
  <c r="AA39" i="12"/>
  <c r="AA51" i="12"/>
  <c r="AA63" i="12"/>
  <c r="AA75" i="12"/>
  <c r="AA37" i="12"/>
  <c r="AA25" i="12"/>
  <c r="AA49" i="12"/>
  <c r="Z72" i="12"/>
  <c r="Z36" i="12"/>
  <c r="Z48" i="12"/>
  <c r="Z20" i="12"/>
  <c r="Z32" i="12"/>
  <c r="Z44" i="12"/>
  <c r="Z56" i="12"/>
  <c r="Z68" i="12"/>
  <c r="AA9" i="12"/>
  <c r="AA21" i="12"/>
  <c r="AA33" i="12"/>
  <c r="AA45" i="12"/>
  <c r="AA57" i="12"/>
  <c r="AA69" i="12"/>
  <c r="Z60" i="12"/>
  <c r="AA61" i="12"/>
  <c r="Z24" i="12"/>
  <c r="AA73" i="12"/>
  <c r="Z12" i="12"/>
  <c r="Z61" i="12"/>
  <c r="Z39" i="12"/>
  <c r="Z40" i="12"/>
  <c r="Z29" i="12"/>
  <c r="Z30" i="12"/>
  <c r="Z31" i="12"/>
  <c r="Z9" i="12"/>
  <c r="AB9" i="12" s="1"/>
  <c r="Z10" i="12"/>
  <c r="Z11" i="12"/>
  <c r="Z13" i="12"/>
  <c r="P32" i="12"/>
  <c r="P41" i="12"/>
  <c r="X42" i="12"/>
  <c r="X44" i="12"/>
  <c r="X45" i="12"/>
  <c r="P50" i="12"/>
  <c r="P47" i="12"/>
  <c r="P27" i="12"/>
  <c r="X48" i="12"/>
  <c r="P33" i="12"/>
  <c r="P21" i="12"/>
  <c r="P24" i="12"/>
  <c r="Q26" i="12"/>
  <c r="Y49" i="12"/>
  <c r="X50" i="12"/>
  <c r="P30" i="12"/>
  <c r="P17" i="12"/>
  <c r="P19" i="12"/>
  <c r="P22" i="12"/>
  <c r="X36" i="12"/>
  <c r="AT9" i="12"/>
  <c r="G72" i="12"/>
  <c r="I72" i="12" s="1"/>
  <c r="H23" i="12"/>
  <c r="H30" i="12"/>
  <c r="H31" i="12"/>
  <c r="H35" i="12"/>
  <c r="H19" i="12"/>
  <c r="H42" i="12"/>
  <c r="H43" i="12"/>
  <c r="H47" i="12"/>
  <c r="H55" i="12"/>
  <c r="H59" i="12"/>
  <c r="H54" i="12"/>
  <c r="H66" i="12"/>
  <c r="H67" i="12"/>
  <c r="H71" i="12"/>
  <c r="H78" i="12"/>
  <c r="H8" i="12"/>
  <c r="G12" i="12"/>
  <c r="I12" i="12" s="1"/>
  <c r="G19" i="12"/>
  <c r="I19" i="12" s="1"/>
  <c r="G20" i="12"/>
  <c r="I20" i="12" s="1"/>
  <c r="G24" i="12"/>
  <c r="I24" i="12" s="1"/>
  <c r="G31" i="12"/>
  <c r="I31" i="12" s="1"/>
  <c r="G32" i="12"/>
  <c r="I32" i="12" s="1"/>
  <c r="G36" i="12"/>
  <c r="I36" i="12" s="1"/>
  <c r="G43" i="12"/>
  <c r="I43" i="12" s="1"/>
  <c r="G44" i="12"/>
  <c r="I44" i="12" s="1"/>
  <c r="G48" i="12"/>
  <c r="I48" i="12" s="1"/>
  <c r="G55" i="12"/>
  <c r="G56" i="12"/>
  <c r="I56" i="12" s="1"/>
  <c r="G60" i="12"/>
  <c r="I60" i="12" s="1"/>
  <c r="G67" i="12"/>
  <c r="I67" i="12" s="1"/>
  <c r="G68" i="12"/>
  <c r="I68" i="12" s="1"/>
  <c r="H13" i="12"/>
  <c r="H25" i="12"/>
  <c r="H37" i="12"/>
  <c r="H49" i="12"/>
  <c r="H61" i="12"/>
  <c r="H73" i="12"/>
  <c r="G14" i="12"/>
  <c r="I14" i="12" s="1"/>
  <c r="G26" i="12"/>
  <c r="I26" i="12" s="1"/>
  <c r="G38" i="12"/>
  <c r="I38" i="12" s="1"/>
  <c r="G50" i="12"/>
  <c r="I50" i="12" s="1"/>
  <c r="G62" i="12"/>
  <c r="I62" i="12" s="1"/>
  <c r="G74" i="12"/>
  <c r="I74" i="12" s="1"/>
  <c r="H14" i="12"/>
  <c r="H26" i="12"/>
  <c r="H38" i="12"/>
  <c r="H50" i="12"/>
  <c r="H62" i="12"/>
  <c r="H74" i="12"/>
  <c r="G15" i="12"/>
  <c r="I15" i="12" s="1"/>
  <c r="G27" i="12"/>
  <c r="I27" i="12" s="1"/>
  <c r="G39" i="12"/>
  <c r="G51" i="12"/>
  <c r="I51" i="12" s="1"/>
  <c r="G63" i="12"/>
  <c r="I63" i="12" s="1"/>
  <c r="G75" i="12"/>
  <c r="I75" i="12" s="1"/>
  <c r="H15" i="12"/>
  <c r="H27" i="12"/>
  <c r="H39" i="12"/>
  <c r="H51" i="12"/>
  <c r="H63" i="12"/>
  <c r="H75" i="12"/>
  <c r="G16" i="12"/>
  <c r="I16" i="12" s="1"/>
  <c r="G28" i="12"/>
  <c r="I28" i="12" s="1"/>
  <c r="G40" i="12"/>
  <c r="I40" i="12" s="1"/>
  <c r="G52" i="12"/>
  <c r="I52" i="12" s="1"/>
  <c r="G64" i="12"/>
  <c r="I64" i="12" s="1"/>
  <c r="G76" i="12"/>
  <c r="I76" i="12" s="1"/>
  <c r="H16" i="12"/>
  <c r="H28" i="12"/>
  <c r="H40" i="12"/>
  <c r="H52" i="12"/>
  <c r="H64" i="12"/>
  <c r="H76" i="12"/>
  <c r="G17" i="12"/>
  <c r="I17" i="12" s="1"/>
  <c r="G29" i="12"/>
  <c r="I29" i="12" s="1"/>
  <c r="G41" i="12"/>
  <c r="I41" i="12" s="1"/>
  <c r="G53" i="12"/>
  <c r="I53" i="12" s="1"/>
  <c r="G65" i="12"/>
  <c r="I65" i="12" s="1"/>
  <c r="G77" i="12"/>
  <c r="I77" i="12" s="1"/>
  <c r="AG17" i="12"/>
  <c r="H17" i="12"/>
  <c r="H29" i="12"/>
  <c r="H41" i="12"/>
  <c r="H53" i="12"/>
  <c r="H65" i="12"/>
  <c r="H77" i="12"/>
  <c r="G18" i="12"/>
  <c r="I18" i="12" s="1"/>
  <c r="G30" i="12"/>
  <c r="I30" i="12" s="1"/>
  <c r="G42" i="12"/>
  <c r="I42" i="12" s="1"/>
  <c r="G54" i="12"/>
  <c r="I54" i="12" s="1"/>
  <c r="G66" i="12"/>
  <c r="I66" i="12" s="1"/>
  <c r="G78" i="12"/>
  <c r="I78" i="12" s="1"/>
  <c r="H72" i="12"/>
  <c r="H20" i="12"/>
  <c r="H32" i="12"/>
  <c r="H44" i="12"/>
  <c r="H56" i="12"/>
  <c r="H68" i="12"/>
  <c r="G9" i="12"/>
  <c r="I9" i="12" s="1"/>
  <c r="G21" i="12"/>
  <c r="G33" i="12"/>
  <c r="I33" i="12" s="1"/>
  <c r="G45" i="12"/>
  <c r="I45" i="12" s="1"/>
  <c r="G57" i="12"/>
  <c r="I57" i="12" s="1"/>
  <c r="G69" i="12"/>
  <c r="I69" i="12" s="1"/>
  <c r="H9" i="12"/>
  <c r="H21" i="12"/>
  <c r="H33" i="12"/>
  <c r="H45" i="12"/>
  <c r="H57" i="12"/>
  <c r="H69" i="12"/>
  <c r="G10" i="12"/>
  <c r="I10" i="12" s="1"/>
  <c r="G22" i="12"/>
  <c r="I22" i="12" s="1"/>
  <c r="G34" i="12"/>
  <c r="I34" i="12" s="1"/>
  <c r="G46" i="12"/>
  <c r="I46" i="12" s="1"/>
  <c r="G58" i="12"/>
  <c r="I58" i="12" s="1"/>
  <c r="G70" i="12"/>
  <c r="I70" i="12" s="1"/>
  <c r="G13" i="12"/>
  <c r="I13" i="12" s="1"/>
  <c r="H10" i="12"/>
  <c r="H22" i="12"/>
  <c r="H34" i="12"/>
  <c r="H46" i="12"/>
  <c r="H58" i="12"/>
  <c r="H70" i="12"/>
  <c r="G11" i="12"/>
  <c r="I11" i="12" s="1"/>
  <c r="G23" i="12"/>
  <c r="I23" i="12" s="1"/>
  <c r="G35" i="12"/>
  <c r="I35" i="12" s="1"/>
  <c r="G47" i="12"/>
  <c r="I47" i="12" s="1"/>
  <c r="G59" i="12"/>
  <c r="I59" i="12" s="1"/>
  <c r="G71" i="12"/>
  <c r="I71" i="12" s="1"/>
  <c r="H12" i="12"/>
  <c r="H24" i="12"/>
  <c r="H36" i="12"/>
  <c r="H48" i="12"/>
  <c r="H60" i="12"/>
  <c r="G25" i="12"/>
  <c r="I25" i="12" s="1"/>
  <c r="G37" i="12"/>
  <c r="I37" i="12" s="1"/>
  <c r="G49" i="12"/>
  <c r="I49" i="12" s="1"/>
  <c r="G61" i="12"/>
  <c r="I61" i="12" s="1"/>
  <c r="G73" i="12"/>
  <c r="I73" i="12" s="1"/>
  <c r="G8" i="12"/>
  <c r="I8" i="12" s="1"/>
  <c r="H11" i="12"/>
  <c r="H18" i="12"/>
  <c r="S8" i="12"/>
  <c r="R66" i="12"/>
  <c r="T66" i="12" s="1"/>
  <c r="R31" i="12"/>
  <c r="T31" i="12" s="1"/>
  <c r="R21" i="12"/>
  <c r="T21" i="12" s="1"/>
  <c r="S34" i="12"/>
  <c r="R23" i="12"/>
  <c r="T23" i="12" s="1"/>
  <c r="S30" i="12"/>
  <c r="S20" i="12"/>
  <c r="S21" i="12"/>
  <c r="S11" i="12"/>
  <c r="S12" i="12"/>
  <c r="S13" i="12"/>
  <c r="S14" i="12"/>
  <c r="S15" i="12"/>
  <c r="S16" i="12"/>
  <c r="S41" i="12"/>
  <c r="S42" i="12"/>
  <c r="R32" i="12"/>
  <c r="T32" i="12" s="1"/>
  <c r="R72" i="12"/>
  <c r="T72" i="12" s="1"/>
  <c r="S29" i="12"/>
  <c r="S32" i="12"/>
  <c r="S33" i="12"/>
  <c r="S23" i="12"/>
  <c r="S24" i="12"/>
  <c r="S25" i="12"/>
  <c r="S26" i="12"/>
  <c r="S27" i="12"/>
  <c r="S28" i="12"/>
  <c r="S53" i="12"/>
  <c r="S54" i="12"/>
  <c r="AT19" i="12"/>
  <c r="R73" i="12"/>
  <c r="T73" i="12" s="1"/>
  <c r="S31" i="12"/>
  <c r="S44" i="12"/>
  <c r="S45" i="12"/>
  <c r="S35" i="12"/>
  <c r="S36" i="12"/>
  <c r="S37" i="12"/>
  <c r="S38" i="12"/>
  <c r="S39" i="12"/>
  <c r="S40" i="12"/>
  <c r="S65" i="12"/>
  <c r="S66" i="12"/>
  <c r="R74" i="12"/>
  <c r="T74" i="12" s="1"/>
  <c r="S43" i="12"/>
  <c r="S56" i="12"/>
  <c r="S57" i="12"/>
  <c r="S47" i="12"/>
  <c r="S48" i="12"/>
  <c r="S49" i="12"/>
  <c r="S50" i="12"/>
  <c r="S51" i="12"/>
  <c r="S52" i="12"/>
  <c r="S77" i="12"/>
  <c r="S78" i="12"/>
  <c r="S9" i="12"/>
  <c r="R76" i="12"/>
  <c r="T76" i="12" s="1"/>
  <c r="S55" i="12"/>
  <c r="S68" i="12"/>
  <c r="S10" i="12"/>
  <c r="S59" i="12"/>
  <c r="S60" i="12"/>
  <c r="S61" i="12"/>
  <c r="S62" i="12"/>
  <c r="S63" i="12"/>
  <c r="S64" i="12"/>
  <c r="R18" i="12"/>
  <c r="T18" i="12" s="1"/>
  <c r="R19" i="12"/>
  <c r="T19" i="12" s="1"/>
  <c r="R68" i="12"/>
  <c r="T68" i="12" s="1"/>
  <c r="R75" i="12"/>
  <c r="T75" i="12" s="1"/>
  <c r="S67" i="12"/>
  <c r="R9" i="12"/>
  <c r="T9" i="12" s="1"/>
  <c r="S22" i="12"/>
  <c r="S71" i="12"/>
  <c r="S72" i="12"/>
  <c r="S73" i="12"/>
  <c r="S74" i="12"/>
  <c r="S75" i="12"/>
  <c r="S76" i="12"/>
  <c r="R30" i="12"/>
  <c r="T30" i="12" s="1"/>
  <c r="R12" i="12"/>
  <c r="T12" i="12" s="1"/>
  <c r="R13" i="12"/>
  <c r="T13" i="12" s="1"/>
  <c r="R14" i="12"/>
  <c r="T14" i="12" s="1"/>
  <c r="R15" i="12"/>
  <c r="T15" i="12" s="1"/>
  <c r="R16" i="12"/>
  <c r="T16" i="12" s="1"/>
  <c r="R17" i="12"/>
  <c r="T17" i="12" s="1"/>
  <c r="R42" i="12"/>
  <c r="T42" i="12" s="1"/>
  <c r="R43" i="12"/>
  <c r="T43" i="12" s="1"/>
  <c r="S69" i="12"/>
  <c r="R10" i="12"/>
  <c r="T10" i="12" s="1"/>
  <c r="R22" i="12"/>
  <c r="T22" i="12" s="1"/>
  <c r="R34" i="12"/>
  <c r="T34" i="12" s="1"/>
  <c r="R46" i="12"/>
  <c r="T46" i="12" s="1"/>
  <c r="R58" i="12"/>
  <c r="T58" i="12" s="1"/>
  <c r="R70" i="12"/>
  <c r="T70" i="12" s="1"/>
  <c r="R35" i="12"/>
  <c r="T35" i="12" s="1"/>
  <c r="R47" i="12"/>
  <c r="T47" i="12" s="1"/>
  <c r="R59" i="12"/>
  <c r="T59" i="12" s="1"/>
  <c r="R71" i="12"/>
  <c r="T71" i="12" s="1"/>
  <c r="R65" i="12"/>
  <c r="T65" i="12" s="1"/>
  <c r="R77" i="12"/>
  <c r="T77" i="12" s="1"/>
  <c r="R20" i="12"/>
  <c r="T20" i="12" s="1"/>
  <c r="R33" i="12"/>
  <c r="T33" i="12" s="1"/>
  <c r="S46" i="12"/>
  <c r="R24" i="12"/>
  <c r="T24" i="12" s="1"/>
  <c r="R25" i="12"/>
  <c r="T25" i="12" s="1"/>
  <c r="R26" i="12"/>
  <c r="T26" i="12" s="1"/>
  <c r="R27" i="12"/>
  <c r="T27" i="12" s="1"/>
  <c r="R28" i="12"/>
  <c r="T28" i="12" s="1"/>
  <c r="R29" i="12"/>
  <c r="T29" i="12" s="1"/>
  <c r="R54" i="12"/>
  <c r="T54" i="12" s="1"/>
  <c r="R55" i="12"/>
  <c r="T55" i="12" s="1"/>
  <c r="R45" i="12"/>
  <c r="T45" i="12" s="1"/>
  <c r="R36" i="12"/>
  <c r="T36" i="12" s="1"/>
  <c r="R38" i="12"/>
  <c r="T38" i="12" s="1"/>
  <c r="R40" i="12"/>
  <c r="T40" i="12" s="1"/>
  <c r="R67" i="12"/>
  <c r="T67" i="12" s="1"/>
  <c r="R44" i="12"/>
  <c r="T44" i="12" s="1"/>
  <c r="R57" i="12"/>
  <c r="T57" i="12" s="1"/>
  <c r="S70" i="12"/>
  <c r="R48" i="12"/>
  <c r="T48" i="12" s="1"/>
  <c r="R49" i="12"/>
  <c r="T49" i="12" s="1"/>
  <c r="R50" i="12"/>
  <c r="T50" i="12" s="1"/>
  <c r="R51" i="12"/>
  <c r="T51" i="12" s="1"/>
  <c r="R52" i="12"/>
  <c r="T52" i="12" s="1"/>
  <c r="R53" i="12"/>
  <c r="T53" i="12" s="1"/>
  <c r="R78" i="12"/>
  <c r="T78" i="12" s="1"/>
  <c r="R8" i="12"/>
  <c r="T8" i="12" s="1"/>
  <c r="S58" i="12"/>
  <c r="R37" i="12"/>
  <c r="T37" i="12" s="1"/>
  <c r="R39" i="12"/>
  <c r="T39" i="12" s="1"/>
  <c r="R41" i="12"/>
  <c r="T41" i="12" s="1"/>
  <c r="R56" i="12"/>
  <c r="T56" i="12" s="1"/>
  <c r="R69" i="12"/>
  <c r="T69" i="12" s="1"/>
  <c r="R11" i="12"/>
  <c r="T11" i="12" s="1"/>
  <c r="R60" i="12"/>
  <c r="T60" i="12" s="1"/>
  <c r="R61" i="12"/>
  <c r="T61" i="12" s="1"/>
  <c r="R62" i="12"/>
  <c r="T62" i="12" s="1"/>
  <c r="R63" i="12"/>
  <c r="T63" i="12" s="1"/>
  <c r="R64" i="12"/>
  <c r="T64" i="12" s="1"/>
  <c r="S17" i="12"/>
  <c r="S18" i="12"/>
  <c r="S19" i="12"/>
  <c r="AT29" i="12"/>
  <c r="P35" i="12"/>
  <c r="AG12" i="12"/>
  <c r="AG15" i="12" s="1"/>
  <c r="P11" i="12"/>
  <c r="P39" i="12"/>
  <c r="F26" i="12"/>
  <c r="I21" i="12"/>
  <c r="Q34" i="12"/>
  <c r="P46" i="12"/>
  <c r="F24" i="12"/>
  <c r="I39" i="12"/>
  <c r="Q52" i="12"/>
  <c r="F43" i="12"/>
  <c r="F17" i="12"/>
  <c r="Q51" i="12"/>
  <c r="Q17" i="12"/>
  <c r="Y41" i="12"/>
  <c r="P38" i="12"/>
  <c r="F42" i="12"/>
  <c r="F11" i="12"/>
  <c r="Q50" i="12"/>
  <c r="Q15" i="12"/>
  <c r="X17" i="12"/>
  <c r="X19" i="12"/>
  <c r="X24" i="12"/>
  <c r="X39" i="12"/>
  <c r="F41" i="12"/>
  <c r="Q44" i="12"/>
  <c r="Q14" i="12"/>
  <c r="X26" i="12"/>
  <c r="Q39" i="12"/>
  <c r="X11" i="12"/>
  <c r="P13" i="12"/>
  <c r="X14" i="12"/>
  <c r="X25" i="12"/>
  <c r="P28" i="12"/>
  <c r="X35" i="12"/>
  <c r="F40" i="12"/>
  <c r="F16" i="12"/>
  <c r="AG11" i="12"/>
  <c r="Q49" i="12"/>
  <c r="Q25" i="12"/>
  <c r="Q13" i="12"/>
  <c r="P23" i="12"/>
  <c r="X28" i="12"/>
  <c r="X33" i="12"/>
  <c r="P37" i="12"/>
  <c r="X40" i="12"/>
  <c r="F51" i="12"/>
  <c r="F15" i="12"/>
  <c r="Y50" i="12"/>
  <c r="Y38" i="12"/>
  <c r="Y26" i="12"/>
  <c r="P10" i="12"/>
  <c r="P9" i="12"/>
  <c r="X15" i="12"/>
  <c r="P20" i="12"/>
  <c r="P29" i="12"/>
  <c r="P34" i="12"/>
  <c r="X43" i="12"/>
  <c r="P44" i="12"/>
  <c r="F14" i="12"/>
  <c r="Q23" i="12"/>
  <c r="Y25" i="12"/>
  <c r="Y13" i="12"/>
  <c r="X38" i="12"/>
  <c r="Y52" i="19"/>
  <c r="P12" i="12"/>
  <c r="X23" i="12"/>
  <c r="X30" i="12"/>
  <c r="X37" i="12"/>
  <c r="F13" i="12"/>
  <c r="AG23" i="12"/>
  <c r="Q22" i="12"/>
  <c r="Q10" i="12"/>
  <c r="P31" i="12"/>
  <c r="X34" i="12"/>
  <c r="X47" i="12"/>
  <c r="P49" i="12"/>
  <c r="F12" i="12"/>
  <c r="AG24" i="12"/>
  <c r="AG27" i="12" s="1"/>
  <c r="Q45" i="12"/>
  <c r="Y47" i="12"/>
  <c r="Y35" i="12"/>
  <c r="Y23" i="12"/>
  <c r="Y11" i="12"/>
  <c r="N103" i="12"/>
  <c r="F35" i="12"/>
  <c r="Q32" i="12"/>
  <c r="Y46" i="12"/>
  <c r="Y22" i="12"/>
  <c r="N114" i="12"/>
  <c r="F34" i="12"/>
  <c r="Q31" i="12"/>
  <c r="Q19" i="12"/>
  <c r="AG35" i="12"/>
  <c r="X21" i="12"/>
  <c r="Q18" i="12"/>
  <c r="Y20" i="12"/>
  <c r="AG36" i="12"/>
  <c r="AG39" i="12" s="1"/>
  <c r="F8" i="12"/>
  <c r="Y43" i="12"/>
  <c r="Q16" i="12"/>
  <c r="Y42" i="12"/>
  <c r="Y18" i="12"/>
  <c r="X13" i="12"/>
  <c r="X16" i="12"/>
  <c r="X32" i="12"/>
  <c r="P26" i="12"/>
  <c r="P25" i="12"/>
  <c r="P16" i="12"/>
  <c r="P15" i="12"/>
  <c r="P18" i="12"/>
  <c r="X9" i="12"/>
  <c r="X10" i="12"/>
  <c r="X22" i="12"/>
  <c r="X31" i="12"/>
  <c r="P36" i="12"/>
  <c r="C10" i="12"/>
  <c r="X18" i="12"/>
  <c r="P43" i="12"/>
  <c r="P42" i="12"/>
  <c r="X29" i="12"/>
  <c r="X41" i="12"/>
  <c r="P45" i="12"/>
  <c r="X46" i="12"/>
  <c r="P48" i="12"/>
  <c r="X49" i="12"/>
  <c r="N113" i="12"/>
  <c r="I55" i="12" l="1"/>
  <c r="AG13" i="12" s="1" a="1"/>
  <c r="AG13" i="12" s="1"/>
  <c r="AG16" i="12" s="1"/>
  <c r="K55" i="12" s="1"/>
  <c r="N8" i="12"/>
  <c r="AG26" i="12" a="1"/>
  <c r="AG26" i="12" s="1"/>
  <c r="AG25" i="12" a="1"/>
  <c r="AG25" i="12" s="1"/>
  <c r="AG28" i="12" s="1"/>
  <c r="E133" i="12"/>
  <c r="E114" i="12"/>
  <c r="E141" i="12"/>
  <c r="E127" i="12"/>
  <c r="E121" i="12"/>
  <c r="E132" i="12"/>
  <c r="E129" i="12"/>
  <c r="E104" i="12"/>
  <c r="E160" i="12"/>
  <c r="E154" i="12"/>
  <c r="E148" i="12"/>
  <c r="N108" i="12"/>
  <c r="E101" i="12"/>
  <c r="E119" i="12"/>
  <c r="E103" i="12"/>
  <c r="E142" i="12"/>
  <c r="E107" i="12"/>
  <c r="E109" i="12"/>
  <c r="E162" i="12"/>
  <c r="E131" i="12"/>
  <c r="E118" i="12"/>
  <c r="E134" i="12"/>
  <c r="E156" i="12"/>
  <c r="E125" i="12"/>
  <c r="E136" i="12"/>
  <c r="E161" i="12"/>
  <c r="E117" i="12"/>
  <c r="E149" i="12"/>
  <c r="E106" i="12"/>
  <c r="E108" i="12"/>
  <c r="E159" i="12"/>
  <c r="E153" i="12"/>
  <c r="E128" i="12"/>
  <c r="C11" i="12"/>
  <c r="AB10" i="12"/>
  <c r="N9" i="12"/>
  <c r="E157" i="12" s="1"/>
  <c r="AG14" i="12" l="1" a="1"/>
  <c r="AG14" i="12" s="1"/>
  <c r="J55" i="12"/>
  <c r="U53" i="12"/>
  <c r="V53" i="12"/>
  <c r="J52" i="12"/>
  <c r="K52" i="12"/>
  <c r="K53" i="12"/>
  <c r="J54" i="12"/>
  <c r="J53" i="12"/>
  <c r="K54" i="12"/>
  <c r="J22" i="12"/>
  <c r="J42" i="12"/>
  <c r="J29" i="12"/>
  <c r="K43" i="12"/>
  <c r="J38" i="12"/>
  <c r="J47" i="12"/>
  <c r="J10" i="12"/>
  <c r="J16" i="12"/>
  <c r="K31" i="12"/>
  <c r="J26" i="12"/>
  <c r="K40" i="12"/>
  <c r="J35" i="12"/>
  <c r="J20" i="12"/>
  <c r="K9" i="12"/>
  <c r="J34" i="12"/>
  <c r="K19" i="12"/>
  <c r="J23" i="12"/>
  <c r="K49" i="12"/>
  <c r="K22" i="12"/>
  <c r="J13" i="12"/>
  <c r="J30" i="12"/>
  <c r="J18" i="12"/>
  <c r="K37" i="12"/>
  <c r="J14" i="12"/>
  <c r="K47" i="12"/>
  <c r="K8" i="12"/>
  <c r="K27" i="12"/>
  <c r="J17" i="12"/>
  <c r="K36" i="12"/>
  <c r="K28" i="12"/>
  <c r="K48" i="12"/>
  <c r="J31" i="12"/>
  <c r="J51" i="12"/>
  <c r="K16" i="12"/>
  <c r="J11" i="12"/>
  <c r="J44" i="12"/>
  <c r="K44" i="12"/>
  <c r="J39" i="12"/>
  <c r="K41" i="12"/>
  <c r="J48" i="12"/>
  <c r="K24" i="12"/>
  <c r="K25" i="12"/>
  <c r="K35" i="12"/>
  <c r="K23" i="12"/>
  <c r="K32" i="12"/>
  <c r="J27" i="12"/>
  <c r="K29" i="12"/>
  <c r="J36" i="12"/>
  <c r="K50" i="12"/>
  <c r="K13" i="12"/>
  <c r="K11" i="12"/>
  <c r="J43" i="12"/>
  <c r="K20" i="12"/>
  <c r="J15" i="12"/>
  <c r="K17" i="12"/>
  <c r="J24" i="12"/>
  <c r="K38" i="12"/>
  <c r="J45" i="12"/>
  <c r="J19" i="12"/>
  <c r="K45" i="12"/>
  <c r="J8" i="12"/>
  <c r="J49" i="12"/>
  <c r="J12" i="12"/>
  <c r="K26" i="12"/>
  <c r="J33" i="12"/>
  <c r="K46" i="12"/>
  <c r="K33" i="12"/>
  <c r="J40" i="12"/>
  <c r="K42" i="12"/>
  <c r="J37" i="12"/>
  <c r="K51" i="12"/>
  <c r="K14" i="12"/>
  <c r="J21" i="12"/>
  <c r="K34" i="12"/>
  <c r="K21" i="12"/>
  <c r="J28" i="12"/>
  <c r="K30" i="12"/>
  <c r="J25" i="12"/>
  <c r="K39" i="12"/>
  <c r="J46" i="12"/>
  <c r="J9" i="12"/>
  <c r="K18" i="12"/>
  <c r="K10" i="12"/>
  <c r="J41" i="12"/>
  <c r="K12" i="12"/>
  <c r="J50" i="12"/>
  <c r="J32" i="12"/>
  <c r="K15" i="12"/>
  <c r="V9" i="12"/>
  <c r="V21" i="12"/>
  <c r="V33" i="12"/>
  <c r="V45" i="12"/>
  <c r="U12" i="12"/>
  <c r="U24" i="12"/>
  <c r="U36" i="12"/>
  <c r="U48" i="12"/>
  <c r="U11" i="12"/>
  <c r="V10" i="12"/>
  <c r="V22" i="12"/>
  <c r="V34" i="12"/>
  <c r="V46" i="12"/>
  <c r="U13" i="12"/>
  <c r="U25" i="12"/>
  <c r="U37" i="12"/>
  <c r="U49" i="12"/>
  <c r="U35" i="12"/>
  <c r="V11" i="12"/>
  <c r="V23" i="12"/>
  <c r="V35" i="12"/>
  <c r="V47" i="12"/>
  <c r="U14" i="12"/>
  <c r="U26" i="12"/>
  <c r="U38" i="12"/>
  <c r="U50" i="12"/>
  <c r="U47" i="12"/>
  <c r="V12" i="12"/>
  <c r="V24" i="12"/>
  <c r="V36" i="12"/>
  <c r="V48" i="12"/>
  <c r="U15" i="12"/>
  <c r="U27" i="12"/>
  <c r="U39" i="12"/>
  <c r="U51" i="12"/>
  <c r="V44" i="12"/>
  <c r="V13" i="12"/>
  <c r="V25" i="12"/>
  <c r="V37" i="12"/>
  <c r="V49" i="12"/>
  <c r="U16" i="12"/>
  <c r="U28" i="12"/>
  <c r="U40" i="12"/>
  <c r="U52" i="12"/>
  <c r="V14" i="12"/>
  <c r="V26" i="12"/>
  <c r="V38" i="12"/>
  <c r="V50" i="12"/>
  <c r="U17" i="12"/>
  <c r="U29" i="12"/>
  <c r="U41" i="12"/>
  <c r="U8" i="12"/>
  <c r="V15" i="12"/>
  <c r="V27" i="12"/>
  <c r="V39" i="12"/>
  <c r="V51" i="12"/>
  <c r="U18" i="12"/>
  <c r="U30" i="12"/>
  <c r="U42" i="12"/>
  <c r="V20" i="12"/>
  <c r="V16" i="12"/>
  <c r="V28" i="12"/>
  <c r="V40" i="12"/>
  <c r="V52" i="12"/>
  <c r="U19" i="12"/>
  <c r="U31" i="12"/>
  <c r="U43" i="12"/>
  <c r="U23" i="12"/>
  <c r="V17" i="12"/>
  <c r="V29" i="12"/>
  <c r="V41" i="12"/>
  <c r="V8" i="12"/>
  <c r="U20" i="12"/>
  <c r="U32" i="12"/>
  <c r="U44" i="12"/>
  <c r="V31" i="12"/>
  <c r="U10" i="12"/>
  <c r="U34" i="12"/>
  <c r="U46" i="12"/>
  <c r="V18" i="12"/>
  <c r="V30" i="12"/>
  <c r="V42" i="12"/>
  <c r="U9" i="12"/>
  <c r="U21" i="12"/>
  <c r="U33" i="12"/>
  <c r="U45" i="12"/>
  <c r="V19" i="12"/>
  <c r="V43" i="12"/>
  <c r="U22" i="12"/>
  <c r="V32" i="12"/>
  <c r="N10" i="12"/>
  <c r="AB11" i="12"/>
  <c r="C12" i="12"/>
  <c r="E124" i="12"/>
  <c r="E146" i="12"/>
  <c r="E120" i="12"/>
  <c r="E130" i="12"/>
  <c r="E144" i="12"/>
  <c r="E135" i="12"/>
  <c r="E152" i="12"/>
  <c r="E123" i="12"/>
  <c r="E138" i="12"/>
  <c r="E102" i="12"/>
  <c r="E147" i="12"/>
  <c r="E150" i="12"/>
  <c r="E158" i="12"/>
  <c r="E126" i="12"/>
  <c r="E99" i="12"/>
  <c r="E122" i="12"/>
  <c r="E155" i="12"/>
  <c r="E100" i="12"/>
  <c r="E113" i="12"/>
  <c r="E140" i="12"/>
  <c r="E145" i="12"/>
  <c r="E110" i="12"/>
  <c r="E105" i="12"/>
  <c r="E112" i="12"/>
  <c r="E115" i="12"/>
  <c r="E143" i="12"/>
  <c r="E151" i="12"/>
  <c r="E139" i="12"/>
  <c r="E111" i="12"/>
  <c r="AB100" i="12"/>
  <c r="E137" i="12"/>
  <c r="E116" i="12"/>
  <c r="N11" i="12" l="1"/>
  <c r="N106" i="12" s="1"/>
  <c r="C13" i="12"/>
  <c r="N105" i="12" a="1"/>
  <c r="N105" i="12" s="1"/>
  <c r="N104" i="12" a="1"/>
  <c r="N104" i="12" s="1"/>
  <c r="AB12" i="12" l="1"/>
  <c r="N12" i="12"/>
  <c r="C14" i="12"/>
  <c r="AB13" i="12" l="1"/>
  <c r="N13" i="12"/>
  <c r="AB99" i="12" s="1"/>
  <c r="C15" i="12"/>
  <c r="AB14" i="12" l="1"/>
  <c r="C16" i="12"/>
  <c r="N14" i="12"/>
  <c r="N107" i="12" s="1"/>
  <c r="AB15" i="12" l="1"/>
  <c r="N15" i="12"/>
  <c r="C17" i="12"/>
  <c r="AB16" i="12" l="1"/>
  <c r="C18" i="12"/>
  <c r="F127" i="12"/>
  <c r="F134" i="12"/>
  <c r="G107" i="12"/>
  <c r="G103" i="12"/>
  <c r="G117" i="12"/>
  <c r="G141" i="12"/>
  <c r="F107" i="12"/>
  <c r="F103" i="12"/>
  <c r="F117" i="12"/>
  <c r="G114" i="12"/>
  <c r="G128" i="12"/>
  <c r="G131" i="12"/>
  <c r="F114" i="12"/>
  <c r="F128" i="12"/>
  <c r="F131" i="12"/>
  <c r="F118" i="12"/>
  <c r="F125" i="12"/>
  <c r="F136" i="12"/>
  <c r="F101" i="12"/>
  <c r="G101" i="12"/>
  <c r="G118" i="12"/>
  <c r="G121" i="12"/>
  <c r="G129" i="12"/>
  <c r="G125" i="12"/>
  <c r="G108" i="12"/>
  <c r="G119" i="12"/>
  <c r="F121" i="12"/>
  <c r="F129" i="12"/>
  <c r="G109" i="12"/>
  <c r="F108" i="12"/>
  <c r="F119" i="12"/>
  <c r="G133" i="12"/>
  <c r="F109" i="12"/>
  <c r="F142" i="12"/>
  <c r="G106" i="12"/>
  <c r="G104" i="12"/>
  <c r="F133" i="12"/>
  <c r="G132" i="12"/>
  <c r="G134" i="12"/>
  <c r="F141" i="12"/>
  <c r="G142" i="12"/>
  <c r="F106" i="12"/>
  <c r="F104" i="12"/>
  <c r="F132" i="12"/>
  <c r="G127" i="12"/>
  <c r="G136" i="12"/>
  <c r="G115" i="12"/>
  <c r="G123" i="12"/>
  <c r="G139" i="12"/>
  <c r="F123" i="12"/>
  <c r="G112" i="12"/>
  <c r="F115" i="12"/>
  <c r="F124" i="12"/>
  <c r="F130" i="12"/>
  <c r="G137" i="12"/>
  <c r="G126" i="12"/>
  <c r="G140" i="12"/>
  <c r="F100" i="12"/>
  <c r="G122" i="12"/>
  <c r="F137" i="12"/>
  <c r="F126" i="12"/>
  <c r="G138" i="12"/>
  <c r="G102" i="12"/>
  <c r="F116" i="12"/>
  <c r="G99" i="12"/>
  <c r="F139" i="12"/>
  <c r="F140" i="12"/>
  <c r="G100" i="12"/>
  <c r="F122" i="12"/>
  <c r="G105" i="12"/>
  <c r="F99" i="12"/>
  <c r="F111" i="12"/>
  <c r="F112" i="12"/>
  <c r="G113" i="12"/>
  <c r="F102" i="12"/>
  <c r="G120" i="12"/>
  <c r="F105" i="12"/>
  <c r="F110" i="12"/>
  <c r="F138" i="12"/>
  <c r="F113" i="12"/>
  <c r="F120" i="12"/>
  <c r="G110" i="12"/>
  <c r="F135" i="12"/>
  <c r="F143" i="12"/>
  <c r="G111" i="12"/>
  <c r="G124" i="12"/>
  <c r="G130" i="12"/>
  <c r="G135" i="12"/>
  <c r="G143" i="12"/>
  <c r="G116" i="12"/>
  <c r="N16" i="12"/>
  <c r="AB17" i="12" l="1"/>
  <c r="C19" i="12"/>
  <c r="N17" i="12"/>
  <c r="AB18" i="12" l="1"/>
  <c r="N18" i="12"/>
  <c r="C20" i="12"/>
  <c r="AB19" i="12" l="1"/>
  <c r="N19" i="12"/>
  <c r="C21" i="12"/>
  <c r="AB20" i="12" l="1"/>
  <c r="I160" i="12"/>
  <c r="I154" i="12"/>
  <c r="I131" i="12"/>
  <c r="I115" i="12"/>
  <c r="I111" i="12"/>
  <c r="I120" i="12"/>
  <c r="I110" i="12"/>
  <c r="C22" i="12"/>
  <c r="N20" i="12"/>
  <c r="I148" i="12" s="1"/>
  <c r="AB21" i="12" l="1"/>
  <c r="I142" i="12"/>
  <c r="N21" i="12"/>
  <c r="C23" i="12"/>
  <c r="I105" i="12"/>
  <c r="I158" i="12"/>
  <c r="I150" i="12"/>
  <c r="I151" i="12"/>
  <c r="I162" i="12"/>
  <c r="I129" i="12"/>
  <c r="I159" i="12"/>
  <c r="I118" i="12"/>
  <c r="I119" i="12"/>
  <c r="I123" i="12"/>
  <c r="I127" i="12"/>
  <c r="I121" i="12"/>
  <c r="I153" i="12"/>
  <c r="I114" i="12"/>
  <c r="I145" i="12"/>
  <c r="I141" i="12"/>
  <c r="I116" i="12"/>
  <c r="AB110" i="12"/>
  <c r="I144" i="12"/>
  <c r="I146" i="12"/>
  <c r="I108" i="12"/>
  <c r="I126" i="12"/>
  <c r="I130" i="12"/>
  <c r="I132" i="12"/>
  <c r="I157" i="12"/>
  <c r="I137" i="12"/>
  <c r="I133" i="12"/>
  <c r="I117" i="12"/>
  <c r="I156" i="12"/>
  <c r="I140" i="12"/>
  <c r="I135" i="12"/>
  <c r="I109" i="12"/>
  <c r="I102" i="12"/>
  <c r="I103" i="12"/>
  <c r="I149" i="12"/>
  <c r="N119" i="12"/>
  <c r="I134" i="12"/>
  <c r="I107" i="12"/>
  <c r="I139" i="12"/>
  <c r="I124" i="12"/>
  <c r="I122" i="12"/>
  <c r="I101" i="12"/>
  <c r="I152" i="12"/>
  <c r="I138" i="12"/>
  <c r="I143" i="12"/>
  <c r="I104" i="12"/>
  <c r="I113" i="12"/>
  <c r="I100" i="12"/>
  <c r="I125" i="12"/>
  <c r="I106" i="12"/>
  <c r="I147" i="12"/>
  <c r="I155" i="12"/>
  <c r="I161" i="12"/>
  <c r="I99" i="12"/>
  <c r="I136" i="12"/>
  <c r="I112" i="12"/>
  <c r="I128" i="12"/>
  <c r="AB22" i="12" l="1"/>
  <c r="C24" i="12"/>
  <c r="N116" i="12" a="1"/>
  <c r="N116" i="12" s="1"/>
  <c r="N115" i="12" a="1"/>
  <c r="N115" i="12" s="1"/>
  <c r="N22" i="12"/>
  <c r="N117" i="12" s="1"/>
  <c r="AB23" i="12" l="1"/>
  <c r="N23" i="12"/>
  <c r="C25" i="12"/>
  <c r="AB24" i="12" l="1"/>
  <c r="N24" i="12"/>
  <c r="AB109" i="12" s="1"/>
  <c r="C26" i="12"/>
  <c r="AB25" i="12" l="1"/>
  <c r="N25" i="12"/>
  <c r="C27" i="12"/>
  <c r="AB26" i="12" l="1"/>
  <c r="N26" i="12"/>
  <c r="C28" i="12"/>
  <c r="AB27" i="12" l="1"/>
  <c r="N27" i="12"/>
  <c r="C29" i="12"/>
  <c r="AB28" i="12" l="1"/>
  <c r="N28" i="12"/>
  <c r="C30" i="12"/>
  <c r="AB29" i="12" l="1"/>
  <c r="N29" i="12"/>
  <c r="C31" i="12"/>
  <c r="AB30" i="12" l="1"/>
  <c r="N30" i="12"/>
  <c r="C32" i="12"/>
  <c r="AB31" i="12" l="1"/>
  <c r="C33" i="12"/>
  <c r="N31" i="12"/>
  <c r="AB32" i="12" l="1"/>
  <c r="N32" i="12"/>
  <c r="C34" i="12"/>
  <c r="AB33" i="12" l="1"/>
  <c r="N33" i="12"/>
  <c r="C35" i="12"/>
  <c r="AB34" i="12" l="1"/>
  <c r="C36" i="12"/>
  <c r="N34" i="12"/>
  <c r="AB35" i="12" l="1"/>
  <c r="N35" i="12"/>
  <c r="C37" i="12"/>
  <c r="AB36" i="12" l="1"/>
  <c r="N36" i="12"/>
  <c r="C38" i="12"/>
  <c r="AB37" i="12" l="1"/>
  <c r="C39" i="12"/>
  <c r="N37" i="12"/>
  <c r="AB38" i="12" l="1"/>
  <c r="N38" i="12"/>
  <c r="C40" i="12"/>
  <c r="AB39" i="12" l="1"/>
  <c r="C41" i="12"/>
  <c r="N39" i="12"/>
  <c r="AB40" i="12" l="1"/>
  <c r="N40" i="12"/>
  <c r="C42" i="12"/>
  <c r="AB41" i="12" l="1"/>
  <c r="C43" i="12"/>
  <c r="N41" i="12"/>
  <c r="AB42" i="12" l="1"/>
  <c r="N42" i="12"/>
  <c r="C44" i="12"/>
  <c r="AB43" i="12" l="1"/>
  <c r="C45" i="12"/>
  <c r="N43" i="12"/>
  <c r="AB44" i="12" l="1"/>
  <c r="C46" i="12"/>
  <c r="N44" i="12"/>
  <c r="AB45" i="12" l="1"/>
  <c r="C47" i="12"/>
  <c r="N45" i="12"/>
  <c r="AB46" i="12" l="1"/>
  <c r="C48" i="12"/>
  <c r="N46" i="12"/>
  <c r="AB47" i="12" l="1"/>
  <c r="C49" i="12"/>
  <c r="N47" i="12"/>
  <c r="AB48" i="12" l="1"/>
  <c r="C50" i="12"/>
  <c r="N48" i="12"/>
  <c r="AB49" i="12" l="1"/>
  <c r="N49" i="12"/>
  <c r="C51" i="12"/>
  <c r="AB50" i="12" l="1"/>
  <c r="C52" i="12"/>
  <c r="N50" i="12"/>
  <c r="AB51" i="12" l="1"/>
  <c r="N51" i="12"/>
  <c r="C53" i="12"/>
  <c r="AB52" i="12" l="1"/>
  <c r="N52" i="12"/>
  <c r="C54" i="12"/>
  <c r="AB53" i="12" l="1"/>
  <c r="AB54" i="12"/>
  <c r="C55" i="12"/>
  <c r="N53" i="12"/>
  <c r="N54" i="12" l="1"/>
  <c r="C56" i="12"/>
  <c r="AB55" i="12"/>
  <c r="N55" i="12" l="1"/>
  <c r="C57" i="12"/>
  <c r="AB56" i="12"/>
  <c r="N56" i="12" l="1"/>
  <c r="C58" i="12"/>
  <c r="AB57" i="12"/>
  <c r="C59" i="12" l="1"/>
  <c r="AB58" i="12"/>
  <c r="N57" i="12"/>
  <c r="C60" i="12" l="1"/>
  <c r="AB59" i="12"/>
  <c r="N58" i="12"/>
  <c r="N59" i="12" l="1"/>
  <c r="AB60" i="12"/>
  <c r="C61" i="12"/>
  <c r="C62" i="12" l="1"/>
  <c r="AB61" i="12"/>
  <c r="N60" i="12"/>
  <c r="N61" i="12" l="1"/>
  <c r="C63" i="12"/>
  <c r="AB62" i="12"/>
  <c r="C64" i="12" l="1"/>
  <c r="AB63" i="12"/>
  <c r="N62" i="12"/>
  <c r="C65" i="12" l="1"/>
  <c r="AB64" i="12"/>
  <c r="N63" i="12"/>
  <c r="C66" i="12" l="1"/>
  <c r="AB65" i="12"/>
  <c r="N64" i="12"/>
  <c r="N65" i="12" l="1"/>
  <c r="AB66" i="12"/>
  <c r="C67" i="12"/>
  <c r="C68" i="12" l="1"/>
  <c r="AB67" i="12"/>
  <c r="N66" i="12"/>
  <c r="N67" i="12" l="1"/>
  <c r="C69" i="12"/>
  <c r="AB68" i="12"/>
  <c r="C70" i="12" l="1"/>
  <c r="AB69" i="12"/>
  <c r="N68" i="12"/>
  <c r="C71" i="12" l="1"/>
  <c r="AB70" i="12"/>
  <c r="N69" i="12"/>
  <c r="C72" i="12" l="1"/>
  <c r="AB71" i="12"/>
  <c r="N70" i="12"/>
  <c r="N71" i="12" l="1"/>
  <c r="AB72" i="12"/>
  <c r="C73" i="12"/>
  <c r="C74" i="12" l="1"/>
  <c r="AB73" i="12"/>
  <c r="N72" i="12"/>
  <c r="N73" i="12" l="1"/>
  <c r="C75" i="12"/>
  <c r="AB74" i="12"/>
  <c r="C76" i="12" l="1"/>
  <c r="AB75" i="12"/>
  <c r="N74" i="12"/>
  <c r="C77" i="12" l="1"/>
  <c r="AB76" i="12"/>
  <c r="N75" i="12"/>
  <c r="C78" i="12" l="1"/>
  <c r="AB77" i="12"/>
  <c r="N76" i="12"/>
  <c r="N77" i="12" l="1"/>
  <c r="AB78" i="12"/>
  <c r="AG38" i="12" l="1" a="1"/>
  <c r="AG38" i="12" s="1"/>
  <c r="AT28" i="12" s="1"/>
  <c r="AG37" i="12" a="1"/>
  <c r="AG37" i="12" s="1"/>
  <c r="AT18" i="12"/>
  <c r="N78" i="12"/>
  <c r="AG40" i="12" l="1"/>
  <c r="N118" i="12"/>
  <c r="AT8" i="12"/>
  <c r="AC54" i="12" l="1"/>
  <c r="AD54" i="12"/>
  <c r="AC53" i="12"/>
  <c r="AD53" i="12"/>
  <c r="AC9" i="12"/>
  <c r="AD8" i="12"/>
  <c r="AC8" i="12"/>
  <c r="AC10" i="12"/>
  <c r="AD10" i="12"/>
  <c r="AD9" i="12"/>
  <c r="AD11" i="12"/>
  <c r="AC11" i="12"/>
  <c r="AC12" i="12"/>
  <c r="AD12" i="12"/>
  <c r="AD13" i="12"/>
  <c r="AC13" i="12"/>
  <c r="AC14" i="12"/>
  <c r="AD14" i="12"/>
  <c r="AC15" i="12"/>
  <c r="AD15" i="12"/>
  <c r="AC16" i="12"/>
  <c r="AD16" i="12"/>
  <c r="AD17" i="12"/>
  <c r="AC17" i="12"/>
  <c r="AC18" i="12"/>
  <c r="AD18" i="12"/>
  <c r="AC19" i="12"/>
  <c r="AD19" i="12"/>
  <c r="AC20" i="12"/>
  <c r="AD20" i="12"/>
  <c r="AC21" i="12"/>
  <c r="AD21" i="12"/>
  <c r="AC22" i="12"/>
  <c r="AD22" i="12"/>
  <c r="AC23" i="12"/>
  <c r="AD23" i="12"/>
  <c r="AD24" i="12"/>
  <c r="AC24" i="12"/>
  <c r="AD25" i="12"/>
  <c r="AC25" i="12"/>
  <c r="AD26" i="12"/>
  <c r="AC26" i="12"/>
  <c r="J111" i="12"/>
  <c r="K122" i="12"/>
  <c r="J132" i="12"/>
  <c r="K133" i="12"/>
  <c r="K129" i="12"/>
  <c r="J117" i="12"/>
  <c r="K137" i="12"/>
  <c r="K116" i="12"/>
  <c r="K101" i="12"/>
  <c r="K127" i="12"/>
  <c r="K124" i="12"/>
  <c r="K131" i="12"/>
  <c r="J140" i="12"/>
  <c r="AD27" i="12"/>
  <c r="J106" i="12"/>
  <c r="K136" i="12"/>
  <c r="K100" i="12"/>
  <c r="J141" i="12"/>
  <c r="J114" i="12"/>
  <c r="K121" i="12"/>
  <c r="J113" i="12"/>
  <c r="K109" i="12"/>
  <c r="K108" i="12"/>
  <c r="K140" i="12"/>
  <c r="J128" i="12"/>
  <c r="K111" i="12"/>
  <c r="K123" i="12"/>
  <c r="J119" i="12"/>
  <c r="K107" i="12"/>
  <c r="J100" i="12"/>
  <c r="J121" i="12"/>
  <c r="AC27" i="12"/>
  <c r="J99" i="12"/>
  <c r="K125" i="12"/>
  <c r="J122" i="12"/>
  <c r="K114" i="12"/>
  <c r="K103" i="12"/>
  <c r="J116" i="12"/>
  <c r="K128" i="12"/>
  <c r="K112" i="12"/>
  <c r="K130" i="12"/>
  <c r="J137" i="12"/>
  <c r="J127" i="12"/>
  <c r="J110" i="12"/>
  <c r="J143" i="12"/>
  <c r="J125" i="12"/>
  <c r="J136" i="12"/>
  <c r="J101" i="12"/>
  <c r="J135" i="12"/>
  <c r="K126" i="12"/>
  <c r="K105" i="12"/>
  <c r="J104" i="12"/>
  <c r="K143" i="12"/>
  <c r="J142" i="12"/>
  <c r="J103" i="12"/>
  <c r="J126" i="12"/>
  <c r="K134" i="12"/>
  <c r="K120" i="12"/>
  <c r="K141" i="12"/>
  <c r="J120" i="12"/>
  <c r="J130" i="12"/>
  <c r="K135" i="12"/>
  <c r="K138" i="12"/>
  <c r="K104" i="12"/>
  <c r="J118" i="12"/>
  <c r="J129" i="12"/>
  <c r="J108" i="12"/>
  <c r="K118" i="12"/>
  <c r="J105" i="12"/>
  <c r="K106" i="12"/>
  <c r="J139" i="12"/>
  <c r="K113" i="12"/>
  <c r="K142" i="12"/>
  <c r="J115" i="12"/>
  <c r="J134" i="12"/>
  <c r="J138" i="12"/>
  <c r="J112" i="12"/>
  <c r="K102" i="12"/>
  <c r="J109" i="12"/>
  <c r="J123" i="12"/>
  <c r="K139" i="12"/>
  <c r="J124" i="12"/>
  <c r="K99" i="12"/>
  <c r="K117" i="12"/>
  <c r="K119" i="12"/>
  <c r="J107" i="12"/>
  <c r="K110" i="12"/>
  <c r="J131" i="12"/>
  <c r="J133" i="12"/>
  <c r="K115" i="12"/>
  <c r="K132" i="12"/>
  <c r="J102" i="12"/>
  <c r="AD28" i="12"/>
  <c r="AC28" i="12"/>
  <c r="AD29" i="12"/>
  <c r="AC29" i="12"/>
  <c r="AD30" i="12"/>
  <c r="AC30" i="12"/>
  <c r="AC31" i="12"/>
  <c r="AD31" i="12"/>
  <c r="AC32" i="12"/>
  <c r="AD32" i="12"/>
  <c r="AC33" i="12"/>
  <c r="AD33" i="12"/>
  <c r="AD34" i="12"/>
  <c r="AC34" i="12"/>
  <c r="AD35" i="12"/>
  <c r="AC35" i="12"/>
  <c r="AD36" i="12"/>
  <c r="AC36" i="12"/>
  <c r="AC37" i="12"/>
  <c r="AD37" i="12"/>
  <c r="AC38" i="12"/>
  <c r="AD38" i="12"/>
  <c r="AC39" i="12"/>
  <c r="AD39" i="12"/>
  <c r="AC40" i="12"/>
  <c r="AD40" i="12"/>
  <c r="AC41" i="12"/>
  <c r="AD41" i="12"/>
  <c r="AC42" i="12"/>
  <c r="AD42" i="12"/>
  <c r="AC43" i="12"/>
  <c r="AD43" i="12"/>
  <c r="AD44" i="12"/>
  <c r="AC44" i="12"/>
  <c r="AC45" i="12"/>
  <c r="AD45" i="12"/>
  <c r="AC46" i="12"/>
  <c r="AD46" i="12"/>
  <c r="AC47" i="12"/>
  <c r="AD47" i="12"/>
  <c r="AC48" i="12"/>
  <c r="AD48" i="12"/>
  <c r="AD49" i="12"/>
  <c r="AC49" i="12"/>
  <c r="AD50" i="12"/>
  <c r="AC50" i="12"/>
  <c r="AD51" i="12"/>
  <c r="AC51" i="12"/>
  <c r="AD52" i="12"/>
  <c r="AC52" i="12"/>
  <c r="F68" i="19"/>
  <c r="F69" i="19"/>
  <c r="F70" i="19"/>
  <c r="F71" i="19"/>
  <c r="F72" i="19"/>
  <c r="F73" i="19"/>
  <c r="F74" i="19"/>
  <c r="F75" i="19"/>
  <c r="F76" i="19"/>
  <c r="F77" i="19"/>
  <c r="F78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AB8" i="19"/>
  <c r="W9" i="19"/>
  <c r="W10" i="19"/>
  <c r="W11" i="19"/>
  <c r="W12" i="19"/>
  <c r="W13" i="19"/>
  <c r="W14" i="19"/>
  <c r="W15" i="19"/>
  <c r="W16" i="19"/>
  <c r="W17" i="19"/>
  <c r="W18" i="19"/>
  <c r="W19" i="19"/>
  <c r="W20" i="19"/>
  <c r="W21" i="19"/>
  <c r="W22" i="19"/>
  <c r="W23" i="19"/>
  <c r="W24" i="19"/>
  <c r="W25" i="19"/>
  <c r="W26" i="19"/>
  <c r="W27" i="19"/>
  <c r="W28" i="19"/>
  <c r="W29" i="19"/>
  <c r="W30" i="19"/>
  <c r="W31" i="19"/>
  <c r="W32" i="19"/>
  <c r="W33" i="19"/>
  <c r="W34" i="19"/>
  <c r="W35" i="19"/>
  <c r="W36" i="19"/>
  <c r="W37" i="19"/>
  <c r="W38" i="19"/>
  <c r="W39" i="19"/>
  <c r="W40" i="19"/>
  <c r="W41" i="19"/>
  <c r="W42" i="19"/>
  <c r="W43" i="19"/>
  <c r="W44" i="19"/>
  <c r="W45" i="19"/>
  <c r="W46" i="19"/>
  <c r="W47" i="19"/>
  <c r="W48" i="19"/>
  <c r="W49" i="19"/>
  <c r="X50" i="19" s="1"/>
  <c r="T8" i="19"/>
  <c r="N8" i="19"/>
  <c r="W8" i="19"/>
  <c r="O49" i="19"/>
  <c r="P50" i="19" s="1"/>
  <c r="O9" i="19"/>
  <c r="O10" i="19"/>
  <c r="O11" i="19"/>
  <c r="O12" i="19"/>
  <c r="O13" i="19"/>
  <c r="O14" i="19"/>
  <c r="O15" i="19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O32" i="19"/>
  <c r="O33" i="19"/>
  <c r="O34" i="19"/>
  <c r="O35" i="19"/>
  <c r="O36" i="19"/>
  <c r="O37" i="19"/>
  <c r="O38" i="19"/>
  <c r="O39" i="19"/>
  <c r="O40" i="19"/>
  <c r="O41" i="19"/>
  <c r="O42" i="19"/>
  <c r="O43" i="19"/>
  <c r="O44" i="19"/>
  <c r="O45" i="19"/>
  <c r="O46" i="19"/>
  <c r="O47" i="19"/>
  <c r="O48" i="19"/>
  <c r="O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0" i="19"/>
  <c r="M41" i="19"/>
  <c r="M42" i="19"/>
  <c r="M43" i="19"/>
  <c r="M44" i="19"/>
  <c r="M45" i="19"/>
  <c r="M46" i="19"/>
  <c r="M47" i="19"/>
  <c r="M48" i="19"/>
  <c r="M49" i="19"/>
  <c r="M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8" i="19"/>
  <c r="E9" i="19"/>
  <c r="F9" i="19" s="1"/>
  <c r="E10" i="19"/>
  <c r="F10" i="19" s="1"/>
  <c r="E11" i="19"/>
  <c r="F11" i="19" s="1"/>
  <c r="E12" i="19"/>
  <c r="F12" i="19" s="1"/>
  <c r="E13" i="19"/>
  <c r="F13" i="19" s="1"/>
  <c r="E14" i="19"/>
  <c r="F14" i="19" s="1"/>
  <c r="E15" i="19"/>
  <c r="F15" i="19" s="1"/>
  <c r="E16" i="19"/>
  <c r="F16" i="19" s="1"/>
  <c r="E17" i="19"/>
  <c r="F17" i="19" s="1"/>
  <c r="E18" i="19"/>
  <c r="F18" i="19" s="1"/>
  <c r="E19" i="19"/>
  <c r="F19" i="19" s="1"/>
  <c r="E20" i="19"/>
  <c r="F20" i="19" s="1"/>
  <c r="E21" i="19"/>
  <c r="F21" i="19" s="1"/>
  <c r="E22" i="19"/>
  <c r="F22" i="19" s="1"/>
  <c r="E23" i="19"/>
  <c r="F23" i="19" s="1"/>
  <c r="E24" i="19"/>
  <c r="F24" i="19" s="1"/>
  <c r="E25" i="19"/>
  <c r="F25" i="19" s="1"/>
  <c r="E26" i="19"/>
  <c r="F26" i="19" s="1"/>
  <c r="E27" i="19"/>
  <c r="F27" i="19" s="1"/>
  <c r="E28" i="19"/>
  <c r="F28" i="19" s="1"/>
  <c r="E29" i="19"/>
  <c r="F29" i="19" s="1"/>
  <c r="E30" i="19"/>
  <c r="F30" i="19" s="1"/>
  <c r="E31" i="19"/>
  <c r="F31" i="19" s="1"/>
  <c r="E32" i="19"/>
  <c r="F32" i="19" s="1"/>
  <c r="E33" i="19"/>
  <c r="F33" i="19" s="1"/>
  <c r="E34" i="19"/>
  <c r="F34" i="19" s="1"/>
  <c r="E35" i="19"/>
  <c r="F35" i="19" s="1"/>
  <c r="E36" i="19"/>
  <c r="F36" i="19" s="1"/>
  <c r="E37" i="19"/>
  <c r="F37" i="19" s="1"/>
  <c r="E38" i="19"/>
  <c r="F38" i="19" s="1"/>
  <c r="E39" i="19"/>
  <c r="F39" i="19" s="1"/>
  <c r="E40" i="19"/>
  <c r="F40" i="19" s="1"/>
  <c r="E41" i="19"/>
  <c r="F41" i="19" s="1"/>
  <c r="E42" i="19"/>
  <c r="F42" i="19" s="1"/>
  <c r="E43" i="19"/>
  <c r="F43" i="19" s="1"/>
  <c r="E44" i="19"/>
  <c r="F44" i="19" s="1"/>
  <c r="E45" i="19"/>
  <c r="F45" i="19" s="1"/>
  <c r="E46" i="19"/>
  <c r="F46" i="19" s="1"/>
  <c r="E47" i="19"/>
  <c r="F47" i="19" s="1"/>
  <c r="E48" i="19"/>
  <c r="F48" i="19" s="1"/>
  <c r="E49" i="19"/>
  <c r="F49" i="19" s="1"/>
  <c r="F50" i="19"/>
  <c r="F51" i="19"/>
  <c r="D48" i="19"/>
  <c r="D49" i="19"/>
  <c r="E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8" i="19"/>
  <c r="C10" i="19"/>
  <c r="C9" i="19"/>
  <c r="P40" i="19" l="1"/>
  <c r="Q40" i="19" s="1"/>
  <c r="P28" i="19"/>
  <c r="Q28" i="19" s="1"/>
  <c r="P16" i="19"/>
  <c r="Q16" i="19" s="1"/>
  <c r="AG12" i="19"/>
  <c r="P42" i="19"/>
  <c r="Q42" i="19" s="1"/>
  <c r="P30" i="19"/>
  <c r="Q30" i="19" s="1"/>
  <c r="P18" i="19"/>
  <c r="Q18" i="19" s="1"/>
  <c r="X41" i="19"/>
  <c r="Y41" i="19" s="1"/>
  <c r="C11" i="19"/>
  <c r="N9" i="19"/>
  <c r="F8" i="19"/>
  <c r="AG11" i="19"/>
  <c r="X46" i="19"/>
  <c r="Y46" i="19" s="1"/>
  <c r="X34" i="19"/>
  <c r="Y34" i="19" s="1"/>
  <c r="X22" i="19"/>
  <c r="Y22" i="19" s="1"/>
  <c r="X10" i="19"/>
  <c r="Y10" i="19" s="1"/>
  <c r="X29" i="19"/>
  <c r="Y29" i="19" s="1"/>
  <c r="X44" i="19"/>
  <c r="Y44" i="19" s="1"/>
  <c r="X32" i="19"/>
  <c r="Y32" i="19" s="1"/>
  <c r="X49" i="19"/>
  <c r="Y49" i="19" s="1"/>
  <c r="X37" i="19"/>
  <c r="Y37" i="19" s="1"/>
  <c r="X25" i="19"/>
  <c r="Y25" i="19" s="1"/>
  <c r="X13" i="19"/>
  <c r="Y13" i="19" s="1"/>
  <c r="I8" i="19"/>
  <c r="P47" i="19"/>
  <c r="Q47" i="19" s="1"/>
  <c r="P35" i="19"/>
  <c r="Q35" i="19" s="1"/>
  <c r="P23" i="19"/>
  <c r="Q23" i="19" s="1"/>
  <c r="P11" i="19"/>
  <c r="Q11" i="19" s="1"/>
  <c r="P45" i="19"/>
  <c r="Q45" i="19" s="1"/>
  <c r="P33" i="19"/>
  <c r="Q33" i="19" s="1"/>
  <c r="P21" i="19"/>
  <c r="Q21" i="19" s="1"/>
  <c r="X20" i="19"/>
  <c r="Y20" i="19" s="1"/>
  <c r="P31" i="19"/>
  <c r="Q31" i="19" s="1"/>
  <c r="P19" i="19"/>
  <c r="Q19" i="19" s="1"/>
  <c r="X42" i="19"/>
  <c r="Y42" i="19" s="1"/>
  <c r="X30" i="19"/>
  <c r="Y30" i="19" s="1"/>
  <c r="X18" i="19"/>
  <c r="Y18" i="19" s="1"/>
  <c r="I10" i="19"/>
  <c r="I9" i="19"/>
  <c r="P46" i="19"/>
  <c r="Q46" i="19" s="1"/>
  <c r="P10" i="19"/>
  <c r="Q10" i="19" s="1"/>
  <c r="P9" i="19"/>
  <c r="P43" i="19"/>
  <c r="Q43" i="19" s="1"/>
  <c r="Q50" i="19"/>
  <c r="X17" i="19"/>
  <c r="Y17" i="19" s="1"/>
  <c r="X19" i="19"/>
  <c r="Y19" i="19" s="1"/>
  <c r="Q51" i="19"/>
  <c r="X43" i="19"/>
  <c r="Y43" i="19" s="1"/>
  <c r="P49" i="19"/>
  <c r="Q49" i="19" s="1"/>
  <c r="P39" i="19"/>
  <c r="Q39" i="19" s="1"/>
  <c r="P27" i="19"/>
  <c r="Q27" i="19" s="1"/>
  <c r="P15" i="19"/>
  <c r="Q15" i="19" s="1"/>
  <c r="P37" i="19"/>
  <c r="Q37" i="19" s="1"/>
  <c r="P25" i="19"/>
  <c r="Q25" i="19" s="1"/>
  <c r="P13" i="19"/>
  <c r="Q13" i="19" s="1"/>
  <c r="P41" i="19"/>
  <c r="Q41" i="19" s="1"/>
  <c r="P29" i="19"/>
  <c r="Q29" i="19" s="1"/>
  <c r="P17" i="19"/>
  <c r="Q17" i="19" s="1"/>
  <c r="X47" i="19"/>
  <c r="Y47" i="19" s="1"/>
  <c r="X35" i="19"/>
  <c r="Y35" i="19" s="1"/>
  <c r="X23" i="19"/>
  <c r="Y23" i="19" s="1"/>
  <c r="X11" i="19"/>
  <c r="Y11" i="19" s="1"/>
  <c r="X9" i="19"/>
  <c r="X45" i="19"/>
  <c r="Y45" i="19" s="1"/>
  <c r="P48" i="19"/>
  <c r="Q48" i="19" s="1"/>
  <c r="P36" i="19"/>
  <c r="Q36" i="19" s="1"/>
  <c r="P24" i="19"/>
  <c r="Q24" i="19" s="1"/>
  <c r="P12" i="19"/>
  <c r="Q12" i="19" s="1"/>
  <c r="P38" i="19"/>
  <c r="Q38" i="19" s="1"/>
  <c r="P34" i="19"/>
  <c r="Q34" i="19" s="1"/>
  <c r="P22" i="19"/>
  <c r="Q22" i="19" s="1"/>
  <c r="X33" i="19"/>
  <c r="Y33" i="19" s="1"/>
  <c r="P26" i="19"/>
  <c r="Q26" i="19" s="1"/>
  <c r="X40" i="19"/>
  <c r="Y40" i="19" s="1"/>
  <c r="X28" i="19"/>
  <c r="Y28" i="19" s="1"/>
  <c r="X16" i="19"/>
  <c r="Y16" i="19" s="1"/>
  <c r="X31" i="19"/>
  <c r="Y31" i="19" s="1"/>
  <c r="P44" i="19"/>
  <c r="Q44" i="19" s="1"/>
  <c r="P32" i="19"/>
  <c r="Q32" i="19" s="1"/>
  <c r="P20" i="19"/>
  <c r="Q20" i="19" s="1"/>
  <c r="Y51" i="19"/>
  <c r="X39" i="19"/>
  <c r="Y39" i="19" s="1"/>
  <c r="X27" i="19"/>
  <c r="Y27" i="19" s="1"/>
  <c r="X15" i="19"/>
  <c r="Y15" i="19" s="1"/>
  <c r="P14" i="19"/>
  <c r="Q14" i="19" s="1"/>
  <c r="Y50" i="19"/>
  <c r="X38" i="19"/>
  <c r="Y38" i="19" s="1"/>
  <c r="X26" i="19"/>
  <c r="Y26" i="19" s="1"/>
  <c r="X14" i="19"/>
  <c r="Y14" i="19" s="1"/>
  <c r="X21" i="19"/>
  <c r="Y21" i="19" s="1"/>
  <c r="X48" i="19"/>
  <c r="Y48" i="19" s="1"/>
  <c r="X36" i="19"/>
  <c r="Y36" i="19" s="1"/>
  <c r="X24" i="19"/>
  <c r="Y24" i="19" s="1"/>
  <c r="X12" i="19"/>
  <c r="Y12" i="19" s="1"/>
  <c r="C12" i="19" l="1"/>
  <c r="N10" i="19"/>
  <c r="AB10" i="19"/>
  <c r="AG35" i="19"/>
  <c r="Y9" i="19"/>
  <c r="AG36" i="19"/>
  <c r="AG39" i="19" s="1"/>
  <c r="Q9" i="19"/>
  <c r="AG24" i="19"/>
  <c r="AG23" i="19"/>
  <c r="AB11" i="19"/>
  <c r="AB9" i="19"/>
  <c r="T9" i="19"/>
  <c r="T11" i="19"/>
  <c r="T10" i="19"/>
  <c r="N11" i="19" l="1"/>
  <c r="I11" i="19"/>
  <c r="C13" i="19"/>
  <c r="AB12" i="19"/>
  <c r="T12" i="19"/>
  <c r="N12" i="19" l="1"/>
  <c r="I12" i="19"/>
  <c r="T13" i="19"/>
  <c r="AB13" i="19"/>
  <c r="C14" i="19"/>
  <c r="T14" i="19" l="1"/>
  <c r="AB14" i="19"/>
  <c r="C15" i="19"/>
  <c r="N13" i="19"/>
  <c r="I13" i="19"/>
  <c r="T15" i="19" l="1"/>
  <c r="AB15" i="19"/>
  <c r="C16" i="19"/>
  <c r="N14" i="19"/>
  <c r="I14" i="19"/>
  <c r="N15" i="19" l="1"/>
  <c r="I15" i="19"/>
  <c r="T16" i="19"/>
  <c r="AB16" i="19"/>
  <c r="C17" i="19"/>
  <c r="N16" i="19" l="1"/>
  <c r="I16" i="19"/>
  <c r="T17" i="19"/>
  <c r="AB17" i="19"/>
  <c r="C18" i="19"/>
  <c r="T18" i="19" l="1"/>
  <c r="AB18" i="19"/>
  <c r="C19" i="19"/>
  <c r="N17" i="19"/>
  <c r="I17" i="19"/>
  <c r="AB19" i="19" l="1"/>
  <c r="T19" i="19"/>
  <c r="C20" i="19"/>
  <c r="N18" i="19"/>
  <c r="I18" i="19"/>
  <c r="AB20" i="19" l="1"/>
  <c r="T20" i="19"/>
  <c r="C21" i="19"/>
  <c r="N19" i="19"/>
  <c r="I19" i="19"/>
  <c r="T21" i="19" l="1"/>
  <c r="AB21" i="19"/>
  <c r="C22" i="19"/>
  <c r="N20" i="19"/>
  <c r="I20" i="19"/>
  <c r="T22" i="19" l="1"/>
  <c r="AB22" i="19"/>
  <c r="C23" i="19"/>
  <c r="N21" i="19"/>
  <c r="I21" i="19"/>
  <c r="T23" i="19" l="1"/>
  <c r="AB23" i="19"/>
  <c r="C24" i="19"/>
  <c r="N22" i="19"/>
  <c r="I22" i="19"/>
  <c r="T24" i="19" l="1"/>
  <c r="AB24" i="19"/>
  <c r="C25" i="19"/>
  <c r="N23" i="19"/>
  <c r="I23" i="19"/>
  <c r="AB25" i="19" l="1"/>
  <c r="T25" i="19"/>
  <c r="C26" i="19"/>
  <c r="N24" i="19"/>
  <c r="I24" i="19"/>
  <c r="T26" i="19" l="1"/>
  <c r="AB26" i="19"/>
  <c r="C27" i="19"/>
  <c r="N25" i="19"/>
  <c r="I25" i="19"/>
  <c r="AB27" i="19" l="1"/>
  <c r="T27" i="19"/>
  <c r="C28" i="19"/>
  <c r="N26" i="19"/>
  <c r="I26" i="19"/>
  <c r="T28" i="19" l="1"/>
  <c r="AB28" i="19"/>
  <c r="C29" i="19"/>
  <c r="N27" i="19"/>
  <c r="I27" i="19"/>
  <c r="N28" i="19" l="1"/>
  <c r="I28" i="19"/>
  <c r="T29" i="19"/>
  <c r="AB29" i="19"/>
  <c r="C30" i="19"/>
  <c r="T30" i="19" l="1"/>
  <c r="AB30" i="19"/>
  <c r="C31" i="19"/>
  <c r="N29" i="19"/>
  <c r="I29" i="19"/>
  <c r="AB31" i="19" l="1"/>
  <c r="T31" i="19"/>
  <c r="C32" i="19"/>
  <c r="N30" i="19"/>
  <c r="I30" i="19"/>
  <c r="AB32" i="19" l="1"/>
  <c r="T32" i="19"/>
  <c r="C33" i="19"/>
  <c r="N31" i="19"/>
  <c r="I31" i="19"/>
  <c r="N32" i="19" l="1"/>
  <c r="I32" i="19"/>
  <c r="T33" i="19"/>
  <c r="AB33" i="19"/>
  <c r="C34" i="19"/>
  <c r="T34" i="19" l="1"/>
  <c r="AB34" i="19"/>
  <c r="C35" i="19"/>
  <c r="N33" i="19"/>
  <c r="I33" i="19"/>
  <c r="AB35" i="19" l="1"/>
  <c r="T35" i="19"/>
  <c r="C36" i="19"/>
  <c r="N34" i="19"/>
  <c r="I34" i="19"/>
  <c r="AB36" i="19" l="1"/>
  <c r="T36" i="19"/>
  <c r="C37" i="19"/>
  <c r="N35" i="19"/>
  <c r="I35" i="19"/>
  <c r="AB37" i="19" l="1"/>
  <c r="T37" i="19"/>
  <c r="C38" i="19"/>
  <c r="N36" i="19"/>
  <c r="I36" i="19"/>
  <c r="T38" i="19" l="1"/>
  <c r="AB38" i="19"/>
  <c r="C39" i="19"/>
  <c r="N37" i="19"/>
  <c r="I37" i="19"/>
  <c r="T39" i="19" l="1"/>
  <c r="AB39" i="19"/>
  <c r="C40" i="19"/>
  <c r="N38" i="19"/>
  <c r="I38" i="19"/>
  <c r="T40" i="19" l="1"/>
  <c r="AB40" i="19"/>
  <c r="C41" i="19"/>
  <c r="N39" i="19"/>
  <c r="I39" i="19"/>
  <c r="T41" i="19" l="1"/>
  <c r="AB41" i="19"/>
  <c r="C42" i="19"/>
  <c r="N40" i="19"/>
  <c r="I40" i="19"/>
  <c r="T42" i="19" l="1"/>
  <c r="AB42" i="19"/>
  <c r="C43" i="19"/>
  <c r="N41" i="19"/>
  <c r="I41" i="19"/>
  <c r="AB43" i="19" l="1"/>
  <c r="T43" i="19"/>
  <c r="C44" i="19"/>
  <c r="N42" i="19"/>
  <c r="I42" i="19"/>
  <c r="AB44" i="19" l="1"/>
  <c r="T44" i="19"/>
  <c r="C45" i="19"/>
  <c r="N43" i="19"/>
  <c r="I43" i="19"/>
  <c r="T45" i="19" l="1"/>
  <c r="AB45" i="19"/>
  <c r="C46" i="19"/>
  <c r="N44" i="19"/>
  <c r="I44" i="19"/>
  <c r="T46" i="19" l="1"/>
  <c r="AB46" i="19"/>
  <c r="C47" i="19"/>
  <c r="N45" i="19"/>
  <c r="I45" i="19"/>
  <c r="T47" i="19" l="1"/>
  <c r="AB47" i="19"/>
  <c r="C48" i="19"/>
  <c r="N46" i="19"/>
  <c r="I46" i="19"/>
  <c r="N47" i="19" l="1"/>
  <c r="I47" i="19"/>
  <c r="T48" i="19"/>
  <c r="AB48" i="19"/>
  <c r="C49" i="19"/>
  <c r="N48" i="19" l="1"/>
  <c r="I48" i="19"/>
  <c r="T49" i="19"/>
  <c r="AB49" i="19"/>
  <c r="C50" i="19"/>
  <c r="N49" i="19" l="1"/>
  <c r="I49" i="19"/>
  <c r="T50" i="19"/>
  <c r="C51" i="19"/>
  <c r="T51" i="19" l="1"/>
  <c r="C52" i="19"/>
  <c r="AB50" i="19"/>
  <c r="N50" i="19"/>
  <c r="I50" i="19"/>
  <c r="T52" i="19" l="1"/>
  <c r="C53" i="19"/>
  <c r="N51" i="19"/>
  <c r="I51" i="19"/>
  <c r="AB51" i="19"/>
  <c r="AB52" i="19" l="1"/>
  <c r="T53" i="19"/>
  <c r="AB53" i="19"/>
  <c r="C54" i="19"/>
  <c r="I52" i="19"/>
  <c r="N52" i="19"/>
  <c r="N53" i="19" l="1"/>
  <c r="I53" i="19"/>
  <c r="T54" i="19"/>
  <c r="AB54" i="19"/>
  <c r="C55" i="19"/>
  <c r="N54" i="19" l="1"/>
  <c r="I54" i="19"/>
  <c r="AB55" i="19"/>
  <c r="T55" i="19"/>
  <c r="C56" i="19"/>
  <c r="AB56" i="19" l="1"/>
  <c r="T56" i="19"/>
  <c r="C57" i="19"/>
  <c r="N55" i="19"/>
  <c r="I55" i="19"/>
  <c r="T57" i="19" l="1"/>
  <c r="AB57" i="19"/>
  <c r="C58" i="19"/>
  <c r="N56" i="19"/>
  <c r="I56" i="19"/>
  <c r="AB58" i="19" l="1"/>
  <c r="T58" i="19"/>
  <c r="C59" i="19"/>
  <c r="N57" i="19"/>
  <c r="I57" i="19"/>
  <c r="N58" i="19" l="1"/>
  <c r="I58" i="19"/>
  <c r="T59" i="19"/>
  <c r="AB59" i="19"/>
  <c r="C60" i="19"/>
  <c r="AB60" i="19" l="1"/>
  <c r="T60" i="19"/>
  <c r="C61" i="19"/>
  <c r="N59" i="19"/>
  <c r="I59" i="19"/>
  <c r="AB61" i="19" l="1"/>
  <c r="T61" i="19"/>
  <c r="C62" i="19"/>
  <c r="N60" i="19"/>
  <c r="I60" i="19"/>
  <c r="T62" i="19" l="1"/>
  <c r="AB62" i="19"/>
  <c r="C63" i="19"/>
  <c r="N61" i="19"/>
  <c r="I61" i="19"/>
  <c r="AB63" i="19" l="1"/>
  <c r="T63" i="19"/>
  <c r="C64" i="19"/>
  <c r="N62" i="19"/>
  <c r="I62" i="19"/>
  <c r="T64" i="19" l="1"/>
  <c r="AB64" i="19"/>
  <c r="C65" i="19"/>
  <c r="N63" i="19"/>
  <c r="I63" i="19"/>
  <c r="T65" i="19" l="1"/>
  <c r="AB65" i="19"/>
  <c r="C66" i="19"/>
  <c r="N64" i="19"/>
  <c r="I64" i="19"/>
  <c r="AT23" i="19"/>
  <c r="AT22" i="19"/>
  <c r="AT13" i="19"/>
  <c r="AT12" i="19"/>
  <c r="N65" i="19" l="1"/>
  <c r="I65" i="19"/>
  <c r="T66" i="19"/>
  <c r="AB66" i="19"/>
  <c r="C67" i="19"/>
  <c r="AB67" i="19" l="1"/>
  <c r="T67" i="19"/>
  <c r="C68" i="19"/>
  <c r="N66" i="19"/>
  <c r="I66" i="19"/>
  <c r="C69" i="19" l="1"/>
  <c r="T68" i="19"/>
  <c r="AB68" i="19"/>
  <c r="N67" i="19"/>
  <c r="I67" i="19"/>
  <c r="C70" i="19" l="1"/>
  <c r="T69" i="19"/>
  <c r="AB69" i="19"/>
  <c r="N68" i="19"/>
  <c r="I68" i="19"/>
  <c r="N69" i="19" l="1"/>
  <c r="I69" i="19"/>
  <c r="C71" i="19"/>
  <c r="T70" i="19"/>
  <c r="AB70" i="19"/>
  <c r="C72" i="19" l="1"/>
  <c r="T71" i="19"/>
  <c r="AB71" i="19"/>
  <c r="N70" i="19"/>
  <c r="I70" i="19"/>
  <c r="N71" i="19" l="1"/>
  <c r="I71" i="19"/>
  <c r="C73" i="19"/>
  <c r="AB72" i="19"/>
  <c r="T72" i="19"/>
  <c r="AG15" i="19"/>
  <c r="AG27" i="19"/>
  <c r="N72" i="19" l="1"/>
  <c r="I72" i="19"/>
  <c r="T73" i="19"/>
  <c r="AB73" i="19"/>
  <c r="C74" i="19"/>
  <c r="N73" i="19" l="1"/>
  <c r="I73" i="19"/>
  <c r="T74" i="19"/>
  <c r="AB74" i="19"/>
  <c r="C75" i="19"/>
  <c r="N74" i="19" l="1"/>
  <c r="I74" i="19"/>
  <c r="C76" i="19"/>
  <c r="T75" i="19"/>
  <c r="AB75" i="19"/>
  <c r="N75" i="19" l="1"/>
  <c r="I75" i="19"/>
  <c r="T76" i="19"/>
  <c r="AB76" i="19"/>
  <c r="C77" i="19"/>
  <c r="N76" i="19" l="1"/>
  <c r="I76" i="19"/>
  <c r="T77" i="19"/>
  <c r="AB77" i="19"/>
  <c r="C78" i="19"/>
  <c r="N77" i="19" l="1"/>
  <c r="I77" i="19"/>
  <c r="T78" i="19"/>
  <c r="AB78" i="19"/>
  <c r="AG42" i="19"/>
  <c r="AG30" i="19"/>
  <c r="AG18" i="19"/>
  <c r="AG37" i="19" l="1" a="1"/>
  <c r="AG37" i="19" s="1"/>
  <c r="AG40" i="19" s="1"/>
  <c r="AG38" i="19" a="1"/>
  <c r="AG38" i="19" s="1"/>
  <c r="AT28" i="19" s="1"/>
  <c r="N78" i="19"/>
  <c r="I78" i="19"/>
  <c r="AG26" i="19" a="1"/>
  <c r="AG26" i="19" s="1"/>
  <c r="AT18" i="19" s="1"/>
  <c r="AG25" i="19" a="1"/>
  <c r="AG25" i="19" s="1"/>
  <c r="AG28" i="19" s="1"/>
  <c r="U54" i="19" l="1"/>
  <c r="V54" i="19"/>
  <c r="V55" i="19"/>
  <c r="U55" i="19"/>
  <c r="AC54" i="19"/>
  <c r="AD54" i="19"/>
  <c r="AC55" i="19"/>
  <c r="AD55" i="19"/>
  <c r="AD53" i="19"/>
  <c r="AC53" i="19"/>
  <c r="U53" i="19"/>
  <c r="V53" i="19"/>
  <c r="V52" i="19"/>
  <c r="V51" i="19"/>
  <c r="V48" i="19"/>
  <c r="V46" i="19"/>
  <c r="U29" i="19"/>
  <c r="U9" i="19"/>
  <c r="U12" i="19"/>
  <c r="U39" i="19"/>
  <c r="U22" i="19"/>
  <c r="U50" i="19"/>
  <c r="V9" i="19"/>
  <c r="U48" i="19"/>
  <c r="U19" i="19"/>
  <c r="U49" i="19"/>
  <c r="U47" i="19"/>
  <c r="V29" i="19"/>
  <c r="V50" i="19"/>
  <c r="V47" i="19"/>
  <c r="V22" i="19"/>
  <c r="U41" i="19"/>
  <c r="U33" i="19"/>
  <c r="U24" i="19"/>
  <c r="U16" i="19"/>
  <c r="U36" i="19"/>
  <c r="V13" i="19"/>
  <c r="U46" i="19"/>
  <c r="U25" i="19"/>
  <c r="V41" i="19"/>
  <c r="V14" i="19"/>
  <c r="U52" i="19"/>
  <c r="V21" i="19"/>
  <c r="U18" i="19"/>
  <c r="U40" i="19"/>
  <c r="V11" i="19"/>
  <c r="U30" i="19"/>
  <c r="U13" i="19"/>
  <c r="U27" i="19"/>
  <c r="V17" i="19"/>
  <c r="V49" i="19"/>
  <c r="V12" i="19"/>
  <c r="V35" i="19"/>
  <c r="U42" i="19"/>
  <c r="U21" i="19"/>
  <c r="V27" i="19"/>
  <c r="V18" i="19"/>
  <c r="V38" i="19"/>
  <c r="V43" i="19"/>
  <c r="V32" i="19"/>
  <c r="U45" i="19"/>
  <c r="V40" i="19"/>
  <c r="V30" i="19"/>
  <c r="V25" i="19"/>
  <c r="V19" i="19"/>
  <c r="V33" i="19"/>
  <c r="U31" i="19"/>
  <c r="U10" i="19"/>
  <c r="U37" i="19"/>
  <c r="V23" i="19"/>
  <c r="U43" i="19"/>
  <c r="V45" i="19"/>
  <c r="V42" i="19"/>
  <c r="V37" i="19"/>
  <c r="V36" i="19"/>
  <c r="U34" i="19"/>
  <c r="U17" i="19"/>
  <c r="U51" i="19"/>
  <c r="V15" i="19"/>
  <c r="V24" i="19"/>
  <c r="U15" i="19"/>
  <c r="V8" i="19"/>
  <c r="U11" i="19"/>
  <c r="U14" i="19"/>
  <c r="U35" i="19"/>
  <c r="V10" i="19"/>
  <c r="V16" i="19"/>
  <c r="V26" i="19"/>
  <c r="V34" i="19"/>
  <c r="V20" i="19"/>
  <c r="U8" i="19"/>
  <c r="U20" i="19"/>
  <c r="U23" i="19"/>
  <c r="U26" i="19"/>
  <c r="U32" i="19"/>
  <c r="V28" i="19"/>
  <c r="V39" i="19"/>
  <c r="V44" i="19"/>
  <c r="V31" i="19"/>
  <c r="U28" i="19"/>
  <c r="U38" i="19"/>
  <c r="U44" i="19"/>
  <c r="AG13" i="19" a="1"/>
  <c r="AG13" i="19" s="1"/>
  <c r="AG16" i="19" s="1"/>
  <c r="AG14" i="19" a="1"/>
  <c r="AG14" i="19" s="1"/>
  <c r="AT8" i="19" s="1"/>
  <c r="AC50" i="19"/>
  <c r="AD50" i="19"/>
  <c r="AD51" i="19"/>
  <c r="AC51" i="19"/>
  <c r="AC52" i="19"/>
  <c r="AD52" i="19"/>
  <c r="AC46" i="19"/>
  <c r="AC24" i="19"/>
  <c r="AD43" i="19"/>
  <c r="AC26" i="19"/>
  <c r="AD36" i="19"/>
  <c r="AC29" i="19"/>
  <c r="AC43" i="19"/>
  <c r="AD33" i="19"/>
  <c r="AC44" i="19"/>
  <c r="AD17" i="19"/>
  <c r="AC45" i="19"/>
  <c r="AC36" i="19"/>
  <c r="AD9" i="19"/>
  <c r="AD23" i="19"/>
  <c r="AD48" i="19"/>
  <c r="AC41" i="19"/>
  <c r="AD28" i="19"/>
  <c r="AD18" i="19"/>
  <c r="AC15" i="19"/>
  <c r="AD26" i="19"/>
  <c r="AC9" i="19"/>
  <c r="AD24" i="19"/>
  <c r="AC19" i="19"/>
  <c r="AC21" i="19"/>
  <c r="AC48" i="19"/>
  <c r="AD21" i="19"/>
  <c r="AD35" i="19"/>
  <c r="AC16" i="19"/>
  <c r="AD14" i="19"/>
  <c r="AC20" i="19"/>
  <c r="AD22" i="19"/>
  <c r="AC28" i="19"/>
  <c r="AC18" i="19"/>
  <c r="AC12" i="19"/>
  <c r="AD19" i="19"/>
  <c r="AC14" i="19"/>
  <c r="AD45" i="19"/>
  <c r="AC39" i="19"/>
  <c r="AD8" i="19"/>
  <c r="AD38" i="19"/>
  <c r="AD29" i="19"/>
  <c r="AC33" i="19"/>
  <c r="AD31" i="19"/>
  <c r="AC38" i="19"/>
  <c r="AC13" i="19"/>
  <c r="AC8" i="19"/>
  <c r="AC11" i="19"/>
  <c r="AD11" i="19"/>
  <c r="AC25" i="19"/>
  <c r="AD40" i="19"/>
  <c r="AC10" i="19"/>
  <c r="AC30" i="19"/>
  <c r="AC22" i="19"/>
  <c r="AC35" i="19"/>
  <c r="AC42" i="19"/>
  <c r="AC47" i="19"/>
  <c r="AD47" i="19"/>
  <c r="AC37" i="19"/>
  <c r="AD13" i="19"/>
  <c r="AC23" i="19"/>
  <c r="AC17" i="19"/>
  <c r="AC31" i="19"/>
  <c r="AD20" i="19"/>
  <c r="AC27" i="19"/>
  <c r="AC49" i="19"/>
  <c r="AC34" i="19"/>
  <c r="AD25" i="19"/>
  <c r="AD15" i="19"/>
  <c r="AD16" i="19"/>
  <c r="AD32" i="19"/>
  <c r="AC40" i="19"/>
  <c r="AD10" i="19"/>
  <c r="AD30" i="19"/>
  <c r="AD37" i="19"/>
  <c r="AD27" i="19"/>
  <c r="AD39" i="19"/>
  <c r="AD42" i="19"/>
  <c r="AD41" i="19"/>
  <c r="AD44" i="19"/>
  <c r="AC32" i="19"/>
  <c r="AD34" i="19"/>
  <c r="AD12" i="19"/>
  <c r="AD49" i="19"/>
  <c r="AD46" i="19"/>
  <c r="J55" i="19" l="1"/>
  <c r="K55" i="19"/>
  <c r="K54" i="19"/>
  <c r="J54" i="19"/>
  <c r="J53" i="19"/>
  <c r="K53" i="19"/>
  <c r="J52" i="19"/>
  <c r="J11" i="19"/>
  <c r="J35" i="19"/>
  <c r="K30" i="19"/>
  <c r="K32" i="19"/>
  <c r="J12" i="19"/>
  <c r="K38" i="19"/>
  <c r="J8" i="19"/>
  <c r="J21" i="19"/>
  <c r="K36" i="19"/>
  <c r="K29" i="19"/>
  <c r="J29" i="19"/>
  <c r="K37" i="19"/>
  <c r="J16" i="19"/>
  <c r="J24" i="19"/>
  <c r="K23" i="19"/>
  <c r="J39" i="19"/>
  <c r="J34" i="19"/>
  <c r="J23" i="19"/>
  <c r="K52" i="19"/>
  <c r="J47" i="19"/>
  <c r="K12" i="19"/>
  <c r="K43" i="19"/>
  <c r="K50" i="19"/>
  <c r="J33" i="19"/>
  <c r="J20" i="19"/>
  <c r="J26" i="19"/>
  <c r="K24" i="19"/>
  <c r="K22" i="19"/>
  <c r="K46" i="19"/>
  <c r="J27" i="19"/>
  <c r="K31" i="19"/>
  <c r="J38" i="19"/>
  <c r="K14" i="19"/>
  <c r="K47" i="19"/>
  <c r="K13" i="19"/>
  <c r="J31" i="19"/>
  <c r="K10" i="19"/>
  <c r="J48" i="19"/>
  <c r="K41" i="19"/>
  <c r="K26" i="19"/>
  <c r="K25" i="19"/>
  <c r="J19" i="19"/>
  <c r="J18" i="19"/>
  <c r="K45" i="19"/>
  <c r="J10" i="19"/>
  <c r="J17" i="19"/>
  <c r="K39" i="19"/>
  <c r="J46" i="19"/>
  <c r="K49" i="19"/>
  <c r="J30" i="19"/>
  <c r="K40" i="19"/>
  <c r="J28" i="19"/>
  <c r="J40" i="19"/>
  <c r="J42" i="19"/>
  <c r="J22" i="19"/>
  <c r="K8" i="19"/>
  <c r="K9" i="19"/>
  <c r="K34" i="19"/>
  <c r="K48" i="19"/>
  <c r="K16" i="19"/>
  <c r="J14" i="19"/>
  <c r="J50" i="19"/>
  <c r="J32" i="19"/>
  <c r="K20" i="19"/>
  <c r="K27" i="19"/>
  <c r="J49" i="19"/>
  <c r="K21" i="19"/>
  <c r="J9" i="19"/>
  <c r="K15" i="19"/>
  <c r="J41" i="19"/>
  <c r="K42" i="19"/>
  <c r="K33" i="19"/>
  <c r="K11" i="19"/>
  <c r="J45" i="19"/>
  <c r="K44" i="19"/>
  <c r="J13" i="19"/>
  <c r="J43" i="19"/>
  <c r="J15" i="19"/>
  <c r="K19" i="19"/>
  <c r="J25" i="19"/>
  <c r="K35" i="19"/>
  <c r="K18" i="19"/>
  <c r="K17" i="19"/>
  <c r="K28" i="19"/>
  <c r="J44" i="19"/>
  <c r="J36" i="19"/>
  <c r="J37" i="19"/>
  <c r="J51" i="19"/>
  <c r="K51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tc={5FD8839A-74E9-44C2-B5F2-F977D0EA3D98}</author>
    <author>tc={95B83D2D-5EDB-4C8F-91A8-36D622D74B5B}</author>
    <author>tc={FB6547ED-429A-49D7-8367-DE2107BFB931}</author>
    <author>tc={18DCC697-BA7F-479A-8641-1D7FCDC0672D}</author>
    <author>tc={5FB23112-C2D9-44D1-9DAD-0448A5341B10}</author>
    <author>tc={90A59D2F-F1E2-4415-85BD-E03CA55CB6FA}</author>
    <author>tc={0E1A0D26-B3B0-42D1-A5BA-750B79DBB49F}</author>
  </authors>
  <commentList>
    <comment ref="B8" authorId="0" shapeId="0" xr:uid="{5FD8839A-74E9-44C2-B5F2-F977D0EA3D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1" shapeId="0" xr:uid="{95B83D2D-5EDB-4C8F-91A8-36D622D74B5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2" shapeId="0" xr:uid="{FB6547ED-429A-49D7-8367-DE2107BFB93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3" shapeId="0" xr:uid="{18DCC697-BA7F-479A-8641-1D7FCDC0672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(north)</t>
      </text>
    </comment>
    <comment ref="B23" authorId="4" shapeId="0" xr:uid="{5FB23112-C2D9-44D1-9DAD-0448A5341B1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5" shapeId="0" xr:uid="{90A59D2F-F1E2-4415-85BD-E03CA55CB6F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6" shapeId="0" xr:uid="{0E1A0D26-B3B0-42D1-A5BA-750B79DBB49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tc={92ED0BA3-CD99-4B8E-BFDD-0EEF8E782638}</author>
    <author>tc={4409B014-A5A7-4F76-9492-F48BE71B769B}</author>
    <author>tc={81FAFA63-54C6-45CC-9070-46D07C730098}</author>
    <author>tc={4BF89DC0-3592-4FA2-8435-6F54BA02BC15}</author>
    <author>tc={98C3BF07-CEF3-412D-B8D1-2942AE2470B6}</author>
    <author>tc={21624EEB-6D22-429B-8E98-279137BB6058}</author>
    <author>tc={0E29A1A8-955C-48A8-BB66-F9B1A9E97908}</author>
    <author>tc={08774897-7F0B-4B4B-AF46-93FF194A769D}</author>
    <author>tc={85C09E34-A5EC-4346-8195-06EE393D72DF}</author>
    <author>tc={B76B2E5A-CC8C-4D5D-883C-4881C14D6A49}</author>
    <author>tc={422813AA-7B17-475A-BC56-7328C0D1FD19}</author>
    <author>tc={DF686F86-B428-4733-B393-4D0F0A4D84F3}</author>
    <author>tc={23B8A78F-4853-446A-8154-8529F1B769CC}</author>
    <author>tc={52BC14E3-58A2-47FD-AA97-3E562BB3003C}</author>
  </authors>
  <commentList>
    <comment ref="B8" authorId="0" shapeId="0" xr:uid="{92ED0BA3-CD99-4B8E-BFDD-0EEF8E78263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1" shapeId="0" xr:uid="{4409B014-A5A7-4F76-9492-F48BE71B769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2" shapeId="0" xr:uid="{81FAFA63-54C6-45CC-9070-46D07C7300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3" shapeId="0" xr:uid="{4BF89DC0-3592-4FA2-8435-6F54BA02BC1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(north)</t>
      </text>
    </comment>
    <comment ref="B23" authorId="4" shapeId="0" xr:uid="{98C3BF07-CEF3-412D-B8D1-2942AE2470B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5" shapeId="0" xr:uid="{21624EEB-6D22-429B-8E98-279137BB605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6" shapeId="0" xr:uid="{0E29A1A8-955C-48A8-BB66-F9B1A9E9790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  <comment ref="B103" authorId="7" shapeId="0" xr:uid="{08774897-7F0B-4B4B-AF46-93FF194A769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09" authorId="8" shapeId="0" xr:uid="{85C09E34-A5EC-4346-8195-06EE393D72D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13" authorId="9" shapeId="0" xr:uid="{B76B2E5A-CC8C-4D5D-883C-4881C14D6A4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116" authorId="10" shapeId="0" xr:uid="{422813AA-7B17-475A-BC56-7328C0D1FD1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118" authorId="11" shapeId="0" xr:uid="{DF686F86-B428-4733-B393-4D0F0A4D84F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120" authorId="12" shapeId="0" xr:uid="{23B8A78F-4853-446A-8154-8529F1B769C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131" authorId="13" shapeId="0" xr:uid="{52BC14E3-58A2-47FD-AA97-3E562BB3003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817D752-AE5E-4436-BE45-4BF93E72AC28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308F29F2-CB57-4591-A919-F3C0D66F6FC5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DDE20D76-1372-414F-B394-222B3F5DAC9C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FEE30F67-BB06-4262-8312-A07884C3129D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0FAE79B7-1CD3-4609-AF8E-8BF7D5A95FFC}" keepAlive="1" name="Query - dpc-covid19-ita-andamento-nazionale (9)" description="Connessione alla query 'dpc-covid19-ita-andamento-nazionale (9)' nella cartella di lavoro." type="5" refreshedVersion="6" background="1" saveData="1">
    <dbPr connection="Provider=Microsoft.Mashup.OleDb.1;Data Source=$Workbook$;Location=&quot;dpc-covid19-ita-andamento-nazionale (9)&quot;;Extended Properties=&quot;&quot;" command="SELECT * FROM [dpc-covid19-ita-andamento-nazionale (9)]"/>
  </connection>
  <connection id="10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1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2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<sst xmlns="http://schemas.openxmlformats.org/spreadsheetml/2006/main" count="354" uniqueCount="111">
  <si>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</si>
  <si>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</si>
  <si>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</si>
  <si>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</si>
  <si>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</si>
  <si>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</si>
  <si>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</si>
  <si>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</si>
  <si>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Date</t>
  </si>
  <si>
    <t>Day</t>
  </si>
  <si>
    <t>Confirmed cases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</si>
  <si>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</si>
  <si>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</si>
  <si>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</si>
  <si>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</si>
  <si>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</si>
  <si>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</si>
  <si>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</si>
  <si>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</si>
  <si>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</si>
  <si>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</si>
  <si>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</si>
  <si>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</si>
  <si>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</si>
  <si>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</si>
  <si>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Cum_confirmed</t>
  </si>
  <si>
    <t>New cases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</si>
  <si>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</si>
  <si>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</si>
  <si>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</si>
  <si>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</si>
  <si>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</si>
  <si>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</si>
  <si>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</si>
  <si>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</si>
  <si>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</si>
  <si>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</si>
  <si>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</si>
  <si>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</si>
  <si>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</si>
  <si>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</si>
  <si>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</si>
  <si>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pd-IT-0007</t>
  </si>
  <si>
    <t>pd-EN-0007</t>
  </si>
  <si>
    <t>C. Upper CI</t>
  </si>
  <si>
    <t>C. Lower CI</t>
  </si>
  <si>
    <t>Confirmed</t>
  </si>
  <si>
    <t>pd-IT-0009</t>
  </si>
  <si>
    <t>pd-EN-0009</t>
  </si>
  <si>
    <t>Modeling function: Power law with exponential cut-off</t>
  </si>
  <si>
    <t>totale_positivi</t>
  </si>
  <si>
    <t>variazione_totale_positivi</t>
  </si>
  <si>
    <t>nuovi_positivi</t>
  </si>
  <si>
    <t>Deaths</t>
  </si>
  <si>
    <t>Confirmed fit</t>
  </si>
  <si>
    <t>Deaths fit</t>
  </si>
  <si>
    <t>D. Upper CI</t>
  </si>
  <si>
    <t>D. Lower CI</t>
  </si>
  <si>
    <t>Solver method: GRG non linear engine - option: default</t>
  </si>
  <si>
    <t>Cum_fit</t>
  </si>
  <si>
    <t>C_Upper CI</t>
  </si>
  <si>
    <t>C_Lower CI</t>
  </si>
  <si>
    <t>Cum_deaths</t>
  </si>
  <si>
    <t>New deaths</t>
  </si>
  <si>
    <t>Cum_D_fit</t>
  </si>
  <si>
    <t>ND_Upper CI</t>
  </si>
  <si>
    <t>ND_Lower CI</t>
  </si>
  <si>
    <t>K</t>
  </si>
  <si>
    <t>saturation value</t>
  </si>
  <si>
    <t>Peak value</t>
  </si>
  <si>
    <t>t-Peak</t>
  </si>
  <si>
    <t>fitting parameter - constraint (none)</t>
  </si>
  <si>
    <t>SOLVER models</t>
  </si>
  <si>
    <t>Cum_recov</t>
  </si>
  <si>
    <t>Cum_R_fit</t>
  </si>
  <si>
    <t>NR_Upper CI</t>
  </si>
  <si>
    <t>NR_Lower CI</t>
  </si>
  <si>
    <t>Curr_positive</t>
  </si>
  <si>
    <t>New_positive</t>
  </si>
  <si>
    <t>Colonna1</t>
  </si>
  <si>
    <t>Colonna2</t>
  </si>
  <si>
    <t>Recovered</t>
  </si>
  <si>
    <t>Colonna3</t>
  </si>
  <si>
    <t>Colonna4</t>
  </si>
  <si>
    <t>Colonna5</t>
  </si>
  <si>
    <t>Colonna6</t>
  </si>
  <si>
    <r>
      <t>t</t>
    </r>
    <r>
      <rPr>
        <i/>
        <vertAlign val="subscript"/>
        <sz val="11"/>
        <color rgb="FFFF0000"/>
        <rFont val="Calibri"/>
        <family val="2"/>
        <scheme val="minor"/>
      </rPr>
      <t>0</t>
    </r>
    <r>
      <rPr>
        <i/>
        <sz val="11"/>
        <color rgb="FFFF0000"/>
        <rFont val="Calibri"/>
        <family val="2"/>
        <scheme val="minor"/>
      </rPr>
      <t>=</t>
    </r>
  </si>
  <si>
    <r>
      <t>R</t>
    </r>
    <r>
      <rPr>
        <vertAlign val="superscript"/>
        <sz val="11"/>
        <color rgb="FFFF0000"/>
        <rFont val="Calibri"/>
        <family val="2"/>
        <scheme val="minor"/>
      </rPr>
      <t>2</t>
    </r>
  </si>
  <si>
    <t>New_cases_fit</t>
  </si>
  <si>
    <t>New_positive_fit</t>
  </si>
  <si>
    <t>New_Recovered_fit</t>
  </si>
  <si>
    <t>New_Deaths_fit</t>
  </si>
  <si>
    <t>New recovered</t>
  </si>
  <si>
    <t>t0=</t>
  </si>
  <si>
    <t>New cases fit</t>
  </si>
  <si>
    <t>New recovered fit</t>
  </si>
  <si>
    <t>New deaths fit</t>
  </si>
  <si>
    <t>Recovered fit</t>
  </si>
  <si>
    <t>DO NOT EXECUTE</t>
  </si>
  <si>
    <t>Saturation val.</t>
  </si>
  <si>
    <r>
      <t>t</t>
    </r>
    <r>
      <rPr>
        <i/>
        <strike/>
        <vertAlign val="subscript"/>
        <sz val="11"/>
        <color rgb="FF00B050"/>
        <rFont val="Calibri"/>
        <family val="2"/>
        <scheme val="minor"/>
      </rPr>
      <t>0</t>
    </r>
    <r>
      <rPr>
        <i/>
        <strike/>
        <sz val="11"/>
        <color rgb="FF00B050"/>
        <rFont val="Calibri"/>
        <family val="2"/>
        <scheme val="minor"/>
      </rPr>
      <t>=</t>
    </r>
  </si>
  <si>
    <r>
      <t>R</t>
    </r>
    <r>
      <rPr>
        <strike/>
        <vertAlign val="superscript"/>
        <sz val="11"/>
        <color rgb="FF00B050"/>
        <rFont val="Calibri"/>
        <family val="2"/>
        <scheme val="minor"/>
      </rPr>
      <t>2</t>
    </r>
  </si>
  <si>
    <t>R_Upper CI</t>
  </si>
  <si>
    <t>R_Lower CI</t>
  </si>
  <si>
    <t>D_Upper CI</t>
  </si>
  <si>
    <t>D_Lower CI</t>
  </si>
  <si>
    <r>
      <t>t</t>
    </r>
    <r>
      <rPr>
        <i/>
        <strike/>
        <vertAlign val="subscript"/>
        <sz val="11"/>
        <color theme="8"/>
        <rFont val="Calibri"/>
        <family val="2"/>
        <scheme val="minor"/>
      </rPr>
      <t>0</t>
    </r>
    <r>
      <rPr>
        <i/>
        <strike/>
        <sz val="11"/>
        <color theme="8"/>
        <rFont val="Calibri"/>
        <family val="2"/>
        <scheme val="minor"/>
      </rPr>
      <t>=</t>
    </r>
  </si>
  <si>
    <r>
      <t>R</t>
    </r>
    <r>
      <rPr>
        <strike/>
        <vertAlign val="superscript"/>
        <sz val="11"/>
        <color theme="8"/>
        <rFont val="Calibri"/>
        <family val="2"/>
        <scheme val="minor"/>
      </rPr>
      <t>2</t>
    </r>
  </si>
  <si>
    <t>k=</t>
  </si>
  <si>
    <t>pd-IT-0011</t>
  </si>
  <si>
    <t>pd-EN-0011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</si>
</sst>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-409]mmmm\ d\,\ yyyy;@"/>
  </numFmts>
  <fonts count="4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vertAlign val="subscript"/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i/>
      <strike/>
      <sz val="11"/>
      <color rgb="FF00B050"/>
      <name val="Calibri"/>
      <family val="2"/>
      <scheme val="minor"/>
    </font>
    <font>
      <strike/>
      <sz val="11"/>
      <color rgb="FF00B050"/>
      <name val="Calibri"/>
      <family val="2"/>
      <scheme val="minor"/>
    </font>
    <font>
      <i/>
      <strike/>
      <vertAlign val="subscript"/>
      <sz val="11"/>
      <color rgb="FF00B050"/>
      <name val="Calibri"/>
      <family val="2"/>
      <scheme val="minor"/>
    </font>
    <font>
      <strike/>
      <vertAlign val="superscript"/>
      <sz val="11"/>
      <color rgb="FF00B050"/>
      <name val="Calibri"/>
      <family val="2"/>
      <scheme val="minor"/>
    </font>
    <font>
      <b/>
      <strike/>
      <sz val="11"/>
      <color rgb="FF00B050"/>
      <name val="Calibri"/>
      <family val="2"/>
      <scheme val="minor"/>
    </font>
    <font>
      <i/>
      <strike/>
      <sz val="11"/>
      <color theme="8"/>
      <name val="Calibri"/>
      <family val="2"/>
      <scheme val="minor"/>
    </font>
    <font>
      <strike/>
      <sz val="11"/>
      <color theme="8"/>
      <name val="Calibri"/>
      <family val="2"/>
      <scheme val="minor"/>
    </font>
    <font>
      <i/>
      <strike/>
      <vertAlign val="subscript"/>
      <sz val="11"/>
      <color theme="8"/>
      <name val="Calibri"/>
      <family val="2"/>
      <scheme val="minor"/>
    </font>
    <font>
      <strike/>
      <vertAlign val="superscript"/>
      <sz val="11"/>
      <color theme="8"/>
      <name val="Calibri"/>
      <family val="2"/>
      <scheme val="minor"/>
    </font>
    <font>
      <b/>
      <strike/>
      <sz val="11"/>
      <color rgb="FF0070C0"/>
      <name val="Calibri"/>
      <family val="2"/>
      <scheme val="minor"/>
    </font>
    <font>
      <strike/>
      <sz val="11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gray0625"/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5" fillId="3" borderId="1" applyNumberFormat="0" applyFont="0" applyAlignment="0" applyProtection="0"/>
    <xf numFmtId="0" fontId="14" fillId="4" borderId="0" applyNumberFormat="0" applyBorder="0" applyAlignment="0" applyProtection="0"/>
    <xf numFmtId="0" fontId="5" fillId="5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117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/>
    <xf numFmtId="0" fontId="11" fillId="0" borderId="0" xfId="0" applyFont="1" applyAlignment="1">
      <alignment horizontal="center" wrapText="1"/>
    </xf>
    <xf numFmtId="2" fontId="0" fillId="2" borderId="0" xfId="0" applyNumberFormat="1" applyFill="1"/>
    <xf numFmtId="1" fontId="12" fillId="0" borderId="0" xfId="0" applyNumberFormat="1" applyFont="1" applyAlignment="1">
      <alignment horizontal="center"/>
    </xf>
    <xf numFmtId="0" fontId="0" fillId="0" borderId="0" xfId="0" applyFont="1" applyAlignment="1">
      <alignment horizontal="left" vertical="center"/>
    </xf>
    <xf numFmtId="0" fontId="12" fillId="0" borderId="0" xfId="0" applyFont="1" applyFill="1"/>
    <xf numFmtId="1" fontId="12" fillId="0" borderId="0" xfId="0" applyNumberFormat="1" applyFont="1"/>
    <xf numFmtId="0" fontId="1" fillId="0" borderId="0" xfId="0" applyFont="1" applyFill="1"/>
    <xf numFmtId="1" fontId="1" fillId="0" borderId="0" xfId="0" applyNumberFormat="1" applyFont="1"/>
    <xf numFmtId="0" fontId="13" fillId="2" borderId="0" xfId="0" applyFont="1" applyFill="1"/>
    <xf numFmtId="0" fontId="0" fillId="2" borderId="0" xfId="0" applyFill="1"/>
    <xf numFmtId="0" fontId="0" fillId="0" borderId="2" xfId="0" applyBorder="1" applyAlignment="1">
      <alignment wrapText="1"/>
    </xf>
    <xf numFmtId="164" fontId="12" fillId="0" borderId="3" xfId="0" applyNumberFormat="1" applyFont="1" applyBorder="1"/>
    <xf numFmtId="0" fontId="12" fillId="0" borderId="3" xfId="0" applyFont="1" applyBorder="1"/>
    <xf numFmtId="0" fontId="12" fillId="0" borderId="4" xfId="0" applyFont="1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164" fontId="1" fillId="0" borderId="3" xfId="0" applyNumberFormat="1" applyFont="1" applyBorder="1"/>
    <xf numFmtId="0" fontId="1" fillId="0" borderId="3" xfId="0" applyFont="1" applyBorder="1"/>
    <xf numFmtId="0" fontId="1" fillId="0" borderId="7" xfId="0" applyFont="1" applyBorder="1"/>
    <xf numFmtId="1" fontId="15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" fontId="0" fillId="0" borderId="0" xfId="0" applyNumberFormat="1" applyAlignment="1">
      <alignment horizontal="center" wrapText="1"/>
    </xf>
    <xf numFmtId="0" fontId="17" fillId="0" borderId="0" xfId="0" applyFont="1" applyAlignment="1">
      <alignment horizontal="center"/>
    </xf>
    <xf numFmtId="1" fontId="14" fillId="4" borderId="0" xfId="2" applyNumberFormat="1" applyAlignment="1">
      <alignment horizontal="center"/>
    </xf>
    <xf numFmtId="0" fontId="18" fillId="0" borderId="0" xfId="0" applyFont="1" applyAlignment="1">
      <alignment horizontal="center"/>
    </xf>
    <xf numFmtId="1" fontId="19" fillId="0" borderId="0" xfId="0" applyNumberFormat="1" applyFont="1" applyAlignment="1">
      <alignment horizontal="center"/>
    </xf>
    <xf numFmtId="0" fontId="19" fillId="0" borderId="0" xfId="0" applyFont="1"/>
    <xf numFmtId="1" fontId="5" fillId="5" borderId="0" xfId="3" applyNumberFormat="1" applyAlignment="1">
      <alignment horizontal="center"/>
    </xf>
    <xf numFmtId="0" fontId="13" fillId="5" borderId="0" xfId="3" applyFont="1" applyAlignment="1">
      <alignment horizontal="center"/>
    </xf>
    <xf numFmtId="0" fontId="13" fillId="5" borderId="0" xfId="3" applyFont="1" applyAlignment="1">
      <alignment horizontal="center" wrapText="1"/>
    </xf>
    <xf numFmtId="0" fontId="24" fillId="0" borderId="0" xfId="0" applyFont="1" applyAlignment="1">
      <alignment horizontal="center" wrapText="1"/>
    </xf>
    <xf numFmtId="1" fontId="5" fillId="7" borderId="0" xfId="9" applyNumberFormat="1" applyAlignment="1">
      <alignment horizontal="center"/>
    </xf>
    <xf numFmtId="0" fontId="13" fillId="7" borderId="0" xfId="9" applyFont="1" applyAlignment="1">
      <alignment horizontal="center"/>
    </xf>
    <xf numFmtId="0" fontId="13" fillId="7" borderId="0" xfId="9" applyFont="1" applyAlignment="1">
      <alignment horizontal="center" wrapText="1"/>
    </xf>
    <xf numFmtId="1" fontId="1" fillId="4" borderId="0" xfId="2" applyNumberFormat="1" applyFont="1" applyAlignment="1">
      <alignment horizontal="center"/>
    </xf>
    <xf numFmtId="0" fontId="5" fillId="6" borderId="0" xfId="8" applyAlignment="1">
      <alignment horizontal="center" wrapText="1"/>
    </xf>
    <xf numFmtId="1" fontId="5" fillId="6" borderId="0" xfId="8" applyNumberForma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6" fillId="0" borderId="0" xfId="0" applyFont="1" applyFill="1"/>
    <xf numFmtId="0" fontId="1" fillId="0" borderId="0" xfId="0" applyFont="1" applyAlignment="1">
      <alignment wrapText="1"/>
    </xf>
    <xf numFmtId="0" fontId="27" fillId="2" borderId="0" xfId="0" applyFont="1" applyFill="1"/>
    <xf numFmtId="2" fontId="1" fillId="2" borderId="0" xfId="0" applyNumberFormat="1" applyFont="1" applyFill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64" fontId="15" fillId="0" borderId="3" xfId="0" applyNumberFormat="1" applyFont="1" applyBorder="1"/>
    <xf numFmtId="0" fontId="15" fillId="0" borderId="3" xfId="0" applyFont="1" applyBorder="1"/>
    <xf numFmtId="0" fontId="15" fillId="0" borderId="7" xfId="0" applyFont="1" applyBorder="1"/>
    <xf numFmtId="0" fontId="23" fillId="0" borderId="10" xfId="7" applyAlignment="1">
      <alignment horizontal="left" vertical="center"/>
    </xf>
    <xf numFmtId="0" fontId="23" fillId="0" borderId="10" xfId="7" applyAlignment="1">
      <alignment horizontal="left" vertical="center"/>
    </xf>
    <xf numFmtId="0" fontId="15" fillId="0" borderId="0" xfId="0" applyFont="1" applyAlignment="1">
      <alignment wrapText="1"/>
    </xf>
    <xf numFmtId="165" fontId="10" fillId="0" borderId="0" xfId="0" applyNumberFormat="1" applyFont="1"/>
    <xf numFmtId="165" fontId="11" fillId="0" borderId="0" xfId="0" applyNumberFormat="1" applyFont="1"/>
    <xf numFmtId="0" fontId="30" fillId="2" borderId="0" xfId="0" applyFont="1" applyFill="1"/>
    <xf numFmtId="2" fontId="31" fillId="2" borderId="0" xfId="0" applyNumberFormat="1" applyFont="1" applyFill="1"/>
    <xf numFmtId="0" fontId="31" fillId="0" borderId="0" xfId="0" applyFont="1"/>
    <xf numFmtId="1" fontId="31" fillId="0" borderId="0" xfId="0" applyNumberFormat="1" applyFont="1"/>
    <xf numFmtId="2" fontId="31" fillId="0" borderId="0" xfId="0" applyNumberFormat="1" applyFont="1"/>
    <xf numFmtId="164" fontId="31" fillId="0" borderId="0" xfId="0" applyNumberFormat="1" applyFont="1"/>
    <xf numFmtId="0" fontId="31" fillId="0" borderId="0" xfId="0" applyFont="1" applyFill="1"/>
    <xf numFmtId="165" fontId="34" fillId="0" borderId="0" xfId="0" applyNumberFormat="1" applyFont="1"/>
    <xf numFmtId="0" fontId="35" fillId="2" borderId="0" xfId="0" applyFont="1" applyFill="1"/>
    <xf numFmtId="2" fontId="36" fillId="2" borderId="0" xfId="0" applyNumberFormat="1" applyFont="1" applyFill="1"/>
    <xf numFmtId="0" fontId="36" fillId="0" borderId="0" xfId="0" applyFont="1" applyFill="1"/>
    <xf numFmtId="1" fontId="36" fillId="0" borderId="0" xfId="0" applyNumberFormat="1" applyFont="1"/>
    <xf numFmtId="2" fontId="36" fillId="0" borderId="0" xfId="0" applyNumberFormat="1" applyFont="1"/>
    <xf numFmtId="164" fontId="36" fillId="0" borderId="0" xfId="0" applyNumberFormat="1" applyFont="1"/>
    <xf numFmtId="165" fontId="39" fillId="0" borderId="0" xfId="0" applyNumberFormat="1" applyFont="1"/>
    <xf numFmtId="1" fontId="40" fillId="0" borderId="0" xfId="0" applyNumberFormat="1" applyFont="1"/>
    <xf numFmtId="0" fontId="0" fillId="8" borderId="2" xfId="0" applyFill="1" applyBorder="1" applyAlignment="1">
      <alignment wrapText="1"/>
    </xf>
    <xf numFmtId="164" fontId="12" fillId="8" borderId="3" xfId="0" applyNumberFormat="1" applyFont="1" applyFill="1" applyBorder="1"/>
    <xf numFmtId="0" fontId="12" fillId="8" borderId="3" xfId="0" applyFont="1" applyFill="1" applyBorder="1"/>
    <xf numFmtId="0" fontId="12" fillId="8" borderId="4" xfId="0" applyFont="1" applyFill="1" applyBorder="1"/>
    <xf numFmtId="164" fontId="15" fillId="8" borderId="3" xfId="0" applyNumberFormat="1" applyFont="1" applyFill="1" applyBorder="1"/>
    <xf numFmtId="0" fontId="15" fillId="8" borderId="3" xfId="0" applyFont="1" applyFill="1" applyBorder="1"/>
    <xf numFmtId="0" fontId="15" fillId="8" borderId="7" xfId="0" applyFont="1" applyFill="1" applyBorder="1"/>
    <xf numFmtId="164" fontId="1" fillId="8" borderId="3" xfId="0" applyNumberFormat="1" applyFont="1" applyFill="1" applyBorder="1"/>
    <xf numFmtId="0" fontId="1" fillId="8" borderId="3" xfId="0" applyFont="1" applyFill="1" applyBorder="1"/>
    <xf numFmtId="0" fontId="1" fillId="8" borderId="7" xfId="0" applyFont="1" applyFill="1" applyBorder="1"/>
    <xf numFmtId="0" fontId="23" fillId="0" borderId="10" xfId="7" applyAlignment="1">
      <alignment horizontal="left" vertical="center"/>
    </xf>
    <xf numFmtId="0" fontId="20" fillId="0" borderId="0" xfId="4"/>
    <xf numFmtId="0" fontId="21" fillId="0" borderId="8" xfId="5"/>
    <xf numFmtId="0" fontId="22" fillId="0" borderId="9" xfId="6"/>
    <xf numFmtId="0" fontId="5" fillId="5" borderId="0" xfId="3" applyBorder="1"/>
    <xf numFmtId="0" fontId="0" fillId="8" borderId="5" xfId="0" applyFill="1" applyBorder="1" applyAlignment="1">
      <alignment horizontal="center" vertical="center" textRotation="180" wrapText="1"/>
    </xf>
    <xf numFmtId="0" fontId="0" fillId="8" borderId="3" xfId="0" applyFill="1" applyBorder="1" applyAlignment="1">
      <alignment horizontal="center" vertical="center" textRotation="180" wrapText="1"/>
    </xf>
    <xf numFmtId="0" fontId="0" fillId="8" borderId="6" xfId="0" applyFill="1" applyBorder="1" applyAlignment="1">
      <alignment horizontal="center" vertical="center" textRotation="180" wrapText="1"/>
    </xf>
  </cellXfs>
  <cellStyles count="10">
    <cellStyle name="20% - Colore 1" xfId="3" builtinId="30"/>
    <cellStyle name="20% - Colore 2" xfId="8" builtinId="34"/>
    <cellStyle name="20% - Colore 6" xfId="9" builtinId="50"/>
    <cellStyle name="Neutrale" xfId="2" builtinId="28"/>
    <cellStyle name="Normale" xfId="0" builtinId="0"/>
    <cellStyle name="Nota" xfId="1" builtinId="10"/>
    <cellStyle name="Titolo" xfId="4" builtinId="15"/>
    <cellStyle name="Titolo 1" xfId="5" builtinId="16"/>
    <cellStyle name="Titolo 2" xfId="6" builtinId="17"/>
    <cellStyle name="Titolo 3" xfId="7" builtinId="18"/>
  </cellStyles>
  <dxfs count="66"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/>
        <outline val="0"/>
        <shadow val="0"/>
        <u val="none"/>
        <sz val="11"/>
        <color theme="8"/>
        <name val="Calibri"/>
        <family val="2"/>
        <scheme val="minor"/>
      </font>
    </dxf>
    <dxf>
      <font>
        <strike/>
        <outline val="0"/>
        <shadow val="0"/>
        <u val="none"/>
        <sz val="11"/>
        <color theme="8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/>
        <outline val="0"/>
        <shadow val="0"/>
        <u val="none"/>
        <sz val="11"/>
        <color theme="8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5" Type="http://schemas.openxmlformats.org/officeDocument/2006/relationships/connections" Target="connection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Daily New Cases, Recovered and Deaths - Power law w/ Exp. cut-off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'New_confirmed - ExpPwLaw'!$H$7</c:f>
              <c:strCache>
                <c:ptCount val="1"/>
                <c:pt idx="0">
                  <c:v>New_cases_fit</c:v>
                </c:pt>
              </c:strCache>
            </c:strRef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ExpPwLaw'!$H$8:$H$78</c:f>
              <c:numCache>
                <c:formatCode>0</c:formatCode>
                <c:ptCount val="71"/>
                <c:pt idx="0">
                  <c:v>0</c:v>
                </c:pt>
                <c:pt idx="1">
                  <c:v>2.9635064625462445E-2</c:v>
                </c:pt>
                <c:pt idx="2">
                  <c:v>0.76734051582345641</c:v>
                </c:pt>
                <c:pt idx="3">
                  <c:v>4.8181537489856829</c:v>
                </c:pt>
                <c:pt idx="4">
                  <c:v>16.937945949303295</c:v>
                </c:pt>
                <c:pt idx="5">
                  <c:v>43.331816378348321</c:v>
                </c:pt>
                <c:pt idx="6">
                  <c:v>90.66582741108725</c:v>
                </c:pt>
                <c:pt idx="7">
                  <c:v>165.13112969378341</c:v>
                </c:pt>
                <c:pt idx="8">
                  <c:v>271.71529104105747</c:v>
                </c:pt>
                <c:pt idx="9">
                  <c:v>413.72987098532269</c:v>
                </c:pt>
                <c:pt idx="10">
                  <c:v>592.58491645239997</c:v>
                </c:pt>
                <c:pt idx="11">
                  <c:v>807.77203421625541</c:v>
                </c:pt>
                <c:pt idx="12">
                  <c:v>1057.006577615962</c:v>
                </c:pt>
                <c:pt idx="13">
                  <c:v>1336.4788488608388</c:v>
                </c:pt>
                <c:pt idx="14">
                  <c:v>1641.1692628094859</c:v>
                </c:pt>
                <c:pt idx="15">
                  <c:v>1965.1900888826895</c:v>
                </c:pt>
                <c:pt idx="16">
                  <c:v>2302.1248027775509</c:v>
                </c:pt>
                <c:pt idx="17">
                  <c:v>2645.3441398590858</c:v>
                </c:pt>
                <c:pt idx="18">
                  <c:v>2988.2850639446206</c:v>
                </c:pt>
                <c:pt idx="19">
                  <c:v>3324.6847965080492</c:v>
                </c:pt>
                <c:pt idx="20">
                  <c:v>3648.7667453621507</c:v>
                </c:pt>
                <c:pt idx="21">
                  <c:v>3955.3787019382548</c:v>
                </c:pt>
                <c:pt idx="22">
                  <c:v>4240.0861789373339</c:v>
                </c:pt>
                <c:pt idx="23">
                  <c:v>4499.2253983212295</c:v>
                </c:pt>
                <c:pt idx="24">
                  <c:v>4729.9213796272743</c:v>
                </c:pt>
                <c:pt idx="25">
                  <c:v>4930.0769764500619</c:v>
                </c:pt>
                <c:pt idx="26">
                  <c:v>5098.3387031947823</c:v>
                </c:pt>
                <c:pt idx="27">
                  <c:v>5234.0449029012634</c:v>
                </c:pt>
                <c:pt idx="28">
                  <c:v>5337.1613271794922</c:v>
                </c:pt>
                <c:pt idx="29">
                  <c:v>5408.2086084537777</c:v>
                </c:pt>
                <c:pt idx="30">
                  <c:v>5448.1854624466678</c:v>
                </c:pt>
                <c:pt idx="31">
                  <c:v>5458.4908095228848</c:v>
                </c:pt>
                <c:pt idx="32">
                  <c:v>5440.8473787456523</c:v>
                </c:pt>
                <c:pt idx="33">
                  <c:v>5397.2287794506301</c:v>
                </c:pt>
                <c:pt idx="34">
                  <c:v>5329.7915047492615</c:v>
                </c:pt>
                <c:pt idx="35">
                  <c:v>5240.8128762099104</c:v>
                </c:pt>
                <c:pt idx="36">
                  <c:v>5132.6355508661927</c:v>
                </c:pt>
                <c:pt idx="37">
                  <c:v>5007.6188890876138</c:v>
                </c:pt>
                <c:pt idx="38">
                  <c:v>4868.0972208090116</c:v>
                </c:pt>
                <c:pt idx="39">
                  <c:v>4716.3448427673075</c:v>
                </c:pt>
                <c:pt idx="40">
                  <c:v>4554.5474245326795</c:v>
                </c:pt>
                <c:pt idx="41">
                  <c:v>4384.7793897264064</c:v>
                </c:pt>
                <c:pt idx="42">
                  <c:v>4208.9867644066426</c:v>
                </c:pt>
                <c:pt idx="43">
                  <c:v>4028.9749409870592</c:v>
                </c:pt>
                <c:pt idx="44">
                  <c:v>3846.400787500997</c:v>
                </c:pt>
                <c:pt idx="45">
                  <c:v>3662.7685333569298</c:v>
                </c:pt>
                <c:pt idx="46">
                  <c:v>3479.4288793754008</c:v>
                </c:pt>
                <c:pt idx="47">
                  <c:v>3297.580807887382</c:v>
                </c:pt>
                <c:pt idx="48">
                  <c:v>3118.2756046388517</c:v>
                </c:pt>
                <c:pt idx="49">
                  <c:v>2942.4226453721358</c:v>
                </c:pt>
                <c:pt idx="50">
                  <c:v>2770.79654394007</c:v>
                </c:pt>
                <c:pt idx="51">
                  <c:v>2604.0453038108808</c:v>
                </c:pt>
                <c:pt idx="52">
                  <c:v>2442.6991594001174</c:v>
                </c:pt>
                <c:pt idx="53">
                  <c:v>2287.1798367308702</c:v>
                </c:pt>
                <c:pt idx="54">
                  <c:v>2137.8100036814189</c:v>
                </c:pt>
                <c:pt idx="55">
                  <c:v>1994.8227179841908</c:v>
                </c:pt>
                <c:pt idx="56">
                  <c:v>1858.3707158516047</c:v>
                </c:pt>
                <c:pt idx="57">
                  <c:v>1728.5354154455217</c:v>
                </c:pt>
                <c:pt idx="58">
                  <c:v>1605.3355373320571</c:v>
                </c:pt>
                <c:pt idx="59">
                  <c:v>1488.7352686259444</c:v>
                </c:pt>
                <c:pt idx="60">
                  <c:v>1378.6519188581667</c:v>
                </c:pt>
                <c:pt idx="61">
                  <c:v>1274.963033878425</c:v>
                </c:pt>
                <c:pt idx="62">
                  <c:v>1177.5129495498984</c:v>
                </c:pt>
                <c:pt idx="63">
                  <c:v>1086.1187798466894</c:v>
                </c:pt>
                <c:pt idx="64">
                  <c:v>1000.5758444751432</c:v>
                </c:pt>
                <c:pt idx="65">
                  <c:v>920.66254956023181</c:v>
                </c:pt>
                <c:pt idx="66">
                  <c:v>846.14474151376669</c:v>
                </c:pt>
                <c:pt idx="67">
                  <c:v>776.77955916772328</c:v>
                </c:pt>
                <c:pt idx="68">
                  <c:v>712.31881283559358</c:v>
                </c:pt>
                <c:pt idx="69">
                  <c:v>652.51192136260158</c:v>
                </c:pt>
                <c:pt idx="70">
                  <c:v>597.10843962989293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FAC-474A-ABEF-27282C118849}"/>
            </c:ext>
          </c:extLst>
        </c:ser>
        <c:ser>
          <c:idx val="9"/>
          <c:order val="5"/>
          <c:tx>
            <c:strRef>
              <c:f>'New_confirmed - ExpPwLaw'!$N$7</c:f>
              <c:strCache>
                <c:ptCount val="1"/>
                <c:pt idx="0">
                  <c:v>New_positive_fit</c:v>
                </c:pt>
              </c:strCache>
            </c:strRef>
          </c:tx>
          <c:spPr>
            <a:ln w="9525" cap="rnd">
              <a:solidFill>
                <a:schemeClr val="tx2"/>
              </a:solidFill>
              <a:prstDash val="lgDash"/>
              <a:round/>
            </a:ln>
            <a:effectLst/>
          </c:spPr>
          <c:marker>
            <c:symbol val="none"/>
          </c:marker>
          <c:yVal>
            <c:numRef>
              <c:f>'New_confirmed - ExpPwLaw'!$N$8:$N$78</c:f>
              <c:numCache>
                <c:formatCode>0</c:formatCode>
                <c:ptCount val="71"/>
                <c:pt idx="0">
                  <c:v>0</c:v>
                </c:pt>
                <c:pt idx="1">
                  <c:v>-1.3304442666514824</c:v>
                </c:pt>
                <c:pt idx="2">
                  <c:v>-4.2995251158514849</c:v>
                </c:pt>
                <c:pt idx="3">
                  <c:v>-6.1209848675932994</c:v>
                </c:pt>
                <c:pt idx="4">
                  <c:v>-1.9837728428410408</c:v>
                </c:pt>
                <c:pt idx="5">
                  <c:v>14.267387871349211</c:v>
                </c:pt>
                <c:pt idx="6">
                  <c:v>49.11502186521578</c:v>
                </c:pt>
                <c:pt idx="7">
                  <c:v>108.41141161175948</c:v>
                </c:pt>
                <c:pt idx="8">
                  <c:v>196.65158194740727</c:v>
                </c:pt>
                <c:pt idx="9">
                  <c:v>316.52956568859275</c:v>
                </c:pt>
                <c:pt idx="10">
                  <c:v>468.76445970908071</c:v>
                </c:pt>
                <c:pt idx="11">
                  <c:v>652.14930876775622</c:v>
                </c:pt>
                <c:pt idx="12">
                  <c:v>863.76328085322325</c:v>
                </c:pt>
                <c:pt idx="13">
                  <c:v>1099.2877213817239</c:v>
                </c:pt>
                <c:pt idx="14">
                  <c:v>1353.3738207765671</c:v>
                </c:pt>
                <c:pt idx="15">
                  <c:v>1620.019976016418</c:v>
                </c:pt>
                <c:pt idx="16">
                  <c:v>1892.9280118537467</c:v>
                </c:pt>
                <c:pt idx="17">
                  <c:v>2165.8177824645895</c:v>
                </c:pt>
                <c:pt idx="18">
                  <c:v>2432.6885271807996</c:v>
                </c:pt>
                <c:pt idx="19">
                  <c:v>2688.0224022564807</c:v>
                </c:pt>
                <c:pt idx="20">
                  <c:v>2926.930850284135</c:v>
                </c:pt>
                <c:pt idx="21">
                  <c:v>3145.2480693091402</c:v>
                </c:pt>
                <c:pt idx="22">
                  <c:v>3339.5780602064501</c:v>
                </c:pt>
                <c:pt idx="23">
                  <c:v>3507.3028462755315</c:v>
                </c:pt>
                <c:pt idx="24">
                  <c:v>3646.5597470412408</c:v>
                </c:pt>
                <c:pt idx="25">
                  <c:v>3756.1952930139678</c:v>
                </c:pt>
                <c:pt idx="26">
                  <c:v>3835.7026944898957</c:v>
                </c:pt>
                <c:pt idx="27">
                  <c:v>3885.1488885969006</c:v>
                </c:pt>
                <c:pt idx="28">
                  <c:v>3905.0962085117753</c:v>
                </c:pt>
                <c:pt idx="29">
                  <c:v>3896.5227360639865</c:v>
                </c:pt>
                <c:pt idx="30">
                  <c:v>3860.7444736403495</c:v>
                </c:pt>
                <c:pt idx="31">
                  <c:v>3799.3416399816679</c:v>
                </c:pt>
                <c:pt idx="32">
                  <c:v>3714.0906758957631</c:v>
                </c:pt>
                <c:pt idx="33">
                  <c:v>3606.9029459040012</c:v>
                </c:pt>
                <c:pt idx="34">
                  <c:v>3479.770637240767</c:v>
                </c:pt>
                <c:pt idx="35">
                  <c:v>3334.7199795506049</c:v>
                </c:pt>
                <c:pt idx="36">
                  <c:v>3173.7716249373038</c:v>
                </c:pt>
                <c:pt idx="37">
                  <c:v>2998.9078251436349</c:v>
                </c:pt>
                <c:pt idx="38">
                  <c:v>2812.045906872655</c:v>
                </c:pt>
                <c:pt idx="39">
                  <c:v>2615.0174646051919</c:v>
                </c:pt>
                <c:pt idx="40">
                  <c:v>2409.5526509498713</c:v>
                </c:pt>
                <c:pt idx="41">
                  <c:v>2197.2689373004578</c:v>
                </c:pt>
                <c:pt idx="42">
                  <c:v>1979.6637336582444</c:v>
                </c:pt>
                <c:pt idx="43">
                  <c:v>1758.1102887274296</c:v>
                </c:pt>
                <c:pt idx="44">
                  <c:v>1533.8563340535284</c:v>
                </c:pt>
                <c:pt idx="45">
                  <c:v>1308.0249845533567</c:v>
                </c:pt>
                <c:pt idx="46">
                  <c:v>1081.6174588743993</c:v>
                </c:pt>
                <c:pt idx="47">
                  <c:v>855.51723412366835</c:v>
                </c:pt>
                <c:pt idx="48">
                  <c:v>630.49529886836308</c:v>
                </c:pt>
                <c:pt idx="49">
                  <c:v>407.21621476822196</c:v>
                </c:pt>
                <c:pt idx="50">
                  <c:v>186.24474004782758</c:v>
                </c:pt>
                <c:pt idx="51">
                  <c:v>-31.947193103290601</c:v>
                </c:pt>
                <c:pt idx="52">
                  <c:v>-246.97332031131663</c:v>
                </c:pt>
                <c:pt idx="53">
                  <c:v>-458.52584828845647</c:v>
                </c:pt>
                <c:pt idx="54">
                  <c:v>-666.36833491604193</c:v>
                </c:pt>
                <c:pt idx="55">
                  <c:v>-870.32873802848098</c:v>
                </c:pt>
                <c:pt idx="56">
                  <c:v>-1070.2927045969632</c:v>
                </c:pt>
                <c:pt idx="57">
                  <c:v>-1266.1971547508099</c:v>
                </c:pt>
                <c:pt idx="58">
                  <c:v>-1458.0242004237125</c:v>
                </c:pt>
                <c:pt idx="59">
                  <c:v>-1645.7954260691949</c:v>
                </c:pt>
                <c:pt idx="60">
                  <c:v>-1829.5665485693298</c:v>
                </c:pt>
                <c:pt idx="61">
                  <c:v>-2009.422464905861</c:v>
                </c:pt>
                <c:pt idx="62">
                  <c:v>-2185.4726891370697</c:v>
                </c:pt>
                <c:pt idx="63">
                  <c:v>-2357.8471745197871</c:v>
                </c:pt>
                <c:pt idx="64">
                  <c:v>-2526.6925120484761</c:v>
                </c:pt>
                <c:pt idx="65">
                  <c:v>-2692.1684930901883</c:v>
                </c:pt>
                <c:pt idx="66">
                  <c:v>-2854.4450210333157</c:v>
                </c:pt>
                <c:pt idx="67">
                  <c:v>-3013.6993548154851</c:v>
                </c:pt>
                <c:pt idx="68">
                  <c:v>-3170.1136657440925</c:v>
                </c:pt>
                <c:pt idx="69">
                  <c:v>-3323.8728880773492</c:v>
                </c:pt>
                <c:pt idx="70">
                  <c:v>-3475.1628433134883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F5B-4E09-90F1-E61A18B2A20F}"/>
            </c:ext>
          </c:extLst>
        </c:ser>
        <c:ser>
          <c:idx val="11"/>
          <c:order val="7"/>
          <c:tx>
            <c:strRef>
              <c:f>'New_confirmed - ExpPwLaw'!$S$7</c:f>
              <c:strCache>
                <c:ptCount val="1"/>
                <c:pt idx="0">
                  <c:v>New_Recovered_fit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yVal>
            <c:numRef>
              <c:f>'New_confirmed - ExpPwLaw'!$S$8:$S$78</c:f>
              <c:numCache>
                <c:formatCode>0</c:formatCode>
                <c:ptCount val="71"/>
                <c:pt idx="0">
                  <c:v>0</c:v>
                </c:pt>
                <c:pt idx="1">
                  <c:v>1.3600744944773195</c:v>
                </c:pt>
                <c:pt idx="2">
                  <c:v>5.0662078024516903</c:v>
                </c:pt>
                <c:pt idx="3">
                  <c:v>10.928499876116037</c:v>
                </c:pt>
                <c:pt idx="4">
                  <c:v>18.849766625753858</c:v>
                </c:pt>
                <c:pt idx="5">
                  <c:v>28.762618888675107</c:v>
                </c:pt>
                <c:pt idx="6">
                  <c:v>40.614976389611151</c:v>
                </c:pt>
                <c:pt idx="7">
                  <c:v>54.364113264229466</c:v>
                </c:pt>
                <c:pt idx="8">
                  <c:v>69.97361421433358</c:v>
                </c:pt>
                <c:pt idx="9">
                  <c:v>87.411607643212605</c:v>
                </c:pt>
                <c:pt idx="10">
                  <c:v>106.64964902987565</c:v>
                </c:pt>
                <c:pt idx="11">
                  <c:v>127.66197056463038</c:v>
                </c:pt>
                <c:pt idx="12">
                  <c:v>150.42495285354883</c:v>
                </c:pt>
                <c:pt idx="13">
                  <c:v>174.91673907608347</c:v>
                </c:pt>
                <c:pt idx="14">
                  <c:v>201.11694470063057</c:v>
                </c:pt>
                <c:pt idx="15">
                  <c:v>229.00643367452588</c:v>
                </c:pt>
                <c:pt idx="16">
                  <c:v>258.56714227457701</c:v>
                </c:pt>
                <c:pt idx="17">
                  <c:v>289.78193801178293</c:v>
                </c:pt>
                <c:pt idx="18">
                  <c:v>322.63450488749885</c:v>
                </c:pt>
                <c:pt idx="19">
                  <c:v>357.10924883718519</c:v>
                </c:pt>
                <c:pt idx="20">
                  <c:v>393.19121889772975</c:v>
                </c:pt>
                <c:pt idx="21">
                  <c:v>430.86604080162493</c:v>
                </c:pt>
                <c:pt idx="22">
                  <c:v>470.11986052086201</c:v>
                </c:pt>
                <c:pt idx="23">
                  <c:v>510.93929587034415</c:v>
                </c:pt>
                <c:pt idx="24">
                  <c:v>553.31139470839673</c:v>
                </c:pt>
                <c:pt idx="25">
                  <c:v>597.22359858873426</c:v>
                </c:pt>
                <c:pt idx="26">
                  <c:v>642.66371095619377</c:v>
                </c:pt>
                <c:pt idx="27">
                  <c:v>689.61986915960824</c:v>
                </c:pt>
                <c:pt idx="28">
                  <c:v>738.08051969466567</c:v>
                </c:pt>
                <c:pt idx="29">
                  <c:v>788.03439619812502</c:v>
                </c:pt>
                <c:pt idx="30">
                  <c:v>839.47049980014435</c:v>
                </c:pt>
                <c:pt idx="31">
                  <c:v>892.378081509205</c:v>
                </c:pt>
                <c:pt idx="32">
                  <c:v>946.74662635833897</c:v>
                </c:pt>
                <c:pt idx="33">
                  <c:v>1002.5658390851275</c:v>
                </c:pt>
                <c:pt idx="34">
                  <c:v>1059.8256311534626</c:v>
                </c:pt>
                <c:pt idx="35">
                  <c:v>1118.516108954188</c:v>
                </c:pt>
                <c:pt idx="36">
                  <c:v>1178.6275630457001</c:v>
                </c:pt>
                <c:pt idx="37">
                  <c:v>1240.1504583154299</c:v>
                </c:pt>
                <c:pt idx="38">
                  <c:v>1303.0754249597048</c:v>
                </c:pt>
                <c:pt idx="39">
                  <c:v>1367.3932501933373</c:v>
                </c:pt>
                <c:pt idx="40">
                  <c:v>1433.0948706119757</c:v>
                </c:pt>
                <c:pt idx="41">
                  <c:v>1500.1713651401424</c:v>
                </c:pt>
                <c:pt idx="42">
                  <c:v>1568.6139485062542</c:v>
                </c:pt>
                <c:pt idx="43">
                  <c:v>1638.4139651931148</c:v>
                </c:pt>
                <c:pt idx="44">
                  <c:v>1709.5628838185166</c:v>
                </c:pt>
                <c:pt idx="45">
                  <c:v>1782.0522919058467</c:v>
                </c:pt>
                <c:pt idx="46">
                  <c:v>1855.8738910091724</c:v>
                </c:pt>
                <c:pt idx="47">
                  <c:v>1931.0194921612569</c:v>
                </c:pt>
                <c:pt idx="48">
                  <c:v>2007.4810116163474</c:v>
                </c:pt>
                <c:pt idx="49">
                  <c:v>2085.2504668626225</c:v>
                </c:pt>
                <c:pt idx="50">
                  <c:v>2164.3199728817926</c:v>
                </c:pt>
                <c:pt idx="51">
                  <c:v>2244.6817386356201</c:v>
                </c:pt>
                <c:pt idx="52">
                  <c:v>2326.328063761212</c:v>
                </c:pt>
                <c:pt idx="53">
                  <c:v>2409.2513354586695</c:v>
                </c:pt>
                <c:pt idx="54">
                  <c:v>2493.4440255562845</c:v>
                </c:pt>
                <c:pt idx="55">
                  <c:v>2578.8986877398643</c:v>
                </c:pt>
                <c:pt idx="56">
                  <c:v>2665.6079549340193</c:v>
                </c:pt>
                <c:pt idx="57">
                  <c:v>2753.564536824374</c:v>
                </c:pt>
                <c:pt idx="58">
                  <c:v>2842.7612175105551</c:v>
                </c:pt>
                <c:pt idx="59">
                  <c:v>2933.190853280902</c:v>
                </c:pt>
                <c:pt idx="60">
                  <c:v>3024.8463705003587</c:v>
                </c:pt>
                <c:pt idx="61">
                  <c:v>3117.7207636039739</c:v>
                </c:pt>
                <c:pt idx="62">
                  <c:v>3211.807093188942</c:v>
                </c:pt>
                <c:pt idx="63">
                  <c:v>3307.098484198707</c:v>
                </c:pt>
                <c:pt idx="64">
                  <c:v>3403.5881241932098</c:v>
                </c:pt>
                <c:pt idx="65">
                  <c:v>3501.2692616997879</c:v>
                </c:pt>
                <c:pt idx="66">
                  <c:v>3600.135204639766</c:v>
                </c:pt>
                <c:pt idx="67">
                  <c:v>3700.1793188259458</c:v>
                </c:pt>
                <c:pt idx="68">
                  <c:v>3801.3950265268631</c:v>
                </c:pt>
                <c:pt idx="69">
                  <c:v>3903.7758050937236</c:v>
                </c:pt>
                <c:pt idx="70">
                  <c:v>4007.3151856463437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F5B-4E09-90F1-E61A18B2A20F}"/>
            </c:ext>
          </c:extLst>
        </c:ser>
        <c:ser>
          <c:idx val="5"/>
          <c:order val="11"/>
          <c:tx>
            <c:strRef>
              <c:f>'New_confirmed - ExpPwLaw'!$AA$7</c:f>
              <c:strCache>
                <c:ptCount val="1"/>
                <c:pt idx="0">
                  <c:v>New_Deaths_fit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yVal>
            <c:numRef>
              <c:f>'New_confirmed - ExpPwLaw'!$AA$8:$AA$78</c:f>
              <c:numCache>
                <c:formatCode>0</c:formatCode>
                <c:ptCount val="71"/>
                <c:pt idx="0">
                  <c:v>0</c:v>
                </c:pt>
                <c:pt idx="1">
                  <c:v>4.8367996252178042E-6</c:v>
                </c:pt>
                <c:pt idx="2">
                  <c:v>6.5782922325141688E-4</c:v>
                </c:pt>
                <c:pt idx="3">
                  <c:v>1.0638740462945358E-2</c:v>
                </c:pt>
                <c:pt idx="4">
                  <c:v>7.1952166390477107E-2</c:v>
                </c:pt>
                <c:pt idx="5">
                  <c:v>0.30180961832400338</c:v>
                </c:pt>
                <c:pt idx="6">
                  <c:v>0.93582915626031693</c:v>
                </c:pt>
                <c:pt idx="7">
                  <c:v>2.355604817794454</c:v>
                </c:pt>
                <c:pt idx="8">
                  <c:v>5.0900948793166476</c:v>
                </c:pt>
                <c:pt idx="9">
                  <c:v>9.7886976535173353</c:v>
                </c:pt>
                <c:pt idx="10">
                  <c:v>17.170807713443576</c:v>
                </c:pt>
                <c:pt idx="11">
                  <c:v>27.960754883868894</c:v>
                </c:pt>
                <c:pt idx="12">
                  <c:v>42.818343909189899</c:v>
                </c:pt>
                <c:pt idx="13">
                  <c:v>62.274388403031345</c:v>
                </c:pt>
                <c:pt idx="14">
                  <c:v>86.678497332288231</c:v>
                </c:pt>
                <c:pt idx="15">
                  <c:v>116.16367919174552</c:v>
                </c:pt>
                <c:pt idx="16">
                  <c:v>150.62964864922716</c:v>
                </c:pt>
                <c:pt idx="17">
                  <c:v>189.74441938271323</c:v>
                </c:pt>
                <c:pt idx="18">
                  <c:v>232.96203187632224</c:v>
                </c:pt>
                <c:pt idx="19">
                  <c:v>279.55314541438361</c:v>
                </c:pt>
                <c:pt idx="20">
                  <c:v>328.6446761802859</c:v>
                </c:pt>
                <c:pt idx="21">
                  <c:v>379.26459182748982</c:v>
                </c:pt>
                <c:pt idx="22">
                  <c:v>430.38825821002183</c:v>
                </c:pt>
                <c:pt idx="23">
                  <c:v>480.98325617535363</c:v>
                </c:pt>
                <c:pt idx="24">
                  <c:v>530.05023787763673</c:v>
                </c:pt>
                <c:pt idx="25">
                  <c:v>576.65808484735953</c:v>
                </c:pt>
                <c:pt idx="26">
                  <c:v>619.97229774869299</c:v>
                </c:pt>
                <c:pt idx="27">
                  <c:v>659.27614514475454</c:v>
                </c:pt>
                <c:pt idx="28">
                  <c:v>693.98459897305122</c:v>
                </c:pt>
                <c:pt idx="29">
                  <c:v>723.65147619166612</c:v>
                </c:pt>
                <c:pt idx="30">
                  <c:v>747.97048900617369</c:v>
                </c:pt>
                <c:pt idx="31">
                  <c:v>766.77108803201179</c:v>
                </c:pt>
                <c:pt idx="32">
                  <c:v>780.01007649154997</c:v>
                </c:pt>
                <c:pt idx="33">
                  <c:v>787.75999446150126</c:v>
                </c:pt>
                <c:pt idx="34">
                  <c:v>790.19523635503219</c:v>
                </c:pt>
                <c:pt idx="35">
                  <c:v>787.57678770511734</c:v>
                </c:pt>
                <c:pt idx="36">
                  <c:v>780.23636288318858</c:v>
                </c:pt>
                <c:pt idx="37">
                  <c:v>768.56060562854873</c:v>
                </c:pt>
                <c:pt idx="38">
                  <c:v>752.97588897665196</c:v>
                </c:pt>
                <c:pt idx="39">
                  <c:v>733.93412796877828</c:v>
                </c:pt>
                <c:pt idx="40">
                  <c:v>711.8999029708325</c:v>
                </c:pt>
                <c:pt idx="41">
                  <c:v>687.33908728580616</c:v>
                </c:pt>
                <c:pt idx="42">
                  <c:v>660.70908224214418</c:v>
                </c:pt>
                <c:pt idx="43">
                  <c:v>632.450687066515</c:v>
                </c:pt>
                <c:pt idx="44">
                  <c:v>602.98156962895212</c:v>
                </c:pt>
                <c:pt idx="45">
                  <c:v>572.69125689772625</c:v>
                </c:pt>
                <c:pt idx="46">
                  <c:v>541.9375294918292</c:v>
                </c:pt>
                <c:pt idx="47">
                  <c:v>511.04408160245669</c:v>
                </c:pt>
                <c:pt idx="48">
                  <c:v>480.29929415414136</c:v>
                </c:pt>
                <c:pt idx="49">
                  <c:v>449.95596374129133</c:v>
                </c:pt>
                <c:pt idx="50">
                  <c:v>420.23183101044981</c:v>
                </c:pt>
                <c:pt idx="51">
                  <c:v>391.31075827855125</c:v>
                </c:pt>
                <c:pt idx="52">
                  <c:v>363.34441595022207</c:v>
                </c:pt>
                <c:pt idx="53">
                  <c:v>336.45434956065719</c:v>
                </c:pt>
                <c:pt idx="54">
                  <c:v>310.73431304117639</c:v>
                </c:pt>
                <c:pt idx="55">
                  <c:v>286.2527682728076</c:v>
                </c:pt>
                <c:pt idx="56">
                  <c:v>263.05546551454864</c:v>
                </c:pt>
                <c:pt idx="57">
                  <c:v>241.16803337195756</c:v>
                </c:pt>
                <c:pt idx="58">
                  <c:v>220.5985202452145</c:v>
                </c:pt>
                <c:pt idx="59">
                  <c:v>201.33984141423738</c:v>
                </c:pt>
                <c:pt idx="60">
                  <c:v>183.37209692713787</c:v>
                </c:pt>
                <c:pt idx="61">
                  <c:v>166.66473518031205</c:v>
                </c:pt>
                <c:pt idx="62">
                  <c:v>151.17854549802618</c:v>
                </c:pt>
                <c:pt idx="63">
                  <c:v>136.86747016776945</c:v>
                </c:pt>
                <c:pt idx="64">
                  <c:v>123.68023233040964</c:v>
                </c:pt>
                <c:pt idx="65">
                  <c:v>111.56178095063204</c:v>
                </c:pt>
                <c:pt idx="66">
                  <c:v>100.45455790731636</c:v>
                </c:pt>
                <c:pt idx="67">
                  <c:v>90.299595157262686</c:v>
                </c:pt>
                <c:pt idx="68">
                  <c:v>81.037452052822943</c:v>
                </c:pt>
                <c:pt idx="69">
                  <c:v>72.60900434622711</c:v>
                </c:pt>
                <c:pt idx="70">
                  <c:v>64.956097297037346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9A-42E0-ADE0-2A064B8C1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'New_confirmed - ExpPwLaw'!$J$7</c15:sqref>
                        </c15:formulaRef>
                      </c:ext>
                    </c:extLst>
                    <c:strCache>
                      <c:ptCount val="1"/>
                      <c:pt idx="0">
                        <c:v>C_Upper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'New_confirmed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'New_confirmed - ExpPwLaw'!$J$8:$J$78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1152.3087841018491</c:v>
                      </c:pt>
                      <c:pt idx="1">
                        <c:v>1152.3384191664745</c:v>
                      </c:pt>
                      <c:pt idx="2">
                        <c:v>1153.0761246176726</c:v>
                      </c:pt>
                      <c:pt idx="3">
                        <c:v>1157.1269378508348</c:v>
                      </c:pt>
                      <c:pt idx="4">
                        <c:v>1169.2467300511523</c:v>
                      </c:pt>
                      <c:pt idx="5">
                        <c:v>1195.6406004801975</c:v>
                      </c:pt>
                      <c:pt idx="6">
                        <c:v>1242.9746115129365</c:v>
                      </c:pt>
                      <c:pt idx="7">
                        <c:v>1317.4399137956325</c:v>
                      </c:pt>
                      <c:pt idx="8">
                        <c:v>1424.0240751429067</c:v>
                      </c:pt>
                      <c:pt idx="9">
                        <c:v>1566.0386550871717</c:v>
                      </c:pt>
                      <c:pt idx="10">
                        <c:v>1744.8937005542491</c:v>
                      </c:pt>
                      <c:pt idx="11">
                        <c:v>1960.0808183181045</c:v>
                      </c:pt>
                      <c:pt idx="12">
                        <c:v>2209.3153617178114</c:v>
                      </c:pt>
                      <c:pt idx="13">
                        <c:v>2488.7876329626879</c:v>
                      </c:pt>
                      <c:pt idx="14">
                        <c:v>2793.4780469113348</c:v>
                      </c:pt>
                      <c:pt idx="15">
                        <c:v>3117.4988729845386</c:v>
                      </c:pt>
                      <c:pt idx="16">
                        <c:v>3454.4335868794001</c:v>
                      </c:pt>
                      <c:pt idx="17">
                        <c:v>3797.6529239609349</c:v>
                      </c:pt>
                      <c:pt idx="18">
                        <c:v>4140.5938480464702</c:v>
                      </c:pt>
                      <c:pt idx="19">
                        <c:v>4476.9935806098983</c:v>
                      </c:pt>
                      <c:pt idx="20">
                        <c:v>4801.0755294640003</c:v>
                      </c:pt>
                      <c:pt idx="21">
                        <c:v>5107.687486040104</c:v>
                      </c:pt>
                      <c:pt idx="22">
                        <c:v>5392.3949630391835</c:v>
                      </c:pt>
                      <c:pt idx="23">
                        <c:v>5651.5341824230782</c:v>
                      </c:pt>
                      <c:pt idx="24">
                        <c:v>5882.2301637291239</c:v>
                      </c:pt>
                      <c:pt idx="25">
                        <c:v>6082.3857605519115</c:v>
                      </c:pt>
                      <c:pt idx="26">
                        <c:v>6250.6474872966319</c:v>
                      </c:pt>
                      <c:pt idx="27">
                        <c:v>6386.353687003113</c:v>
                      </c:pt>
                      <c:pt idx="28">
                        <c:v>6489.4701112813418</c:v>
                      </c:pt>
                      <c:pt idx="29">
                        <c:v>6560.5173925556264</c:v>
                      </c:pt>
                      <c:pt idx="30">
                        <c:v>6600.4942465485165</c:v>
                      </c:pt>
                      <c:pt idx="31">
                        <c:v>6610.7995936247335</c:v>
                      </c:pt>
                      <c:pt idx="32">
                        <c:v>6593.156162847501</c:v>
                      </c:pt>
                      <c:pt idx="33">
                        <c:v>6549.5375635524797</c:v>
                      </c:pt>
                      <c:pt idx="34">
                        <c:v>6482.1002888511102</c:v>
                      </c:pt>
                      <c:pt idx="35">
                        <c:v>6393.1216603117591</c:v>
                      </c:pt>
                      <c:pt idx="36">
                        <c:v>6284.9443349680423</c:v>
                      </c:pt>
                      <c:pt idx="37">
                        <c:v>6159.9276731894624</c:v>
                      </c:pt>
                      <c:pt idx="38">
                        <c:v>6020.4060049108612</c:v>
                      </c:pt>
                      <c:pt idx="39">
                        <c:v>5868.6536268691561</c:v>
                      </c:pt>
                      <c:pt idx="40">
                        <c:v>5706.8562086345282</c:v>
                      </c:pt>
                      <c:pt idx="41">
                        <c:v>5537.0881738282551</c:v>
                      </c:pt>
                      <c:pt idx="42">
                        <c:v>5361.2955485084913</c:v>
                      </c:pt>
                      <c:pt idx="43">
                        <c:v>5181.2837250889079</c:v>
                      </c:pt>
                      <c:pt idx="44">
                        <c:v>4998.7095716028462</c:v>
                      </c:pt>
                      <c:pt idx="45">
                        <c:v>4815.0773174587794</c:v>
                      </c:pt>
                      <c:pt idx="46">
                        <c:v>4631.73766347725</c:v>
                      </c:pt>
                      <c:pt idx="47">
                        <c:v>4449.8895919892311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9FAC-474A-ABEF-27282C11884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ExpPwLaw'!$K$7</c15:sqref>
                        </c15:formulaRef>
                      </c:ext>
                    </c:extLst>
                    <c:strCache>
                      <c:ptCount val="1"/>
                      <c:pt idx="0">
                        <c:v>C_Lower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ExpPwLaw'!$K$8:$K$78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184.17006475898961</c:v>
                      </c:pt>
                      <c:pt idx="14">
                        <c:v>488.86047870763673</c:v>
                      </c:pt>
                      <c:pt idx="15">
                        <c:v>812.88130478084031</c:v>
                      </c:pt>
                      <c:pt idx="16">
                        <c:v>1149.8160186757018</c:v>
                      </c:pt>
                      <c:pt idx="17">
                        <c:v>1493.0353557572366</c:v>
                      </c:pt>
                      <c:pt idx="18">
                        <c:v>1835.9762798427714</c:v>
                      </c:pt>
                      <c:pt idx="19">
                        <c:v>2172.3760124062001</c:v>
                      </c:pt>
                      <c:pt idx="20">
                        <c:v>2496.4579612603015</c:v>
                      </c:pt>
                      <c:pt idx="21">
                        <c:v>2803.0699178364057</c:v>
                      </c:pt>
                      <c:pt idx="22">
                        <c:v>3087.7773948354848</c:v>
                      </c:pt>
                      <c:pt idx="23">
                        <c:v>3346.9166142193803</c:v>
                      </c:pt>
                      <c:pt idx="24">
                        <c:v>3577.6125955254251</c:v>
                      </c:pt>
                      <c:pt idx="25">
                        <c:v>3777.7681923482128</c:v>
                      </c:pt>
                      <c:pt idx="26">
                        <c:v>3946.0299190929331</c:v>
                      </c:pt>
                      <c:pt idx="27">
                        <c:v>4081.7361187994143</c:v>
                      </c:pt>
                      <c:pt idx="28">
                        <c:v>4184.8525430776426</c:v>
                      </c:pt>
                      <c:pt idx="29">
                        <c:v>4255.8998243519291</c:v>
                      </c:pt>
                      <c:pt idx="30">
                        <c:v>4295.8766783448191</c:v>
                      </c:pt>
                      <c:pt idx="31">
                        <c:v>4306.1820254210361</c:v>
                      </c:pt>
                      <c:pt idx="32">
                        <c:v>4288.5385946438037</c:v>
                      </c:pt>
                      <c:pt idx="33">
                        <c:v>4244.9199953487805</c:v>
                      </c:pt>
                      <c:pt idx="34">
                        <c:v>4177.4827206474129</c:v>
                      </c:pt>
                      <c:pt idx="35">
                        <c:v>4088.5040921080613</c:v>
                      </c:pt>
                      <c:pt idx="36">
                        <c:v>3980.3267667643436</c:v>
                      </c:pt>
                      <c:pt idx="37">
                        <c:v>3855.3101049857646</c:v>
                      </c:pt>
                      <c:pt idx="38">
                        <c:v>3715.7884367071624</c:v>
                      </c:pt>
                      <c:pt idx="39">
                        <c:v>3564.0360586654583</c:v>
                      </c:pt>
                      <c:pt idx="40">
                        <c:v>3402.2386404308304</c:v>
                      </c:pt>
                      <c:pt idx="41">
                        <c:v>3232.4706056245573</c:v>
                      </c:pt>
                      <c:pt idx="42">
                        <c:v>3056.6779803047934</c:v>
                      </c:pt>
                      <c:pt idx="43">
                        <c:v>2876.6661568852101</c:v>
                      </c:pt>
                      <c:pt idx="44">
                        <c:v>2694.0920033991479</c:v>
                      </c:pt>
                      <c:pt idx="45">
                        <c:v>2510.4597492550806</c:v>
                      </c:pt>
                      <c:pt idx="46">
                        <c:v>2327.1200952735517</c:v>
                      </c:pt>
                      <c:pt idx="47">
                        <c:v>2145.2720237855328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FAC-474A-ABEF-27282C118849}"/>
                  </c:ext>
                </c:extLst>
              </c15:ser>
            </c15:filteredScatterSeries>
            <c15:filteredScatterSeries>
              <c15:ser>
                <c:idx val="12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ExpPwLaw'!$U$7</c15:sqref>
                        </c15:formulaRef>
                      </c:ext>
                    </c:extLst>
                    <c:strCache>
                      <c:ptCount val="1"/>
                      <c:pt idx="0">
                        <c:v>NR_Upper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ExpPwLaw'!$U$8:$U$78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499.81973239006709</c:v>
                      </c:pt>
                      <c:pt idx="1">
                        <c:v>501.1798068845444</c:v>
                      </c:pt>
                      <c:pt idx="2">
                        <c:v>504.88594019251877</c:v>
                      </c:pt>
                      <c:pt idx="3">
                        <c:v>510.74823226618315</c:v>
                      </c:pt>
                      <c:pt idx="4">
                        <c:v>518.66949901582097</c:v>
                      </c:pt>
                      <c:pt idx="5">
                        <c:v>528.58235127874218</c:v>
                      </c:pt>
                      <c:pt idx="6">
                        <c:v>540.4347087796782</c:v>
                      </c:pt>
                      <c:pt idx="7">
                        <c:v>554.18384565429653</c:v>
                      </c:pt>
                      <c:pt idx="8">
                        <c:v>569.79334660440065</c:v>
                      </c:pt>
                      <c:pt idx="9">
                        <c:v>587.23134003327971</c:v>
                      </c:pt>
                      <c:pt idx="10">
                        <c:v>606.46938141994269</c:v>
                      </c:pt>
                      <c:pt idx="11">
                        <c:v>627.48170295469743</c:v>
                      </c:pt>
                      <c:pt idx="12">
                        <c:v>650.24468524361589</c:v>
                      </c:pt>
                      <c:pt idx="13">
                        <c:v>674.73647146615053</c:v>
                      </c:pt>
                      <c:pt idx="14">
                        <c:v>700.93667709069769</c:v>
                      </c:pt>
                      <c:pt idx="15">
                        <c:v>728.82616606459294</c:v>
                      </c:pt>
                      <c:pt idx="16">
                        <c:v>758.3868746646441</c:v>
                      </c:pt>
                      <c:pt idx="17">
                        <c:v>789.60167040185001</c:v>
                      </c:pt>
                      <c:pt idx="18">
                        <c:v>822.45423727756588</c:v>
                      </c:pt>
                      <c:pt idx="19">
                        <c:v>856.92898122725228</c:v>
                      </c:pt>
                      <c:pt idx="20">
                        <c:v>893.01095128779684</c:v>
                      </c:pt>
                      <c:pt idx="21">
                        <c:v>930.68577319169208</c:v>
                      </c:pt>
                      <c:pt idx="22">
                        <c:v>969.93959291092915</c:v>
                      </c:pt>
                      <c:pt idx="23">
                        <c:v>1010.7590282604112</c:v>
                      </c:pt>
                      <c:pt idx="24">
                        <c:v>1053.1311270984638</c:v>
                      </c:pt>
                      <c:pt idx="25">
                        <c:v>1097.0433309788014</c:v>
                      </c:pt>
                      <c:pt idx="26">
                        <c:v>1142.4834433462609</c:v>
                      </c:pt>
                      <c:pt idx="27">
                        <c:v>1189.4396015496754</c:v>
                      </c:pt>
                      <c:pt idx="28">
                        <c:v>1237.9002520847328</c:v>
                      </c:pt>
                      <c:pt idx="29">
                        <c:v>1287.854128588192</c:v>
                      </c:pt>
                      <c:pt idx="30">
                        <c:v>1339.2902321902116</c:v>
                      </c:pt>
                      <c:pt idx="31">
                        <c:v>1392.1978138992722</c:v>
                      </c:pt>
                      <c:pt idx="32">
                        <c:v>1446.5663587484059</c:v>
                      </c:pt>
                      <c:pt idx="33">
                        <c:v>1502.3855714751946</c:v>
                      </c:pt>
                      <c:pt idx="34">
                        <c:v>1559.6453635435296</c:v>
                      </c:pt>
                      <c:pt idx="35">
                        <c:v>1618.3358413442552</c:v>
                      </c:pt>
                      <c:pt idx="36">
                        <c:v>1678.447295435767</c:v>
                      </c:pt>
                      <c:pt idx="37">
                        <c:v>1739.9701907054969</c:v>
                      </c:pt>
                      <c:pt idx="38">
                        <c:v>1802.895157349772</c:v>
                      </c:pt>
                      <c:pt idx="39">
                        <c:v>1867.2129825834045</c:v>
                      </c:pt>
                      <c:pt idx="40">
                        <c:v>1932.9146030020429</c:v>
                      </c:pt>
                      <c:pt idx="41">
                        <c:v>1999.9910975302096</c:v>
                      </c:pt>
                      <c:pt idx="42">
                        <c:v>2068.4336808963212</c:v>
                      </c:pt>
                      <c:pt idx="43">
                        <c:v>2138.2336975831818</c:v>
                      </c:pt>
                      <c:pt idx="44">
                        <c:v>2209.3826162085838</c:v>
                      </c:pt>
                      <c:pt idx="45">
                        <c:v>2281.8720242959139</c:v>
                      </c:pt>
                      <c:pt idx="46">
                        <c:v>2355.6936233992396</c:v>
                      </c:pt>
                      <c:pt idx="47">
                        <c:v>2430.8392245513242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F5B-4E09-90F1-E61A18B2A20F}"/>
                  </c:ext>
                </c:extLst>
              </c15:ser>
            </c15:filteredScatterSeries>
            <c15:filteredScatterSeries>
              <c15:ser>
                <c:idx val="13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ExpPwLaw'!$V$7</c15:sqref>
                        </c15:formulaRef>
                      </c:ext>
                    </c:extLst>
                    <c:strCache>
                      <c:ptCount val="1"/>
                      <c:pt idx="0">
                        <c:v>NR_Lower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ExpPwLaw'!$V$8:$V$78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11.119563480277066</c:v>
                      </c:pt>
                      <c:pt idx="24">
                        <c:v>53.491662318329645</c:v>
                      </c:pt>
                      <c:pt idx="25">
                        <c:v>97.403866198667174</c:v>
                      </c:pt>
                      <c:pt idx="26">
                        <c:v>142.84397856612668</c:v>
                      </c:pt>
                      <c:pt idx="27">
                        <c:v>189.80013676954115</c:v>
                      </c:pt>
                      <c:pt idx="28">
                        <c:v>238.26078730459858</c:v>
                      </c:pt>
                      <c:pt idx="29">
                        <c:v>288.21466380805794</c:v>
                      </c:pt>
                      <c:pt idx="30">
                        <c:v>339.65076741007726</c:v>
                      </c:pt>
                      <c:pt idx="31">
                        <c:v>392.55834911913792</c:v>
                      </c:pt>
                      <c:pt idx="32">
                        <c:v>446.92689396827188</c:v>
                      </c:pt>
                      <c:pt idx="33">
                        <c:v>502.74610669506046</c:v>
                      </c:pt>
                      <c:pt idx="34">
                        <c:v>560.00589876339552</c:v>
                      </c:pt>
                      <c:pt idx="35">
                        <c:v>618.6963765641209</c:v>
                      </c:pt>
                      <c:pt idx="36">
                        <c:v>678.80783065563298</c:v>
                      </c:pt>
                      <c:pt idx="37">
                        <c:v>740.3307259253628</c:v>
                      </c:pt>
                      <c:pt idx="38">
                        <c:v>803.25569256963774</c:v>
                      </c:pt>
                      <c:pt idx="39">
                        <c:v>867.57351780327019</c:v>
                      </c:pt>
                      <c:pt idx="40">
                        <c:v>933.27513822190861</c:v>
                      </c:pt>
                      <c:pt idx="41">
                        <c:v>1000.3516327500753</c:v>
                      </c:pt>
                      <c:pt idx="42">
                        <c:v>1068.7942161161873</c:v>
                      </c:pt>
                      <c:pt idx="43">
                        <c:v>1138.5942328030478</c:v>
                      </c:pt>
                      <c:pt idx="44">
                        <c:v>1209.7431514284494</c:v>
                      </c:pt>
                      <c:pt idx="45">
                        <c:v>1282.2325595157795</c:v>
                      </c:pt>
                      <c:pt idx="46">
                        <c:v>1356.0541586191052</c:v>
                      </c:pt>
                      <c:pt idx="47">
                        <c:v>1431.1997597711897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F5B-4E09-90F1-E61A18B2A20F}"/>
                  </c:ext>
                </c:extLst>
              </c15:ser>
            </c15:filteredScatterSeries>
            <c15:filteredScatterSeries>
              <c15:ser>
                <c:idx val="6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ExpPwLaw'!$AC$7</c15:sqref>
                        </c15:formulaRef>
                      </c:ext>
                    </c:extLst>
                    <c:strCache>
                      <c:ptCount val="1"/>
                      <c:pt idx="0">
                        <c:v>ND_Upper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ExpPwLaw'!$AC$8:$AC$78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136.05627482887513</c:v>
                      </c:pt>
                      <c:pt idx="1">
                        <c:v>136.05627966567477</c:v>
                      </c:pt>
                      <c:pt idx="2">
                        <c:v>136.05693265809839</c:v>
                      </c:pt>
                      <c:pt idx="3">
                        <c:v>136.06691356933808</c:v>
                      </c:pt>
                      <c:pt idx="4">
                        <c:v>136.12822699526561</c:v>
                      </c:pt>
                      <c:pt idx="5">
                        <c:v>136.35808444719913</c:v>
                      </c:pt>
                      <c:pt idx="6">
                        <c:v>136.99210398513546</c:v>
                      </c:pt>
                      <c:pt idx="7">
                        <c:v>138.41187964666958</c:v>
                      </c:pt>
                      <c:pt idx="8">
                        <c:v>141.14636970819177</c:v>
                      </c:pt>
                      <c:pt idx="9">
                        <c:v>145.84497248239248</c:v>
                      </c:pt>
                      <c:pt idx="10">
                        <c:v>153.2270825423187</c:v>
                      </c:pt>
                      <c:pt idx="11">
                        <c:v>164.01702971274403</c:v>
                      </c:pt>
                      <c:pt idx="12">
                        <c:v>178.87461873806504</c:v>
                      </c:pt>
                      <c:pt idx="13">
                        <c:v>198.33066323190647</c:v>
                      </c:pt>
                      <c:pt idx="14">
                        <c:v>222.73477216116336</c:v>
                      </c:pt>
                      <c:pt idx="15">
                        <c:v>252.21995402062066</c:v>
                      </c:pt>
                      <c:pt idx="16">
                        <c:v>286.68592347810227</c:v>
                      </c:pt>
                      <c:pt idx="17">
                        <c:v>325.80069421158839</c:v>
                      </c:pt>
                      <c:pt idx="18">
                        <c:v>369.01830670519735</c:v>
                      </c:pt>
                      <c:pt idx="19">
                        <c:v>415.60942024325874</c:v>
                      </c:pt>
                      <c:pt idx="20">
                        <c:v>464.70095100916103</c:v>
                      </c:pt>
                      <c:pt idx="21">
                        <c:v>515.32086665636496</c:v>
                      </c:pt>
                      <c:pt idx="22">
                        <c:v>566.44453303889691</c:v>
                      </c:pt>
                      <c:pt idx="23">
                        <c:v>617.03953100422882</c:v>
                      </c:pt>
                      <c:pt idx="24">
                        <c:v>666.10651270651192</c:v>
                      </c:pt>
                      <c:pt idx="25">
                        <c:v>712.71435967623461</c:v>
                      </c:pt>
                      <c:pt idx="26">
                        <c:v>756.02857257756818</c:v>
                      </c:pt>
                      <c:pt idx="27">
                        <c:v>795.33241997362961</c:v>
                      </c:pt>
                      <c:pt idx="28">
                        <c:v>830.04087380192641</c:v>
                      </c:pt>
                      <c:pt idx="29">
                        <c:v>859.70775102054131</c:v>
                      </c:pt>
                      <c:pt idx="30">
                        <c:v>884.02676383504877</c:v>
                      </c:pt>
                      <c:pt idx="31">
                        <c:v>902.82736286088698</c:v>
                      </c:pt>
                      <c:pt idx="32">
                        <c:v>916.06635132042516</c:v>
                      </c:pt>
                      <c:pt idx="33">
                        <c:v>923.81626929037634</c:v>
                      </c:pt>
                      <c:pt idx="34">
                        <c:v>926.25151118390727</c:v>
                      </c:pt>
                      <c:pt idx="35">
                        <c:v>923.63306253399242</c:v>
                      </c:pt>
                      <c:pt idx="36">
                        <c:v>916.29263771206365</c:v>
                      </c:pt>
                      <c:pt idx="37">
                        <c:v>904.6168804574238</c:v>
                      </c:pt>
                      <c:pt idx="38">
                        <c:v>889.03216380552703</c:v>
                      </c:pt>
                      <c:pt idx="39">
                        <c:v>869.99040279765336</c:v>
                      </c:pt>
                      <c:pt idx="40">
                        <c:v>847.95617779970758</c:v>
                      </c:pt>
                      <c:pt idx="41">
                        <c:v>823.39536211468135</c:v>
                      </c:pt>
                      <c:pt idx="42">
                        <c:v>796.76535707101925</c:v>
                      </c:pt>
                      <c:pt idx="43">
                        <c:v>768.50696189539008</c:v>
                      </c:pt>
                      <c:pt idx="44">
                        <c:v>739.0378444578273</c:v>
                      </c:pt>
                      <c:pt idx="45">
                        <c:v>708.74753172660144</c:v>
                      </c:pt>
                      <c:pt idx="46">
                        <c:v>677.99380432070438</c:v>
                      </c:pt>
                      <c:pt idx="47">
                        <c:v>647.10035643133187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29A-42E0-ADE0-2A064B8C186A}"/>
                  </c:ext>
                </c:extLst>
              </c15:ser>
            </c15:filteredScatterSeries>
            <c15:filteredScatterSeries>
              <c15:ser>
                <c:idx val="7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ExpPwLaw'!$AD$7</c15:sqref>
                        </c15:formulaRef>
                      </c:ext>
                    </c:extLst>
                    <c:strCache>
                      <c:ptCount val="1"/>
                      <c:pt idx="0">
                        <c:v>ND_Lower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ExpPwLaw'!$AD$8:$AD$78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14.573373820352032</c:v>
                      </c:pt>
                      <c:pt idx="17">
                        <c:v>53.6881445538381</c:v>
                      </c:pt>
                      <c:pt idx="18">
                        <c:v>96.905757047447111</c:v>
                      </c:pt>
                      <c:pt idx="19">
                        <c:v>143.49687058550847</c:v>
                      </c:pt>
                      <c:pt idx="20">
                        <c:v>192.58840135141077</c:v>
                      </c:pt>
                      <c:pt idx="21">
                        <c:v>243.20831699861469</c:v>
                      </c:pt>
                      <c:pt idx="22">
                        <c:v>294.3319833811467</c:v>
                      </c:pt>
                      <c:pt idx="23">
                        <c:v>344.9269813464785</c:v>
                      </c:pt>
                      <c:pt idx="24">
                        <c:v>393.9939630487616</c:v>
                      </c:pt>
                      <c:pt idx="25">
                        <c:v>440.6018100184844</c:v>
                      </c:pt>
                      <c:pt idx="26">
                        <c:v>483.91602291981786</c:v>
                      </c:pt>
                      <c:pt idx="27">
                        <c:v>523.21987031587946</c:v>
                      </c:pt>
                      <c:pt idx="28">
                        <c:v>557.92832414417603</c:v>
                      </c:pt>
                      <c:pt idx="29">
                        <c:v>587.59520136279093</c:v>
                      </c:pt>
                      <c:pt idx="30">
                        <c:v>611.91421417729862</c:v>
                      </c:pt>
                      <c:pt idx="31">
                        <c:v>630.7148132031366</c:v>
                      </c:pt>
                      <c:pt idx="32">
                        <c:v>643.95380166267478</c:v>
                      </c:pt>
                      <c:pt idx="33">
                        <c:v>651.70371963262619</c:v>
                      </c:pt>
                      <c:pt idx="34">
                        <c:v>654.13896152615712</c:v>
                      </c:pt>
                      <c:pt idx="35">
                        <c:v>651.52051287624226</c:v>
                      </c:pt>
                      <c:pt idx="36">
                        <c:v>644.1800880543135</c:v>
                      </c:pt>
                      <c:pt idx="37">
                        <c:v>632.50433079967365</c:v>
                      </c:pt>
                      <c:pt idx="38">
                        <c:v>616.91961414777688</c:v>
                      </c:pt>
                      <c:pt idx="39">
                        <c:v>597.87785313990321</c:v>
                      </c:pt>
                      <c:pt idx="40">
                        <c:v>575.84362814195742</c:v>
                      </c:pt>
                      <c:pt idx="41">
                        <c:v>551.28281245693097</c:v>
                      </c:pt>
                      <c:pt idx="42">
                        <c:v>524.6528074132691</c:v>
                      </c:pt>
                      <c:pt idx="43">
                        <c:v>496.39441223763987</c:v>
                      </c:pt>
                      <c:pt idx="44">
                        <c:v>466.92529480007698</c:v>
                      </c:pt>
                      <c:pt idx="45">
                        <c:v>436.63498206885112</c:v>
                      </c:pt>
                      <c:pt idx="46">
                        <c:v>405.88125466295406</c:v>
                      </c:pt>
                      <c:pt idx="47">
                        <c:v>374.98780677358155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29A-42E0-ADE0-2A064B8C186A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'New_confirmed - ExpPwLaw'!$E$7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noFill/>
                <a:round/>
              </a:ln>
              <a:effectLst/>
            </c:spPr>
          </c:marker>
          <c:xVal>
            <c:numRef>
              <c:f>'New_confirmed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ExpPwLaw'!$E$8:$E$78</c:f>
              <c:numCache>
                <c:formatCode>0</c:formatCode>
                <c:ptCount val="71"/>
                <c:pt idx="0">
                  <c:v>221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C-474A-ABEF-27282C118849}"/>
            </c:ext>
          </c:extLst>
        </c:ser>
        <c:ser>
          <c:idx val="10"/>
          <c:order val="6"/>
          <c:tx>
            <c:strRef>
              <c:f>'New_confirmed - ExpPwLaw'!$P$7</c:f>
              <c:strCache>
                <c:ptCount val="1"/>
                <c:pt idx="0">
                  <c:v>New recovered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yVal>
            <c:numRef>
              <c:f>'New_confirmed - ExpPwLaw'!$P$8:$P$78</c:f>
              <c:numCache>
                <c:formatCode>0</c:formatCode>
                <c:ptCount val="71"/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F5B-4E09-90F1-E61A18B2A20F}"/>
            </c:ext>
          </c:extLst>
        </c:ser>
        <c:ser>
          <c:idx val="4"/>
          <c:order val="10"/>
          <c:tx>
            <c:strRef>
              <c:f>'New_confirmed - ExpPwLaw'!$X$7</c:f>
              <c:strCache>
                <c:ptCount val="1"/>
                <c:pt idx="0">
                  <c:v>New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'New_confirmed - ExpPwLaw'!$X$8:$X$78</c:f>
              <c:numCache>
                <c:formatCode>0</c:formatCode>
                <c:ptCount val="71"/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A-42E0-ADE0-2A064B8C1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8"/>
                <c:order val="4"/>
                <c:tx>
                  <c:strRef>
                    <c:extLst>
                      <c:ext uri="{02D57815-91ED-43cb-92C2-25804820EDAC}">
                        <c15:formulaRef>
                          <c15:sqref>'New_confirmed - ExpPwLaw'!$M$7</c15:sqref>
                        </c15:formulaRef>
                      </c:ext>
                    </c:extLst>
                    <c:strCache>
                      <c:ptCount val="1"/>
                      <c:pt idx="0">
                        <c:v>New_positive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noFill/>
                      <a:round/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'New_confirmed - ExpPwLaw'!$M$8:$M$78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90</c:v>
                      </c:pt>
                      <c:pt idx="2">
                        <c:v>74</c:v>
                      </c:pt>
                      <c:pt idx="3">
                        <c:v>203</c:v>
                      </c:pt>
                      <c:pt idx="4">
                        <c:v>233</c:v>
                      </c:pt>
                      <c:pt idx="5">
                        <c:v>228</c:v>
                      </c:pt>
                      <c:pt idx="6">
                        <c:v>528</c:v>
                      </c:pt>
                      <c:pt idx="7">
                        <c:v>258</c:v>
                      </c:pt>
                      <c:pt idx="8">
                        <c:v>428</c:v>
                      </c:pt>
                      <c:pt idx="9">
                        <c:v>443</c:v>
                      </c:pt>
                      <c:pt idx="10">
                        <c:v>590</c:v>
                      </c:pt>
                      <c:pt idx="11">
                        <c:v>620</c:v>
                      </c:pt>
                      <c:pt idx="12">
                        <c:v>1145</c:v>
                      </c:pt>
                      <c:pt idx="13">
                        <c:v>1326</c:v>
                      </c:pt>
                      <c:pt idx="14">
                        <c:v>1598</c:v>
                      </c:pt>
                      <c:pt idx="15">
                        <c:v>529</c:v>
                      </c:pt>
                      <c:pt idx="16">
                        <c:v>2076</c:v>
                      </c:pt>
                      <c:pt idx="17">
                        <c:v>2249</c:v>
                      </c:pt>
                      <c:pt idx="18">
                        <c:v>2116</c:v>
                      </c:pt>
                      <c:pt idx="19">
                        <c:v>2795</c:v>
                      </c:pt>
                      <c:pt idx="20">
                        <c:v>2853</c:v>
                      </c:pt>
                      <c:pt idx="21">
                        <c:v>2470</c:v>
                      </c:pt>
                      <c:pt idx="22">
                        <c:v>2989</c:v>
                      </c:pt>
                      <c:pt idx="23">
                        <c:v>2648</c:v>
                      </c:pt>
                      <c:pt idx="24">
                        <c:v>4480</c:v>
                      </c:pt>
                      <c:pt idx="25">
                        <c:v>4670</c:v>
                      </c:pt>
                      <c:pt idx="26">
                        <c:v>4821</c:v>
                      </c:pt>
                      <c:pt idx="27">
                        <c:v>3957</c:v>
                      </c:pt>
                      <c:pt idx="28">
                        <c:v>3780</c:v>
                      </c:pt>
                      <c:pt idx="29">
                        <c:v>3612</c:v>
                      </c:pt>
                      <c:pt idx="30">
                        <c:v>3491</c:v>
                      </c:pt>
                      <c:pt idx="31">
                        <c:v>4492</c:v>
                      </c:pt>
                      <c:pt idx="32">
                        <c:v>4401</c:v>
                      </c:pt>
                      <c:pt idx="33">
                        <c:v>3651</c:v>
                      </c:pt>
                      <c:pt idx="34">
                        <c:v>3815</c:v>
                      </c:pt>
                      <c:pt idx="35">
                        <c:v>1648</c:v>
                      </c:pt>
                      <c:pt idx="36">
                        <c:v>2107</c:v>
                      </c:pt>
                      <c:pt idx="37">
                        <c:v>2937</c:v>
                      </c:pt>
                      <c:pt idx="38">
                        <c:v>2477</c:v>
                      </c:pt>
                      <c:pt idx="39">
                        <c:v>2339</c:v>
                      </c:pt>
                      <c:pt idx="40">
                        <c:v>2886</c:v>
                      </c:pt>
                      <c:pt idx="41">
                        <c:v>2972</c:v>
                      </c:pt>
                      <c:pt idx="42">
                        <c:v>1941</c:v>
                      </c:pt>
                      <c:pt idx="43">
                        <c:v>880</c:v>
                      </c:pt>
                      <c:pt idx="44">
                        <c:v>1195</c:v>
                      </c:pt>
                      <c:pt idx="45">
                        <c:v>1615</c:v>
                      </c:pt>
                      <c:pt idx="46">
                        <c:v>1396</c:v>
                      </c:pt>
                      <c:pt idx="47">
                        <c:v>1996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BF5B-4E09-90F1-E61A18B2A20F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 from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Daily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'New_confirmed - ExpPwLaw'!$AF$38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'New_confirmed - ExpPwLaw'!$AG$31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ExpPwLaw'!$AG$38</c:f>
              <c:numCache>
                <c:formatCode>0.0000</c:formatCode>
                <c:ptCount val="1"/>
                <c:pt idx="0">
                  <c:v>0.97660307669138768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A-4CDF-A252-08C3586154EF}"/>
            </c:ext>
          </c:extLst>
        </c:ser>
        <c:ser>
          <c:idx val="1"/>
          <c:order val="1"/>
          <c:tx>
            <c:strRef>
              <c:f>'New_confirmed - ExpPwLaw'!$AF$40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'New_confirmed - ExpPwLaw'!$AG$31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ExpPwLaw'!$AG$40</c:f>
              <c:numCache>
                <c:formatCode>0</c:formatCode>
                <c:ptCount val="1"/>
                <c:pt idx="0">
                  <c:v>136.05627482887513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2A-4CDF-A252-08C3586154EF}"/>
            </c:ext>
          </c:extLst>
        </c:ser>
        <c:ser>
          <c:idx val="2"/>
          <c:order val="2"/>
          <c:tx>
            <c:strRef>
              <c:f>'New_confirmed - ExpPwLaw'!$AF$41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'New_confirmed - ExpPwLaw'!$AG$31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ExpPwLaw'!$AG$41</c:f>
              <c:numCache>
                <c:formatCode>0</c:formatCode>
                <c:ptCount val="1"/>
                <c:pt idx="0">
                  <c:v>790.19721466421186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2A-4CDF-A252-08C3586154EF}"/>
            </c:ext>
          </c:extLst>
        </c:ser>
        <c:ser>
          <c:idx val="3"/>
          <c:order val="3"/>
          <c:tx>
            <c:strRef>
              <c:f>'New_confirmed - ExpPwLaw'!$AF$42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'New_confirmed - ExpPwLaw'!$AG$31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ExpPwLaw'!$AG$42</c:f>
              <c:numCache>
                <c:formatCode>[$-409]mmmm\ d\,\ yyyy;@</c:formatCode>
                <c:ptCount val="1"/>
                <c:pt idx="0">
                  <c:v>43919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2A-4CDF-A252-08C358615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'New_confirmed - ExpPwLaw'!$AF$26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'New_confirmed - ExpPwLaw'!$AG$19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ExpPwLaw'!$AG$26</c:f>
              <c:numCache>
                <c:formatCode>0.0000</c:formatCode>
                <c:ptCount val="1"/>
                <c:pt idx="0">
                  <c:v>0.91213357683276775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8-44CB-9A20-7F422326D3EE}"/>
            </c:ext>
          </c:extLst>
        </c:ser>
        <c:ser>
          <c:idx val="1"/>
          <c:order val="1"/>
          <c:tx>
            <c:strRef>
              <c:f>'New_confirmed - ExpPwLaw'!$AF$28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'New_confirmed - ExpPwLaw'!$AG$19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ExpPwLaw'!$AG$28</c:f>
              <c:numCache>
                <c:formatCode>0</c:formatCode>
                <c:ptCount val="1"/>
                <c:pt idx="0">
                  <c:v>499.81973239006709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08-44CB-9A20-7F422326D3EE}"/>
            </c:ext>
          </c:extLst>
        </c:ser>
        <c:ser>
          <c:idx val="2"/>
          <c:order val="2"/>
          <c:tx>
            <c:strRef>
              <c:f>'New_confirmed - ExpPwLaw'!$AF$29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'New_confirmed - ExpPwLaw'!$AG$19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ExpPwLaw'!$AG$29</c:f>
              <c:numCache>
                <c:formatCode>0</c:formatCode>
                <c:ptCount val="1"/>
                <c:pt idx="0">
                  <c:v>264896.66418187489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08-44CB-9A20-7F422326D3EE}"/>
            </c:ext>
          </c:extLst>
        </c:ser>
        <c:ser>
          <c:idx val="3"/>
          <c:order val="3"/>
          <c:tx>
            <c:strRef>
              <c:f>'New_confirmed - ExpPwLaw'!$AF$30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'New_confirmed - ExpPwLaw'!$AG$19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ExpPwLaw'!$AG$30</c:f>
              <c:numCache>
                <c:formatCode>[$-409]mmmm\ d\,\ yyyy;@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08-44CB-9A20-7F422326D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</a:ln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'New_confirmed - ExpPwLaw'!$AF$14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'New_confirmed - ExpPwLaw'!$AG$7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ExpPwLaw'!$AG$14</c:f>
              <c:numCache>
                <c:formatCode>0.0000</c:formatCode>
                <c:ptCount val="1"/>
                <c:pt idx="0">
                  <c:v>0.96557083932820797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1-4EF6-A2FB-C72F92593B72}"/>
            </c:ext>
          </c:extLst>
        </c:ser>
        <c:ser>
          <c:idx val="1"/>
          <c:order val="1"/>
          <c:tx>
            <c:strRef>
              <c:f>'New_confirmed - ExpPwLaw'!$AF$16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'New_confirmed - ExpPwLaw'!$AG$7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ExpPwLaw'!$AG$16</c:f>
              <c:numCache>
                <c:formatCode>0</c:formatCode>
                <c:ptCount val="1"/>
                <c:pt idx="0">
                  <c:v>1152.3087841018491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31-4EF6-A2FB-C72F92593B72}"/>
            </c:ext>
          </c:extLst>
        </c:ser>
        <c:ser>
          <c:idx val="2"/>
          <c:order val="2"/>
          <c:tx>
            <c:strRef>
              <c:f>'New_confirmed - ExpPwLaw'!$AF$17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'New_confirmed - ExpPwLaw'!$AG$7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ExpPwLaw'!$AG$17</c:f>
              <c:numCache>
                <c:formatCode>0</c:formatCode>
                <c:ptCount val="1"/>
                <c:pt idx="0">
                  <c:v>5458.7730144130437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31-4EF6-A2FB-C72F92593B72}"/>
            </c:ext>
          </c:extLst>
        </c:ser>
        <c:ser>
          <c:idx val="3"/>
          <c:order val="3"/>
          <c:tx>
            <c:strRef>
              <c:f>'New_confirmed - ExpPwLaw'!$AF$18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'New_confirmed - ExpPwLaw'!$AG$7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ExpPwLaw'!$AG$18</c:f>
              <c:numCache>
                <c:formatCode>[$-409]mmmm\ d\,\ yyyy;@</c:formatCode>
                <c:ptCount val="1"/>
                <c:pt idx="0">
                  <c:v>43916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31-4EF6-A2FB-C72F92593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</a:ln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</a:t>
            </a:r>
          </a:p>
          <a:p>
            <a:pPr>
              <a:defRPr/>
            </a:pPr>
            <a:r>
              <a:rPr lang="it-IT"/>
              <a:t>Cumulative Cases and Deaths - Power</a:t>
            </a:r>
            <a:r>
              <a:rPr lang="it-IT" baseline="0"/>
              <a:t> law w/ Exp. cut-off model fit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'Cumul_confirmed - ExpPwLaw'!$D$6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strRef>
              <c:f>'Cumul_confirmed - ExpPwLaw'!$C$7:$C$70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ExpPwLaw'!$D$7:$D$70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229</c:v>
                </c:pt>
                <c:pt idx="2">
                  <c:v>322</c:v>
                </c:pt>
                <c:pt idx="3">
                  <c:v>400</c:v>
                </c:pt>
                <c:pt idx="4">
                  <c:v>650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15113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80539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124632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143626</c:v>
                </c:pt>
                <c:pt idx="47">
                  <c:v>147577</c:v>
                </c:pt>
                <c:pt idx="48">
                  <c:v>152271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DE-4886-887F-F71EDE298C94}"/>
            </c:ext>
          </c:extLst>
        </c:ser>
        <c:ser>
          <c:idx val="1"/>
          <c:order val="1"/>
          <c:tx>
            <c:strRef>
              <c:f>'Cumul_confirmed - ExpPwLaw'!$E$6</c:f>
              <c:strCache>
                <c:ptCount val="1"/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'Cumul_confirmed - ExpPwLaw'!$C$7:$C$70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ExpPwLaw'!$E$7:$E$70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221</c:v>
                </c:pt>
                <c:pt idx="2">
                  <c:v>93</c:v>
                </c:pt>
                <c:pt idx="3">
                  <c:v>78</c:v>
                </c:pt>
                <c:pt idx="4">
                  <c:v>250</c:v>
                </c:pt>
                <c:pt idx="5">
                  <c:v>238</c:v>
                </c:pt>
                <c:pt idx="6">
                  <c:v>240</c:v>
                </c:pt>
                <c:pt idx="7">
                  <c:v>566</c:v>
                </c:pt>
                <c:pt idx="8">
                  <c:v>342</c:v>
                </c:pt>
                <c:pt idx="9">
                  <c:v>466</c:v>
                </c:pt>
                <c:pt idx="10">
                  <c:v>587</c:v>
                </c:pt>
                <c:pt idx="11">
                  <c:v>769</c:v>
                </c:pt>
                <c:pt idx="12">
                  <c:v>778</c:v>
                </c:pt>
                <c:pt idx="13">
                  <c:v>1247</c:v>
                </c:pt>
                <c:pt idx="14">
                  <c:v>1492</c:v>
                </c:pt>
                <c:pt idx="15">
                  <c:v>1797</c:v>
                </c:pt>
                <c:pt idx="16">
                  <c:v>977</c:v>
                </c:pt>
                <c:pt idx="17">
                  <c:v>2313</c:v>
                </c:pt>
                <c:pt idx="18">
                  <c:v>2651</c:v>
                </c:pt>
                <c:pt idx="19">
                  <c:v>2547</c:v>
                </c:pt>
                <c:pt idx="20">
                  <c:v>3497</c:v>
                </c:pt>
                <c:pt idx="21">
                  <c:v>3590</c:v>
                </c:pt>
                <c:pt idx="22">
                  <c:v>3233</c:v>
                </c:pt>
                <c:pt idx="23">
                  <c:v>3526</c:v>
                </c:pt>
                <c:pt idx="24">
                  <c:v>4207</c:v>
                </c:pt>
                <c:pt idx="25">
                  <c:v>5322</c:v>
                </c:pt>
                <c:pt idx="26">
                  <c:v>5986</c:v>
                </c:pt>
                <c:pt idx="27">
                  <c:v>6557</c:v>
                </c:pt>
                <c:pt idx="28">
                  <c:v>5560</c:v>
                </c:pt>
                <c:pt idx="29">
                  <c:v>4789</c:v>
                </c:pt>
                <c:pt idx="30">
                  <c:v>5249</c:v>
                </c:pt>
                <c:pt idx="31">
                  <c:v>5210</c:v>
                </c:pt>
                <c:pt idx="32">
                  <c:v>6153</c:v>
                </c:pt>
                <c:pt idx="33">
                  <c:v>5959</c:v>
                </c:pt>
                <c:pt idx="34">
                  <c:v>5974</c:v>
                </c:pt>
                <c:pt idx="35">
                  <c:v>5217</c:v>
                </c:pt>
                <c:pt idx="36">
                  <c:v>4050</c:v>
                </c:pt>
                <c:pt idx="37">
                  <c:v>4053</c:v>
                </c:pt>
                <c:pt idx="38">
                  <c:v>4782</c:v>
                </c:pt>
                <c:pt idx="39">
                  <c:v>4668</c:v>
                </c:pt>
                <c:pt idx="40">
                  <c:v>4585</c:v>
                </c:pt>
                <c:pt idx="41">
                  <c:v>4805</c:v>
                </c:pt>
                <c:pt idx="42">
                  <c:v>4316</c:v>
                </c:pt>
                <c:pt idx="43">
                  <c:v>3599</c:v>
                </c:pt>
                <c:pt idx="44">
                  <c:v>3039</c:v>
                </c:pt>
                <c:pt idx="45">
                  <c:v>3836</c:v>
                </c:pt>
                <c:pt idx="46">
                  <c:v>4204</c:v>
                </c:pt>
                <c:pt idx="47">
                  <c:v>3951</c:v>
                </c:pt>
                <c:pt idx="48">
                  <c:v>4694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DE-4886-887F-F71EDE298C94}"/>
            </c:ext>
          </c:extLst>
        </c:ser>
        <c:ser>
          <c:idx val="2"/>
          <c:order val="2"/>
          <c:tx>
            <c:strRef>
              <c:f>'Cumul_confirmed - ExpPwLaw'!$F$6</c:f>
              <c:strCache>
                <c:ptCount val="1"/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'Cumul_confirmed - ExpPwLaw'!$C$7:$C$70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ExpPwLaw'!$F$7:$F$70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229</c:v>
                </c:pt>
                <c:pt idx="2">
                  <c:v>322</c:v>
                </c:pt>
                <c:pt idx="3">
                  <c:v>400</c:v>
                </c:pt>
                <c:pt idx="4">
                  <c:v>650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15113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80539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124632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143626</c:v>
                </c:pt>
                <c:pt idx="47">
                  <c:v>147577</c:v>
                </c:pt>
                <c:pt idx="48">
                  <c:v>152271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DE-4886-887F-F71EDE298C94}"/>
            </c:ext>
          </c:extLst>
        </c:ser>
        <c:ser>
          <c:idx val="3"/>
          <c:order val="3"/>
          <c:tx>
            <c:strRef>
              <c:f>'Cumul_confirmed - ExpPwLaw'!$G$6</c:f>
              <c:strCache>
                <c:ptCount val="1"/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'Cumul_confirmed - ExpPwLaw'!$C$7:$C$70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ExpPwLaw'!$G$7:$G$70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0</c:v>
                </c:pt>
                <c:pt idx="2">
                  <c:v>5.119566311204856E-3</c:v>
                </c:pt>
                <c:pt idx="3">
                  <c:v>0.27146777969793007</c:v>
                </c:pt>
                <c:pt idx="4">
                  <c:v>2.6191260751090919</c:v>
                </c:pt>
                <c:pt idx="5">
                  <c:v>12.581014922400039</c:v>
                </c:pt>
                <c:pt idx="6">
                  <c:v>41.248026972281814</c:v>
                </c:pt>
                <c:pt idx="7">
                  <c:v>106.23026588567843</c:v>
                </c:pt>
                <c:pt idx="8">
                  <c:v>231.63716887138511</c:v>
                </c:pt>
                <c:pt idx="9">
                  <c:v>447.21776605621812</c:v>
                </c:pt>
                <c:pt idx="10">
                  <c:v>786.89929630176505</c:v>
                </c:pt>
                <c:pt idx="11">
                  <c:v>1286.9791896371814</c:v>
                </c:pt>
                <c:pt idx="12">
                  <c:v>1984.1996991950944</c:v>
                </c:pt>
                <c:pt idx="13">
                  <c:v>2913.8894279465298</c:v>
                </c:pt>
                <c:pt idx="14">
                  <c:v>4108.3055736474607</c:v>
                </c:pt>
                <c:pt idx="15">
                  <c:v>5595.2628144807941</c:v>
                </c:pt>
                <c:pt idx="16">
                  <c:v>7397.0934131900312</c:v>
                </c:pt>
                <c:pt idx="17">
                  <c:v>9529.9499350437127</c:v>
                </c:pt>
                <c:pt idx="18">
                  <c:v>12003.43709687599</c:v>
                </c:pt>
                <c:pt idx="19">
                  <c:v>14820.542009897721</c:v>
                </c:pt>
                <c:pt idx="20">
                  <c:v>17977.821361882288</c:v>
                </c:pt>
                <c:pt idx="21">
                  <c:v>21465.798677750488</c:v>
                </c:pt>
                <c:pt idx="22">
                  <c:v>25269.523493608795</c:v>
                </c:pt>
                <c:pt idx="23">
                  <c:v>29369.245978759023</c:v>
                </c:pt>
                <c:pt idx="24">
                  <c:v>33741.1642961045</c:v>
                </c:pt>
                <c:pt idx="25">
                  <c:v>38358.207022803355</c:v>
                </c:pt>
                <c:pt idx="26">
                  <c:v>43190.818641041711</c:v>
                </c:pt>
                <c:pt idx="27">
                  <c:v>48207.721982163923</c:v>
                </c:pt>
                <c:pt idx="28">
                  <c:v>53376.63722328622</c:v>
                </c:pt>
                <c:pt idx="29">
                  <c:v>58664.942358632987</c:v>
                </c:pt>
                <c:pt idx="30">
                  <c:v>64040.264849971296</c:v>
                </c:pt>
                <c:pt idx="31">
                  <c:v>69470.998321807594</c:v>
                </c:pt>
                <c:pt idx="32">
                  <c:v>74926.741679377112</c:v>
                </c:pt>
                <c:pt idx="33">
                  <c:v>80378.660900626346</c:v>
                </c:pt>
                <c:pt idx="34">
                  <c:v>85799.776023257815</c:v>
                </c:pt>
                <c:pt idx="35">
                  <c:v>91165.177567266073</c:v>
                </c:pt>
                <c:pt idx="36">
                  <c:v>96452.17786465543</c:v>
                </c:pt>
                <c:pt idx="37">
                  <c:v>101640.40357765794</c:v>
                </c:pt>
                <c:pt idx="38">
                  <c:v>106711.83614129333</c:v>
                </c:pt>
                <c:pt idx="39">
                  <c:v>111650.80702920166</c:v>
                </c:pt>
                <c:pt idx="40">
                  <c:v>116443.95467232191</c:v>
                </c:pt>
                <c:pt idx="41">
                  <c:v>121080.14961131179</c:v>
                </c:pt>
                <c:pt idx="42">
                  <c:v>125550.39408234193</c:v>
                </c:pt>
                <c:pt idx="43">
                  <c:v>129847.70176227021</c:v>
                </c:pt>
                <c:pt idx="44">
                  <c:v>133966.9628670513</c:v>
                </c:pt>
                <c:pt idx="45">
                  <c:v>137904.79923446593</c:v>
                </c:pt>
                <c:pt idx="46">
                  <c:v>141659.41345127128</c:v>
                </c:pt>
                <c:pt idx="47">
                  <c:v>145230.43552324554</c:v>
                </c:pt>
                <c:pt idx="48">
                  <c:v>148618.77004758496</c:v>
                </c:pt>
                <c:pt idx="49">
                  <c:v>151826.44634033646</c:v>
                </c:pt>
                <c:pt idx="50">
                  <c:v>154856.47350352912</c:v>
                </c:pt>
                <c:pt idx="51">
                  <c:v>157712.70199137798</c:v>
                </c:pt>
                <c:pt idx="52">
                  <c:v>160399.69285426833</c:v>
                </c:pt>
                <c:pt idx="53">
                  <c:v>162922.59550346446</c:v>
                </c:pt>
                <c:pt idx="54">
                  <c:v>165287.03454761836</c:v>
                </c:pt>
                <c:pt idx="55">
                  <c:v>167499.00600225059</c:v>
                </c:pt>
                <c:pt idx="56">
                  <c:v>169564.7829628438</c:v>
                </c:pt>
                <c:pt idx="57">
                  <c:v>171490.83065798503</c:v>
                </c:pt>
                <c:pt idx="58">
                  <c:v>173283.73065782123</c:v>
                </c:pt>
                <c:pt idx="59">
                  <c:v>174950.11390155816</c:v>
                </c:pt>
                <c:pt idx="60">
                  <c:v>176496.60212242982</c:v>
                </c:pt>
                <c:pt idx="61">
                  <c:v>177929.75718619788</c:v>
                </c:pt>
                <c:pt idx="62">
                  <c:v>179256.03781665841</c:v>
                </c:pt>
                <c:pt idx="63">
                  <c:v>180481.76315589418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DE-4886-887F-F71EDE298C94}"/>
            </c:ext>
          </c:extLst>
        </c:ser>
        <c:ser>
          <c:idx val="4"/>
          <c:order val="4"/>
          <c:tx>
            <c:strRef>
              <c:f>'Cumul_confirmed - ExpPwLaw'!$H$6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'Cumul_confirmed - ExpPwLaw'!$H$7:$H$70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0</c:v>
                </c:pt>
                <c:pt idx="2">
                  <c:v>2.9635064625462445E-2</c:v>
                </c:pt>
                <c:pt idx="3">
                  <c:v>0.76734051582345641</c:v>
                </c:pt>
                <c:pt idx="4">
                  <c:v>4.8181537489856829</c:v>
                </c:pt>
                <c:pt idx="5">
                  <c:v>16.937945949303295</c:v>
                </c:pt>
                <c:pt idx="6">
                  <c:v>43.331816378348321</c:v>
                </c:pt>
                <c:pt idx="7">
                  <c:v>90.66582741108725</c:v>
                </c:pt>
                <c:pt idx="8">
                  <c:v>165.13112969378341</c:v>
                </c:pt>
                <c:pt idx="9">
                  <c:v>271.71529104105747</c:v>
                </c:pt>
                <c:pt idx="10">
                  <c:v>413.72987098532269</c:v>
                </c:pt>
                <c:pt idx="11">
                  <c:v>592.58491645239997</c:v>
                </c:pt>
                <c:pt idx="12">
                  <c:v>807.77203421625541</c:v>
                </c:pt>
                <c:pt idx="13">
                  <c:v>1057.006577615962</c:v>
                </c:pt>
                <c:pt idx="14">
                  <c:v>1336.4788488608388</c:v>
                </c:pt>
                <c:pt idx="15">
                  <c:v>1641.1692628094859</c:v>
                </c:pt>
                <c:pt idx="16">
                  <c:v>1965.1900888826895</c:v>
                </c:pt>
                <c:pt idx="17">
                  <c:v>2302.1248027775509</c:v>
                </c:pt>
                <c:pt idx="18">
                  <c:v>2645.3441398590858</c:v>
                </c:pt>
                <c:pt idx="19">
                  <c:v>2988.2850639446206</c:v>
                </c:pt>
                <c:pt idx="20">
                  <c:v>3324.6847965080492</c:v>
                </c:pt>
                <c:pt idx="21">
                  <c:v>3648.7667453621507</c:v>
                </c:pt>
                <c:pt idx="22">
                  <c:v>3955.3787019382548</c:v>
                </c:pt>
                <c:pt idx="23">
                  <c:v>4240.0861789373339</c:v>
                </c:pt>
                <c:pt idx="24">
                  <c:v>4499.2253983212295</c:v>
                </c:pt>
                <c:pt idx="25">
                  <c:v>4729.9213796272743</c:v>
                </c:pt>
                <c:pt idx="26">
                  <c:v>4930.0769764500619</c:v>
                </c:pt>
                <c:pt idx="27">
                  <c:v>5098.3387031947823</c:v>
                </c:pt>
                <c:pt idx="28">
                  <c:v>5234.0449029012634</c:v>
                </c:pt>
                <c:pt idx="29">
                  <c:v>5337.1613271794922</c:v>
                </c:pt>
                <c:pt idx="30">
                  <c:v>5408.2086084537777</c:v>
                </c:pt>
                <c:pt idx="31">
                  <c:v>5448.1854624466678</c:v>
                </c:pt>
                <c:pt idx="32">
                  <c:v>5458.4908095228848</c:v>
                </c:pt>
                <c:pt idx="33">
                  <c:v>5440.8473787456523</c:v>
                </c:pt>
                <c:pt idx="34">
                  <c:v>5397.2287794506301</c:v>
                </c:pt>
                <c:pt idx="35">
                  <c:v>5329.7915047492615</c:v>
                </c:pt>
                <c:pt idx="36">
                  <c:v>5240.8128762099104</c:v>
                </c:pt>
                <c:pt idx="37">
                  <c:v>5132.6355508661927</c:v>
                </c:pt>
                <c:pt idx="38">
                  <c:v>5007.6188890876138</c:v>
                </c:pt>
                <c:pt idx="39">
                  <c:v>4868.0972208090116</c:v>
                </c:pt>
                <c:pt idx="40">
                  <c:v>4716.3448427673075</c:v>
                </c:pt>
                <c:pt idx="41">
                  <c:v>4554.5474245326795</c:v>
                </c:pt>
                <c:pt idx="42">
                  <c:v>4384.7793897264064</c:v>
                </c:pt>
                <c:pt idx="43">
                  <c:v>4208.9867644066426</c:v>
                </c:pt>
                <c:pt idx="44">
                  <c:v>4028.9749409870592</c:v>
                </c:pt>
                <c:pt idx="45">
                  <c:v>3846.400787500997</c:v>
                </c:pt>
                <c:pt idx="46">
                  <c:v>3662.7685333569298</c:v>
                </c:pt>
                <c:pt idx="47">
                  <c:v>3479.4288793754008</c:v>
                </c:pt>
                <c:pt idx="48">
                  <c:v>3297.580807887382</c:v>
                </c:pt>
                <c:pt idx="49">
                  <c:v>3118.2756046388517</c:v>
                </c:pt>
                <c:pt idx="50">
                  <c:v>2942.4226453721358</c:v>
                </c:pt>
                <c:pt idx="51">
                  <c:v>2770.79654394007</c:v>
                </c:pt>
                <c:pt idx="52">
                  <c:v>2604.0453038108808</c:v>
                </c:pt>
                <c:pt idx="53">
                  <c:v>2442.6991594001174</c:v>
                </c:pt>
                <c:pt idx="54">
                  <c:v>2287.1798367308702</c:v>
                </c:pt>
                <c:pt idx="55">
                  <c:v>2137.8100036814189</c:v>
                </c:pt>
                <c:pt idx="56">
                  <c:v>1994.8227179841908</c:v>
                </c:pt>
                <c:pt idx="57">
                  <c:v>1858.3707158516047</c:v>
                </c:pt>
                <c:pt idx="58">
                  <c:v>1728.5354154455217</c:v>
                </c:pt>
                <c:pt idx="59">
                  <c:v>1605.3355373320571</c:v>
                </c:pt>
                <c:pt idx="60">
                  <c:v>1488.7352686259444</c:v>
                </c:pt>
                <c:pt idx="61">
                  <c:v>1378.6519188581667</c:v>
                </c:pt>
                <c:pt idx="62">
                  <c:v>1274.963033878425</c:v>
                </c:pt>
                <c:pt idx="63">
                  <c:v>1177.5129495498984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DE-4886-887F-F71EDE298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'Cumul_confirmed - ExpPwLaw'!$I$6</c:f>
              <c:strCache>
                <c:ptCount val="1"/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ExpPwLaw'!$I$7:$I$70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0</c:v>
                </c:pt>
                <c:pt idx="2">
                  <c:v>5.119566311204856E-3</c:v>
                </c:pt>
                <c:pt idx="3">
                  <c:v>0.27146777969793007</c:v>
                </c:pt>
                <c:pt idx="4">
                  <c:v>2.6191260751090919</c:v>
                </c:pt>
                <c:pt idx="5">
                  <c:v>12.581014922400039</c:v>
                </c:pt>
                <c:pt idx="6">
                  <c:v>41.248026972281814</c:v>
                </c:pt>
                <c:pt idx="7">
                  <c:v>106.23026588567843</c:v>
                </c:pt>
                <c:pt idx="8">
                  <c:v>231.63716887138511</c:v>
                </c:pt>
                <c:pt idx="9">
                  <c:v>447.21776605621812</c:v>
                </c:pt>
                <c:pt idx="10">
                  <c:v>786.89929630176505</c:v>
                </c:pt>
                <c:pt idx="11">
                  <c:v>1286.9791896371814</c:v>
                </c:pt>
                <c:pt idx="12">
                  <c:v>1984.1996991950944</c:v>
                </c:pt>
                <c:pt idx="13">
                  <c:v>2913.8894279465298</c:v>
                </c:pt>
                <c:pt idx="14">
                  <c:v>4108.3055736474607</c:v>
                </c:pt>
                <c:pt idx="15">
                  <c:v>5595.2628144807941</c:v>
                </c:pt>
                <c:pt idx="16">
                  <c:v>7397.0934131900312</c:v>
                </c:pt>
                <c:pt idx="17">
                  <c:v>9529.9499350437127</c:v>
                </c:pt>
                <c:pt idx="18">
                  <c:v>12003.43709687599</c:v>
                </c:pt>
                <c:pt idx="19">
                  <c:v>14820.542009897721</c:v>
                </c:pt>
                <c:pt idx="20">
                  <c:v>17977.821361882288</c:v>
                </c:pt>
                <c:pt idx="21">
                  <c:v>21465.798677750488</c:v>
                </c:pt>
                <c:pt idx="22">
                  <c:v>25269.523493608795</c:v>
                </c:pt>
                <c:pt idx="23">
                  <c:v>29369.245978759023</c:v>
                </c:pt>
                <c:pt idx="24">
                  <c:v>33741.1642961045</c:v>
                </c:pt>
                <c:pt idx="25">
                  <c:v>38358.207022803355</c:v>
                </c:pt>
                <c:pt idx="26">
                  <c:v>43190.818641041711</c:v>
                </c:pt>
                <c:pt idx="27">
                  <c:v>48207.721982163923</c:v>
                </c:pt>
                <c:pt idx="28">
                  <c:v>53376.63722328622</c:v>
                </c:pt>
                <c:pt idx="29">
                  <c:v>58664.942358632987</c:v>
                </c:pt>
                <c:pt idx="30">
                  <c:v>64040.264849971296</c:v>
                </c:pt>
                <c:pt idx="31">
                  <c:v>69470.998321807594</c:v>
                </c:pt>
                <c:pt idx="32">
                  <c:v>74926.741679377112</c:v>
                </c:pt>
                <c:pt idx="33">
                  <c:v>80378.660900626346</c:v>
                </c:pt>
                <c:pt idx="34">
                  <c:v>85799.776023257815</c:v>
                </c:pt>
                <c:pt idx="35">
                  <c:v>91165.177567266073</c:v>
                </c:pt>
                <c:pt idx="36">
                  <c:v>96452.17786465543</c:v>
                </c:pt>
                <c:pt idx="37">
                  <c:v>101640.40357765794</c:v>
                </c:pt>
                <c:pt idx="38">
                  <c:v>106711.83614129333</c:v>
                </c:pt>
                <c:pt idx="39">
                  <c:v>111650.80702920166</c:v>
                </c:pt>
                <c:pt idx="40">
                  <c:v>116443.95467232191</c:v>
                </c:pt>
                <c:pt idx="41">
                  <c:v>121080.14961131179</c:v>
                </c:pt>
                <c:pt idx="42">
                  <c:v>125550.39408234193</c:v>
                </c:pt>
                <c:pt idx="43">
                  <c:v>129847.70176227021</c:v>
                </c:pt>
                <c:pt idx="44">
                  <c:v>133966.9628670513</c:v>
                </c:pt>
                <c:pt idx="45">
                  <c:v>137904.79923446593</c:v>
                </c:pt>
                <c:pt idx="46">
                  <c:v>141659.41345127128</c:v>
                </c:pt>
                <c:pt idx="47">
                  <c:v>145230.43552324554</c:v>
                </c:pt>
                <c:pt idx="48">
                  <c:v>148618.77004758496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BDE-4886-887F-F71EDE298C94}"/>
            </c:ext>
          </c:extLst>
        </c:ser>
        <c:ser>
          <c:idx val="6"/>
          <c:order val="6"/>
          <c:tx>
            <c:strRef>
              <c:f>'Cumul_confirmed - ExpPwLaw'!$J$6</c:f>
              <c:strCache>
                <c:ptCount val="1"/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ExpPwLaw'!$J$7:$J$70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7330.6355560556203</c:v>
                </c:pt>
                <c:pt idx="2">
                  <c:v>7330.6406756219312</c:v>
                </c:pt>
                <c:pt idx="3">
                  <c:v>7330.9070238353179</c:v>
                </c:pt>
                <c:pt idx="4">
                  <c:v>7333.2546821307296</c:v>
                </c:pt>
                <c:pt idx="5">
                  <c:v>7343.2165709780202</c:v>
                </c:pt>
                <c:pt idx="6">
                  <c:v>7371.8835830279022</c:v>
                </c:pt>
                <c:pt idx="7">
                  <c:v>7436.8658219412991</c:v>
                </c:pt>
                <c:pt idx="8">
                  <c:v>7562.2727249270056</c:v>
                </c:pt>
                <c:pt idx="9">
                  <c:v>7777.8533221118387</c:v>
                </c:pt>
                <c:pt idx="10">
                  <c:v>8117.5348523573857</c:v>
                </c:pt>
                <c:pt idx="11">
                  <c:v>8617.6147456928011</c:v>
                </c:pt>
                <c:pt idx="12">
                  <c:v>9314.8352552507149</c:v>
                </c:pt>
                <c:pt idx="13">
                  <c:v>10244.52498400215</c:v>
                </c:pt>
                <c:pt idx="14">
                  <c:v>11438.941129703082</c:v>
                </c:pt>
                <c:pt idx="15">
                  <c:v>12925.898370536415</c:v>
                </c:pt>
                <c:pt idx="16">
                  <c:v>14727.728969245651</c:v>
                </c:pt>
                <c:pt idx="17">
                  <c:v>16860.585491099333</c:v>
                </c:pt>
                <c:pt idx="18">
                  <c:v>19334.072652931609</c:v>
                </c:pt>
                <c:pt idx="19">
                  <c:v>22151.177565953341</c:v>
                </c:pt>
                <c:pt idx="20">
                  <c:v>25308.45691793791</c:v>
                </c:pt>
                <c:pt idx="21">
                  <c:v>28796.434233806111</c:v>
                </c:pt>
                <c:pt idx="22">
                  <c:v>32600.159049664413</c:v>
                </c:pt>
                <c:pt idx="23">
                  <c:v>36699.881534814645</c:v>
                </c:pt>
                <c:pt idx="24">
                  <c:v>41071.799852160118</c:v>
                </c:pt>
                <c:pt idx="25">
                  <c:v>45688.842578858974</c:v>
                </c:pt>
                <c:pt idx="26">
                  <c:v>50521.45419709733</c:v>
                </c:pt>
                <c:pt idx="27">
                  <c:v>55538.357538219541</c:v>
                </c:pt>
                <c:pt idx="28">
                  <c:v>60707.272779341838</c:v>
                </c:pt>
                <c:pt idx="29">
                  <c:v>65995.577914688605</c:v>
                </c:pt>
                <c:pt idx="30">
                  <c:v>71370.900406026922</c:v>
                </c:pt>
                <c:pt idx="31">
                  <c:v>76801.63387786322</c:v>
                </c:pt>
                <c:pt idx="32">
                  <c:v>82257.377235432738</c:v>
                </c:pt>
                <c:pt idx="33">
                  <c:v>87709.296456681972</c:v>
                </c:pt>
                <c:pt idx="34">
                  <c:v>93130.411579313441</c:v>
                </c:pt>
                <c:pt idx="35">
                  <c:v>98495.813123321699</c:v>
                </c:pt>
                <c:pt idx="36">
                  <c:v>103782.81342071106</c:v>
                </c:pt>
                <c:pt idx="37">
                  <c:v>108971.03913371357</c:v>
                </c:pt>
                <c:pt idx="38">
                  <c:v>114042.47169734896</c:v>
                </c:pt>
                <c:pt idx="39">
                  <c:v>118981.44258525729</c:v>
                </c:pt>
                <c:pt idx="40">
                  <c:v>123774.59022837754</c:v>
                </c:pt>
                <c:pt idx="41">
                  <c:v>128410.78516736742</c:v>
                </c:pt>
                <c:pt idx="42">
                  <c:v>132881.02963839754</c:v>
                </c:pt>
                <c:pt idx="43">
                  <c:v>137178.33731832582</c:v>
                </c:pt>
                <c:pt idx="44">
                  <c:v>141297.59842310692</c:v>
                </c:pt>
                <c:pt idx="45">
                  <c:v>145235.43479052154</c:v>
                </c:pt>
                <c:pt idx="46">
                  <c:v>148990.04900732689</c:v>
                </c:pt>
                <c:pt idx="47">
                  <c:v>152561.07107930115</c:v>
                </c:pt>
                <c:pt idx="48">
                  <c:v>155949.40560364057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BDE-4886-887F-F71EDE298C94}"/>
            </c:ext>
          </c:extLst>
        </c:ser>
        <c:ser>
          <c:idx val="7"/>
          <c:order val="7"/>
          <c:tx>
            <c:strRef>
              <c:f>'Cumul_confirmed - ExpPwLaw'!$K$6</c:f>
              <c:strCache>
                <c:ptCount val="1"/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ExpPwLaw'!$K$7:$K$70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66.457857134410915</c:v>
                </c:pt>
                <c:pt idx="17">
                  <c:v>2199.3143789880924</c:v>
                </c:pt>
                <c:pt idx="18">
                  <c:v>4672.8015408203701</c:v>
                </c:pt>
                <c:pt idx="19">
                  <c:v>7489.9064538421007</c:v>
                </c:pt>
                <c:pt idx="20">
                  <c:v>10647.185805826668</c:v>
                </c:pt>
                <c:pt idx="21">
                  <c:v>14135.163121694868</c:v>
                </c:pt>
                <c:pt idx="22">
                  <c:v>17938.887937553176</c:v>
                </c:pt>
                <c:pt idx="23">
                  <c:v>22038.610422703401</c:v>
                </c:pt>
                <c:pt idx="24">
                  <c:v>26410.528740048881</c:v>
                </c:pt>
                <c:pt idx="25">
                  <c:v>31027.571466747737</c:v>
                </c:pt>
                <c:pt idx="26">
                  <c:v>35860.183084986093</c:v>
                </c:pt>
                <c:pt idx="27">
                  <c:v>40877.086426108304</c:v>
                </c:pt>
                <c:pt idx="28">
                  <c:v>46046.001667230601</c:v>
                </c:pt>
                <c:pt idx="29">
                  <c:v>51334.306802577368</c:v>
                </c:pt>
                <c:pt idx="30">
                  <c:v>56709.629293915677</c:v>
                </c:pt>
                <c:pt idx="31">
                  <c:v>62140.362765751976</c:v>
                </c:pt>
                <c:pt idx="32">
                  <c:v>67596.106123321486</c:v>
                </c:pt>
                <c:pt idx="33">
                  <c:v>73048.02534457072</c:v>
                </c:pt>
                <c:pt idx="34">
                  <c:v>78469.140467202189</c:v>
                </c:pt>
                <c:pt idx="35">
                  <c:v>83834.542011210448</c:v>
                </c:pt>
                <c:pt idx="36">
                  <c:v>89121.542308599805</c:v>
                </c:pt>
                <c:pt idx="37">
                  <c:v>94309.768021602315</c:v>
                </c:pt>
                <c:pt idx="38">
                  <c:v>99381.200585237704</c:v>
                </c:pt>
                <c:pt idx="39">
                  <c:v>104320.17147314604</c:v>
                </c:pt>
                <c:pt idx="40">
                  <c:v>109113.31911626628</c:v>
                </c:pt>
                <c:pt idx="41">
                  <c:v>113749.51405525616</c:v>
                </c:pt>
                <c:pt idx="42">
                  <c:v>118219.7585262863</c:v>
                </c:pt>
                <c:pt idx="43">
                  <c:v>122517.06620621459</c:v>
                </c:pt>
                <c:pt idx="44">
                  <c:v>126636.32731099568</c:v>
                </c:pt>
                <c:pt idx="45">
                  <c:v>130574.1636784103</c:v>
                </c:pt>
                <c:pt idx="46">
                  <c:v>134328.77789521567</c:v>
                </c:pt>
                <c:pt idx="47">
                  <c:v>137899.79996718993</c:v>
                </c:pt>
                <c:pt idx="48">
                  <c:v>141288.13449152934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BDE-4886-887F-F71EDE298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Cumulative Cases, Recovered and Deaths - Power law w/ Exp. cut-off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14"/>
          <c:order val="12"/>
          <c:tx>
            <c:strRef>
              <c:f>'Cumul_confirmed - ExpPwLaw'!$D$7</c:f>
              <c:strCache>
                <c:ptCount val="1"/>
                <c:pt idx="0">
                  <c:v>Cum_confirmed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ExpPwLaw'!$D$8:$D$78</c:f>
              <c:numCache>
                <c:formatCode>0</c:formatCode>
                <c:ptCount val="71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  <c:pt idx="28">
                  <c:v>63927</c:v>
                </c:pt>
                <c:pt idx="29">
                  <c:v>69176</c:v>
                </c:pt>
                <c:pt idx="30">
                  <c:v>74386</c:v>
                </c:pt>
                <c:pt idx="31">
                  <c:v>80539</c:v>
                </c:pt>
                <c:pt idx="32">
                  <c:v>86498</c:v>
                </c:pt>
                <c:pt idx="33">
                  <c:v>92472</c:v>
                </c:pt>
                <c:pt idx="34">
                  <c:v>97689</c:v>
                </c:pt>
                <c:pt idx="35">
                  <c:v>101739</c:v>
                </c:pt>
                <c:pt idx="36">
                  <c:v>105792</c:v>
                </c:pt>
                <c:pt idx="37">
                  <c:v>110574</c:v>
                </c:pt>
                <c:pt idx="38">
                  <c:v>115242</c:v>
                </c:pt>
                <c:pt idx="39">
                  <c:v>119827</c:v>
                </c:pt>
                <c:pt idx="40">
                  <c:v>124632</c:v>
                </c:pt>
                <c:pt idx="41">
                  <c:v>128948</c:v>
                </c:pt>
                <c:pt idx="42">
                  <c:v>132547</c:v>
                </c:pt>
                <c:pt idx="43">
                  <c:v>135586</c:v>
                </c:pt>
                <c:pt idx="44">
                  <c:v>139422</c:v>
                </c:pt>
                <c:pt idx="45">
                  <c:v>143626</c:v>
                </c:pt>
                <c:pt idx="46">
                  <c:v>147577</c:v>
                </c:pt>
                <c:pt idx="47">
                  <c:v>152271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480-4003-A92A-241054E60060}"/>
            </c:ext>
          </c:extLst>
        </c:ser>
        <c:ser>
          <c:idx val="16"/>
          <c:order val="16"/>
          <c:tx>
            <c:strRef>
              <c:f>'Cumul_confirmed - ExpPwLaw'!$O$7</c:f>
              <c:strCache>
                <c:ptCount val="1"/>
                <c:pt idx="0">
                  <c:v>Cum_recov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yVal>
            <c:numRef>
              <c:f>'Cumul_confirmed - ExpPwLaw'!$O$8:$O$78</c:f>
              <c:numCache>
                <c:formatCode>0</c:formatCode>
                <c:ptCount val="7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45</c:v>
                </c:pt>
                <c:pt idx="4">
                  <c:v>46</c:v>
                </c:pt>
                <c:pt idx="5">
                  <c:v>50</c:v>
                </c:pt>
                <c:pt idx="6">
                  <c:v>83</c:v>
                </c:pt>
                <c:pt idx="7">
                  <c:v>149</c:v>
                </c:pt>
                <c:pt idx="8">
                  <c:v>160</c:v>
                </c:pt>
                <c:pt idx="9">
                  <c:v>276</c:v>
                </c:pt>
                <c:pt idx="10">
                  <c:v>414</c:v>
                </c:pt>
                <c:pt idx="11">
                  <c:v>523</c:v>
                </c:pt>
                <c:pt idx="12">
                  <c:v>589</c:v>
                </c:pt>
                <c:pt idx="13">
                  <c:v>622</c:v>
                </c:pt>
                <c:pt idx="14">
                  <c:v>724</c:v>
                </c:pt>
                <c:pt idx="15">
                  <c:v>1004</c:v>
                </c:pt>
                <c:pt idx="16">
                  <c:v>1045</c:v>
                </c:pt>
                <c:pt idx="17">
                  <c:v>1258</c:v>
                </c:pt>
                <c:pt idx="18">
                  <c:v>1439</c:v>
                </c:pt>
                <c:pt idx="19">
                  <c:v>1966</c:v>
                </c:pt>
                <c:pt idx="20">
                  <c:v>2335</c:v>
                </c:pt>
                <c:pt idx="21">
                  <c:v>2749</c:v>
                </c:pt>
                <c:pt idx="22">
                  <c:v>2941</c:v>
                </c:pt>
                <c:pt idx="23">
                  <c:v>4025</c:v>
                </c:pt>
                <c:pt idx="24">
                  <c:v>4440</c:v>
                </c:pt>
                <c:pt idx="25">
                  <c:v>5129</c:v>
                </c:pt>
                <c:pt idx="26">
                  <c:v>6072</c:v>
                </c:pt>
                <c:pt idx="27">
                  <c:v>7024</c:v>
                </c:pt>
                <c:pt idx="28">
                  <c:v>7432</c:v>
                </c:pt>
                <c:pt idx="29">
                  <c:v>8326</c:v>
                </c:pt>
                <c:pt idx="30">
                  <c:v>9362</c:v>
                </c:pt>
                <c:pt idx="31">
                  <c:v>10361</c:v>
                </c:pt>
                <c:pt idx="32">
                  <c:v>10950</c:v>
                </c:pt>
                <c:pt idx="33">
                  <c:v>12384</c:v>
                </c:pt>
                <c:pt idx="34">
                  <c:v>13030</c:v>
                </c:pt>
                <c:pt idx="35">
                  <c:v>14620</c:v>
                </c:pt>
                <c:pt idx="36">
                  <c:v>15729</c:v>
                </c:pt>
                <c:pt idx="37">
                  <c:v>16847</c:v>
                </c:pt>
                <c:pt idx="38">
                  <c:v>18278</c:v>
                </c:pt>
                <c:pt idx="39">
                  <c:v>19758</c:v>
                </c:pt>
                <c:pt idx="40">
                  <c:v>20996</c:v>
                </c:pt>
                <c:pt idx="41">
                  <c:v>21815</c:v>
                </c:pt>
                <c:pt idx="42">
                  <c:v>22837</c:v>
                </c:pt>
                <c:pt idx="43">
                  <c:v>24392</c:v>
                </c:pt>
                <c:pt idx="44">
                  <c:v>26491</c:v>
                </c:pt>
                <c:pt idx="45">
                  <c:v>28470</c:v>
                </c:pt>
                <c:pt idx="46">
                  <c:v>30455</c:v>
                </c:pt>
                <c:pt idx="47">
                  <c:v>32534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480-4003-A92A-241054E60060}"/>
            </c:ext>
          </c:extLst>
        </c:ser>
        <c:ser>
          <c:idx val="17"/>
          <c:order val="17"/>
          <c:tx>
            <c:strRef>
              <c:f>'Cumul_confirmed - ExpPwLaw'!$W$7</c:f>
              <c:strCache>
                <c:ptCount val="1"/>
                <c:pt idx="0">
                  <c:v>Cum_deaths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'Cumul_confirmed - ExpPwLaw'!$W$8:$W$78</c:f>
              <c:numCache>
                <c:formatCode>0</c:formatCode>
                <c:ptCount val="71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  <c:pt idx="47">
                  <c:v>19468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480-4003-A92A-241054E60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'New_confirmed - ExpPwLaw'!$E$7</c15:sqref>
                        </c15:formulaRef>
                      </c:ext>
                    </c:extLst>
                    <c:strCache>
                      <c:ptCount val="1"/>
                      <c:pt idx="0">
                        <c:v>New cases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noFill/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'New_confirmed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'New_confirmed - ExpPwLaw'!$E$8:$E$78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221</c:v>
                      </c:pt>
                      <c:pt idx="1">
                        <c:v>93</c:v>
                      </c:pt>
                      <c:pt idx="2">
                        <c:v>78</c:v>
                      </c:pt>
                      <c:pt idx="3">
                        <c:v>250</c:v>
                      </c:pt>
                      <c:pt idx="4">
                        <c:v>238</c:v>
                      </c:pt>
                      <c:pt idx="5">
                        <c:v>240</c:v>
                      </c:pt>
                      <c:pt idx="6">
                        <c:v>566</c:v>
                      </c:pt>
                      <c:pt idx="7">
                        <c:v>342</c:v>
                      </c:pt>
                      <c:pt idx="8">
                        <c:v>466</c:v>
                      </c:pt>
                      <c:pt idx="9">
                        <c:v>587</c:v>
                      </c:pt>
                      <c:pt idx="10">
                        <c:v>769</c:v>
                      </c:pt>
                      <c:pt idx="11">
                        <c:v>778</c:v>
                      </c:pt>
                      <c:pt idx="12">
                        <c:v>1247</c:v>
                      </c:pt>
                      <c:pt idx="13">
                        <c:v>1492</c:v>
                      </c:pt>
                      <c:pt idx="14">
                        <c:v>1797</c:v>
                      </c:pt>
                      <c:pt idx="15">
                        <c:v>977</c:v>
                      </c:pt>
                      <c:pt idx="16">
                        <c:v>2313</c:v>
                      </c:pt>
                      <c:pt idx="17">
                        <c:v>2651</c:v>
                      </c:pt>
                      <c:pt idx="18">
                        <c:v>2547</c:v>
                      </c:pt>
                      <c:pt idx="19">
                        <c:v>3497</c:v>
                      </c:pt>
                      <c:pt idx="20">
                        <c:v>3590</c:v>
                      </c:pt>
                      <c:pt idx="21">
                        <c:v>3233</c:v>
                      </c:pt>
                      <c:pt idx="22">
                        <c:v>3526</c:v>
                      </c:pt>
                      <c:pt idx="23">
                        <c:v>4207</c:v>
                      </c:pt>
                      <c:pt idx="24">
                        <c:v>5322</c:v>
                      </c:pt>
                      <c:pt idx="25">
                        <c:v>5986</c:v>
                      </c:pt>
                      <c:pt idx="26">
                        <c:v>6557</c:v>
                      </c:pt>
                      <c:pt idx="27">
                        <c:v>5560</c:v>
                      </c:pt>
                      <c:pt idx="28">
                        <c:v>4789</c:v>
                      </c:pt>
                      <c:pt idx="29">
                        <c:v>5249</c:v>
                      </c:pt>
                      <c:pt idx="30">
                        <c:v>5210</c:v>
                      </c:pt>
                      <c:pt idx="31">
                        <c:v>6153</c:v>
                      </c:pt>
                      <c:pt idx="32">
                        <c:v>5959</c:v>
                      </c:pt>
                      <c:pt idx="33">
                        <c:v>5974</c:v>
                      </c:pt>
                      <c:pt idx="34">
                        <c:v>5217</c:v>
                      </c:pt>
                      <c:pt idx="35">
                        <c:v>4050</c:v>
                      </c:pt>
                      <c:pt idx="36">
                        <c:v>4053</c:v>
                      </c:pt>
                      <c:pt idx="37">
                        <c:v>4782</c:v>
                      </c:pt>
                      <c:pt idx="38">
                        <c:v>4668</c:v>
                      </c:pt>
                      <c:pt idx="39">
                        <c:v>4585</c:v>
                      </c:pt>
                      <c:pt idx="40">
                        <c:v>4805</c:v>
                      </c:pt>
                      <c:pt idx="41">
                        <c:v>4316</c:v>
                      </c:pt>
                      <c:pt idx="42">
                        <c:v>3599</c:v>
                      </c:pt>
                      <c:pt idx="43">
                        <c:v>3039</c:v>
                      </c:pt>
                      <c:pt idx="44">
                        <c:v>3836</c:v>
                      </c:pt>
                      <c:pt idx="45">
                        <c:v>4204</c:v>
                      </c:pt>
                      <c:pt idx="46">
                        <c:v>3951</c:v>
                      </c:pt>
                      <c:pt idx="47">
                        <c:v>4694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6480-4003-A92A-241054E60060}"/>
                  </c:ext>
                </c:extLst>
              </c15:ser>
            </c15:filteredScatterSeries>
            <c15:filteredScatterSeries>
              <c15:ser>
                <c:idx val="8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ExpPwLaw'!$M$7</c15:sqref>
                        </c15:formulaRef>
                      </c:ext>
                    </c:extLst>
                    <c:strCache>
                      <c:ptCount val="1"/>
                      <c:pt idx="0">
                        <c:v>New_positive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noFill/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ExpPwLaw'!$M$8:$M$78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90</c:v>
                      </c:pt>
                      <c:pt idx="2">
                        <c:v>74</c:v>
                      </c:pt>
                      <c:pt idx="3">
                        <c:v>203</c:v>
                      </c:pt>
                      <c:pt idx="4">
                        <c:v>233</c:v>
                      </c:pt>
                      <c:pt idx="5">
                        <c:v>228</c:v>
                      </c:pt>
                      <c:pt idx="6">
                        <c:v>528</c:v>
                      </c:pt>
                      <c:pt idx="7">
                        <c:v>258</c:v>
                      </c:pt>
                      <c:pt idx="8">
                        <c:v>428</c:v>
                      </c:pt>
                      <c:pt idx="9">
                        <c:v>443</c:v>
                      </c:pt>
                      <c:pt idx="10">
                        <c:v>590</c:v>
                      </c:pt>
                      <c:pt idx="11">
                        <c:v>620</c:v>
                      </c:pt>
                      <c:pt idx="12">
                        <c:v>1145</c:v>
                      </c:pt>
                      <c:pt idx="13">
                        <c:v>1326</c:v>
                      </c:pt>
                      <c:pt idx="14">
                        <c:v>1598</c:v>
                      </c:pt>
                      <c:pt idx="15">
                        <c:v>529</c:v>
                      </c:pt>
                      <c:pt idx="16">
                        <c:v>2076</c:v>
                      </c:pt>
                      <c:pt idx="17">
                        <c:v>2249</c:v>
                      </c:pt>
                      <c:pt idx="18">
                        <c:v>2116</c:v>
                      </c:pt>
                      <c:pt idx="19">
                        <c:v>2795</c:v>
                      </c:pt>
                      <c:pt idx="20">
                        <c:v>2853</c:v>
                      </c:pt>
                      <c:pt idx="21">
                        <c:v>2470</c:v>
                      </c:pt>
                      <c:pt idx="22">
                        <c:v>2989</c:v>
                      </c:pt>
                      <c:pt idx="23">
                        <c:v>2648</c:v>
                      </c:pt>
                      <c:pt idx="24">
                        <c:v>4480</c:v>
                      </c:pt>
                      <c:pt idx="25">
                        <c:v>4670</c:v>
                      </c:pt>
                      <c:pt idx="26">
                        <c:v>4821</c:v>
                      </c:pt>
                      <c:pt idx="27">
                        <c:v>3957</c:v>
                      </c:pt>
                      <c:pt idx="28">
                        <c:v>3780</c:v>
                      </c:pt>
                      <c:pt idx="29">
                        <c:v>3612</c:v>
                      </c:pt>
                      <c:pt idx="30">
                        <c:v>3491</c:v>
                      </c:pt>
                      <c:pt idx="31">
                        <c:v>4492</c:v>
                      </c:pt>
                      <c:pt idx="32">
                        <c:v>4401</c:v>
                      </c:pt>
                      <c:pt idx="33">
                        <c:v>3651</c:v>
                      </c:pt>
                      <c:pt idx="34">
                        <c:v>3815</c:v>
                      </c:pt>
                      <c:pt idx="35">
                        <c:v>1648</c:v>
                      </c:pt>
                      <c:pt idx="36">
                        <c:v>2107</c:v>
                      </c:pt>
                      <c:pt idx="37">
                        <c:v>2937</c:v>
                      </c:pt>
                      <c:pt idx="38">
                        <c:v>2477</c:v>
                      </c:pt>
                      <c:pt idx="39">
                        <c:v>2339</c:v>
                      </c:pt>
                      <c:pt idx="40">
                        <c:v>2886</c:v>
                      </c:pt>
                      <c:pt idx="41">
                        <c:v>2972</c:v>
                      </c:pt>
                      <c:pt idx="42">
                        <c:v>1941</c:v>
                      </c:pt>
                      <c:pt idx="43">
                        <c:v>880</c:v>
                      </c:pt>
                      <c:pt idx="44">
                        <c:v>1195</c:v>
                      </c:pt>
                      <c:pt idx="45">
                        <c:v>1615</c:v>
                      </c:pt>
                      <c:pt idx="46">
                        <c:v>1396</c:v>
                      </c:pt>
                      <c:pt idx="47">
                        <c:v>1996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480-4003-A92A-241054E60060}"/>
                  </c:ext>
                </c:extLst>
              </c15:ser>
            </c15:filteredScatterSeries>
            <c15:filteredScatterSeries>
              <c15:ser>
                <c:idx val="1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ExpPwLaw'!$P$7</c15:sqref>
                        </c15:formulaRef>
                      </c:ext>
                    </c:extLst>
                    <c:strCache>
                      <c:ptCount val="1"/>
                      <c:pt idx="0">
                        <c:v>New recovered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B050"/>
                    </a:solidFill>
                    <a:ln w="9525">
                      <a:noFill/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ExpPwLaw'!$P$8:$P$78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1">
                        <c:v>0</c:v>
                      </c:pt>
                      <c:pt idx="2">
                        <c:v>2</c:v>
                      </c:pt>
                      <c:pt idx="3">
                        <c:v>42</c:v>
                      </c:pt>
                      <c:pt idx="4">
                        <c:v>1</c:v>
                      </c:pt>
                      <c:pt idx="5">
                        <c:v>4</c:v>
                      </c:pt>
                      <c:pt idx="6">
                        <c:v>33</c:v>
                      </c:pt>
                      <c:pt idx="7">
                        <c:v>66</c:v>
                      </c:pt>
                      <c:pt idx="8">
                        <c:v>11</c:v>
                      </c:pt>
                      <c:pt idx="9">
                        <c:v>116</c:v>
                      </c:pt>
                      <c:pt idx="10">
                        <c:v>138</c:v>
                      </c:pt>
                      <c:pt idx="11">
                        <c:v>109</c:v>
                      </c:pt>
                      <c:pt idx="12">
                        <c:v>66</c:v>
                      </c:pt>
                      <c:pt idx="13">
                        <c:v>33</c:v>
                      </c:pt>
                      <c:pt idx="14">
                        <c:v>102</c:v>
                      </c:pt>
                      <c:pt idx="15">
                        <c:v>280</c:v>
                      </c:pt>
                      <c:pt idx="16">
                        <c:v>41</c:v>
                      </c:pt>
                      <c:pt idx="17">
                        <c:v>213</c:v>
                      </c:pt>
                      <c:pt idx="18">
                        <c:v>181</c:v>
                      </c:pt>
                      <c:pt idx="19">
                        <c:v>527</c:v>
                      </c:pt>
                      <c:pt idx="20">
                        <c:v>369</c:v>
                      </c:pt>
                      <c:pt idx="21">
                        <c:v>414</c:v>
                      </c:pt>
                      <c:pt idx="22">
                        <c:v>192</c:v>
                      </c:pt>
                      <c:pt idx="23">
                        <c:v>1084</c:v>
                      </c:pt>
                      <c:pt idx="24">
                        <c:v>415</c:v>
                      </c:pt>
                      <c:pt idx="25">
                        <c:v>689</c:v>
                      </c:pt>
                      <c:pt idx="26">
                        <c:v>943</c:v>
                      </c:pt>
                      <c:pt idx="27">
                        <c:v>952</c:v>
                      </c:pt>
                      <c:pt idx="28">
                        <c:v>408</c:v>
                      </c:pt>
                      <c:pt idx="29">
                        <c:v>894</c:v>
                      </c:pt>
                      <c:pt idx="30">
                        <c:v>1036</c:v>
                      </c:pt>
                      <c:pt idx="31">
                        <c:v>999</c:v>
                      </c:pt>
                      <c:pt idx="32">
                        <c:v>589</c:v>
                      </c:pt>
                      <c:pt idx="33">
                        <c:v>1434</c:v>
                      </c:pt>
                      <c:pt idx="34">
                        <c:v>646</c:v>
                      </c:pt>
                      <c:pt idx="35">
                        <c:v>1590</c:v>
                      </c:pt>
                      <c:pt idx="36">
                        <c:v>1109</c:v>
                      </c:pt>
                      <c:pt idx="37">
                        <c:v>1118</c:v>
                      </c:pt>
                      <c:pt idx="38">
                        <c:v>1431</c:v>
                      </c:pt>
                      <c:pt idx="39">
                        <c:v>1480</c:v>
                      </c:pt>
                      <c:pt idx="40">
                        <c:v>1238</c:v>
                      </c:pt>
                      <c:pt idx="41">
                        <c:v>819</c:v>
                      </c:pt>
                      <c:pt idx="42">
                        <c:v>1022</c:v>
                      </c:pt>
                      <c:pt idx="43">
                        <c:v>1555</c:v>
                      </c:pt>
                      <c:pt idx="44">
                        <c:v>2099</c:v>
                      </c:pt>
                      <c:pt idx="45">
                        <c:v>1979</c:v>
                      </c:pt>
                      <c:pt idx="46">
                        <c:v>1985</c:v>
                      </c:pt>
                      <c:pt idx="47">
                        <c:v>2079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480-4003-A92A-241054E60060}"/>
                  </c:ext>
                </c:extLst>
              </c15:ser>
            </c15:filteredScatterSeries>
            <c15:filteredScatterSeries>
              <c15:ser>
                <c:idx val="4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ExpPwLaw'!$X$7</c15:sqref>
                        </c15:formulaRef>
                      </c:ext>
                    </c:extLst>
                    <c:strCache>
                      <c:ptCount val="1"/>
                      <c:pt idx="0">
                        <c:v>New deaths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FF0000"/>
                    </a:solidFill>
                    <a:ln w="9525">
                      <a:noFill/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ExpPwLaw'!$X$8:$X$78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1">
                        <c:v>3</c:v>
                      </c:pt>
                      <c:pt idx="2">
                        <c:v>2</c:v>
                      </c:pt>
                      <c:pt idx="3">
                        <c:v>5</c:v>
                      </c:pt>
                      <c:pt idx="4">
                        <c:v>4</c:v>
                      </c:pt>
                      <c:pt idx="5">
                        <c:v>8</c:v>
                      </c:pt>
                      <c:pt idx="6">
                        <c:v>5</c:v>
                      </c:pt>
                      <c:pt idx="7">
                        <c:v>18</c:v>
                      </c:pt>
                      <c:pt idx="8">
                        <c:v>27</c:v>
                      </c:pt>
                      <c:pt idx="9">
                        <c:v>28</c:v>
                      </c:pt>
                      <c:pt idx="10">
                        <c:v>41</c:v>
                      </c:pt>
                      <c:pt idx="11">
                        <c:v>49</c:v>
                      </c:pt>
                      <c:pt idx="12">
                        <c:v>36</c:v>
                      </c:pt>
                      <c:pt idx="13">
                        <c:v>133</c:v>
                      </c:pt>
                      <c:pt idx="14">
                        <c:v>97</c:v>
                      </c:pt>
                      <c:pt idx="15">
                        <c:v>168</c:v>
                      </c:pt>
                      <c:pt idx="16">
                        <c:v>196</c:v>
                      </c:pt>
                      <c:pt idx="17">
                        <c:v>189</c:v>
                      </c:pt>
                      <c:pt idx="18">
                        <c:v>250</c:v>
                      </c:pt>
                      <c:pt idx="19">
                        <c:v>175</c:v>
                      </c:pt>
                      <c:pt idx="20">
                        <c:v>368</c:v>
                      </c:pt>
                      <c:pt idx="21">
                        <c:v>349</c:v>
                      </c:pt>
                      <c:pt idx="22">
                        <c:v>345</c:v>
                      </c:pt>
                      <c:pt idx="23">
                        <c:v>475</c:v>
                      </c:pt>
                      <c:pt idx="24">
                        <c:v>427</c:v>
                      </c:pt>
                      <c:pt idx="25">
                        <c:v>627</c:v>
                      </c:pt>
                      <c:pt idx="26">
                        <c:v>793</c:v>
                      </c:pt>
                      <c:pt idx="27">
                        <c:v>651</c:v>
                      </c:pt>
                      <c:pt idx="28">
                        <c:v>601</c:v>
                      </c:pt>
                      <c:pt idx="29">
                        <c:v>743</c:v>
                      </c:pt>
                      <c:pt idx="30">
                        <c:v>683</c:v>
                      </c:pt>
                      <c:pt idx="31">
                        <c:v>662</c:v>
                      </c:pt>
                      <c:pt idx="32">
                        <c:v>969</c:v>
                      </c:pt>
                      <c:pt idx="33">
                        <c:v>889</c:v>
                      </c:pt>
                      <c:pt idx="34">
                        <c:v>756</c:v>
                      </c:pt>
                      <c:pt idx="35">
                        <c:v>812</c:v>
                      </c:pt>
                      <c:pt idx="36">
                        <c:v>837</c:v>
                      </c:pt>
                      <c:pt idx="37">
                        <c:v>727</c:v>
                      </c:pt>
                      <c:pt idx="38">
                        <c:v>760</c:v>
                      </c:pt>
                      <c:pt idx="39">
                        <c:v>766</c:v>
                      </c:pt>
                      <c:pt idx="40">
                        <c:v>681</c:v>
                      </c:pt>
                      <c:pt idx="41">
                        <c:v>525</c:v>
                      </c:pt>
                      <c:pt idx="42">
                        <c:v>636</c:v>
                      </c:pt>
                      <c:pt idx="43">
                        <c:v>604</c:v>
                      </c:pt>
                      <c:pt idx="44">
                        <c:v>542</c:v>
                      </c:pt>
                      <c:pt idx="45">
                        <c:v>610</c:v>
                      </c:pt>
                      <c:pt idx="46">
                        <c:v>570</c:v>
                      </c:pt>
                      <c:pt idx="47">
                        <c:v>619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480-4003-A92A-241054E60060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2"/>
          <c:order val="13"/>
          <c:tx>
            <c:strRef>
              <c:f>'Cumul_confirmed - ExpPwLaw'!$J$7</c:f>
              <c:strCache>
                <c:ptCount val="1"/>
                <c:pt idx="0">
                  <c:v>C_Upper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ExpPwLaw'!$J$8:$J$78</c:f>
              <c:numCache>
                <c:formatCode>0</c:formatCode>
                <c:ptCount val="71"/>
                <c:pt idx="0">
                  <c:v>7330.6355560556203</c:v>
                </c:pt>
                <c:pt idx="1">
                  <c:v>7330.6406756219312</c:v>
                </c:pt>
                <c:pt idx="2">
                  <c:v>7330.9070238353179</c:v>
                </c:pt>
                <c:pt idx="3">
                  <c:v>7333.2546821307296</c:v>
                </c:pt>
                <c:pt idx="4">
                  <c:v>7343.2165709780202</c:v>
                </c:pt>
                <c:pt idx="5">
                  <c:v>7371.8835830279022</c:v>
                </c:pt>
                <c:pt idx="6">
                  <c:v>7436.8658219412991</c:v>
                </c:pt>
                <c:pt idx="7">
                  <c:v>7562.2727249270056</c:v>
                </c:pt>
                <c:pt idx="8">
                  <c:v>7777.8533221118387</c:v>
                </c:pt>
                <c:pt idx="9">
                  <c:v>8117.5348523573857</c:v>
                </c:pt>
                <c:pt idx="10">
                  <c:v>8617.6147456928011</c:v>
                </c:pt>
                <c:pt idx="11">
                  <c:v>9314.8352552507149</c:v>
                </c:pt>
                <c:pt idx="12">
                  <c:v>10244.52498400215</c:v>
                </c:pt>
                <c:pt idx="13">
                  <c:v>11438.941129703082</c:v>
                </c:pt>
                <c:pt idx="14">
                  <c:v>12925.898370536415</c:v>
                </c:pt>
                <c:pt idx="15">
                  <c:v>14727.728969245651</c:v>
                </c:pt>
                <c:pt idx="16">
                  <c:v>16860.585491099333</c:v>
                </c:pt>
                <c:pt idx="17">
                  <c:v>19334.072652931609</c:v>
                </c:pt>
                <c:pt idx="18">
                  <c:v>22151.177565953341</c:v>
                </c:pt>
                <c:pt idx="19">
                  <c:v>25308.45691793791</c:v>
                </c:pt>
                <c:pt idx="20">
                  <c:v>28796.434233806111</c:v>
                </c:pt>
                <c:pt idx="21">
                  <c:v>32600.159049664413</c:v>
                </c:pt>
                <c:pt idx="22">
                  <c:v>36699.881534814645</c:v>
                </c:pt>
                <c:pt idx="23">
                  <c:v>41071.799852160118</c:v>
                </c:pt>
                <c:pt idx="24">
                  <c:v>45688.842578858974</c:v>
                </c:pt>
                <c:pt idx="25">
                  <c:v>50521.45419709733</c:v>
                </c:pt>
                <c:pt idx="26">
                  <c:v>55538.357538219541</c:v>
                </c:pt>
                <c:pt idx="27">
                  <c:v>60707.272779341838</c:v>
                </c:pt>
                <c:pt idx="28">
                  <c:v>65995.577914688605</c:v>
                </c:pt>
                <c:pt idx="29">
                  <c:v>71370.900406026922</c:v>
                </c:pt>
                <c:pt idx="30">
                  <c:v>76801.63387786322</c:v>
                </c:pt>
                <c:pt idx="31">
                  <c:v>82257.377235432738</c:v>
                </c:pt>
                <c:pt idx="32">
                  <c:v>87709.296456681972</c:v>
                </c:pt>
                <c:pt idx="33">
                  <c:v>93130.411579313441</c:v>
                </c:pt>
                <c:pt idx="34">
                  <c:v>98495.813123321699</c:v>
                </c:pt>
                <c:pt idx="35">
                  <c:v>103782.81342071106</c:v>
                </c:pt>
                <c:pt idx="36">
                  <c:v>108971.03913371357</c:v>
                </c:pt>
                <c:pt idx="37">
                  <c:v>114042.47169734896</c:v>
                </c:pt>
                <c:pt idx="38">
                  <c:v>118981.44258525729</c:v>
                </c:pt>
                <c:pt idx="39">
                  <c:v>123774.59022837754</c:v>
                </c:pt>
                <c:pt idx="40">
                  <c:v>128410.78516736742</c:v>
                </c:pt>
                <c:pt idx="41">
                  <c:v>132881.02963839754</c:v>
                </c:pt>
                <c:pt idx="42">
                  <c:v>137178.33731832582</c:v>
                </c:pt>
                <c:pt idx="43">
                  <c:v>141297.59842310692</c:v>
                </c:pt>
                <c:pt idx="44">
                  <c:v>145235.43479052154</c:v>
                </c:pt>
                <c:pt idx="45">
                  <c:v>148990.04900732689</c:v>
                </c:pt>
                <c:pt idx="46">
                  <c:v>152561.07107930115</c:v>
                </c:pt>
                <c:pt idx="47">
                  <c:v>155949.40560364057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7-6480-4003-A92A-241054E60060}"/>
            </c:ext>
          </c:extLst>
        </c:ser>
        <c:ser>
          <c:idx val="3"/>
          <c:order val="14"/>
          <c:tx>
            <c:strRef>
              <c:f>'Cumul_confirmed - ExpPwLaw'!$K$7</c:f>
              <c:strCache>
                <c:ptCount val="1"/>
                <c:pt idx="0">
                  <c:v>C_Lower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ExpPwLaw'!$K$8:$K$78</c:f>
              <c:numCache>
                <c:formatCode>0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66.457857134410915</c:v>
                </c:pt>
                <c:pt idx="16">
                  <c:v>2199.3143789880924</c:v>
                </c:pt>
                <c:pt idx="17">
                  <c:v>4672.8015408203701</c:v>
                </c:pt>
                <c:pt idx="18">
                  <c:v>7489.9064538421007</c:v>
                </c:pt>
                <c:pt idx="19">
                  <c:v>10647.185805826668</c:v>
                </c:pt>
                <c:pt idx="20">
                  <c:v>14135.163121694868</c:v>
                </c:pt>
                <c:pt idx="21">
                  <c:v>17938.887937553176</c:v>
                </c:pt>
                <c:pt idx="22">
                  <c:v>22038.610422703401</c:v>
                </c:pt>
                <c:pt idx="23">
                  <c:v>26410.528740048881</c:v>
                </c:pt>
                <c:pt idx="24">
                  <c:v>31027.571466747737</c:v>
                </c:pt>
                <c:pt idx="25">
                  <c:v>35860.183084986093</c:v>
                </c:pt>
                <c:pt idx="26">
                  <c:v>40877.086426108304</c:v>
                </c:pt>
                <c:pt idx="27">
                  <c:v>46046.001667230601</c:v>
                </c:pt>
                <c:pt idx="28">
                  <c:v>51334.306802577368</c:v>
                </c:pt>
                <c:pt idx="29">
                  <c:v>56709.629293915677</c:v>
                </c:pt>
                <c:pt idx="30">
                  <c:v>62140.362765751976</c:v>
                </c:pt>
                <c:pt idx="31">
                  <c:v>67596.106123321486</c:v>
                </c:pt>
                <c:pt idx="32">
                  <c:v>73048.02534457072</c:v>
                </c:pt>
                <c:pt idx="33">
                  <c:v>78469.140467202189</c:v>
                </c:pt>
                <c:pt idx="34">
                  <c:v>83834.542011210448</c:v>
                </c:pt>
                <c:pt idx="35">
                  <c:v>89121.542308599805</c:v>
                </c:pt>
                <c:pt idx="36">
                  <c:v>94309.768021602315</c:v>
                </c:pt>
                <c:pt idx="37">
                  <c:v>99381.200585237704</c:v>
                </c:pt>
                <c:pt idx="38">
                  <c:v>104320.17147314604</c:v>
                </c:pt>
                <c:pt idx="39">
                  <c:v>109113.31911626628</c:v>
                </c:pt>
                <c:pt idx="40">
                  <c:v>113749.51405525616</c:v>
                </c:pt>
                <c:pt idx="41">
                  <c:v>118219.7585262863</c:v>
                </c:pt>
                <c:pt idx="42">
                  <c:v>122517.06620621459</c:v>
                </c:pt>
                <c:pt idx="43">
                  <c:v>126636.32731099568</c:v>
                </c:pt>
                <c:pt idx="44">
                  <c:v>130574.1636784103</c:v>
                </c:pt>
                <c:pt idx="45">
                  <c:v>134328.77789521567</c:v>
                </c:pt>
                <c:pt idx="46">
                  <c:v>137899.79996718993</c:v>
                </c:pt>
                <c:pt idx="47">
                  <c:v>141288.13449152934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8-6480-4003-A92A-241054E60060}"/>
            </c:ext>
          </c:extLst>
        </c:ser>
        <c:ser>
          <c:idx val="15"/>
          <c:order val="15"/>
          <c:tx>
            <c:strRef>
              <c:f>'Cumul_confirmed - ExpPwLaw'!$G$7</c:f>
              <c:strCache>
                <c:ptCount val="1"/>
                <c:pt idx="0">
                  <c:v>Cum_fit</c:v>
                </c:pt>
              </c:strCache>
            </c:strRef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ExpPwLaw'!$G$8:$G$78</c:f>
              <c:numCache>
                <c:formatCode>0</c:formatCode>
                <c:ptCount val="71"/>
                <c:pt idx="0">
                  <c:v>0</c:v>
                </c:pt>
                <c:pt idx="1">
                  <c:v>5.119566311204856E-3</c:v>
                </c:pt>
                <c:pt idx="2">
                  <c:v>0.27146777969793007</c:v>
                </c:pt>
                <c:pt idx="3">
                  <c:v>2.6191260751090919</c:v>
                </c:pt>
                <c:pt idx="4">
                  <c:v>12.581014922400039</c:v>
                </c:pt>
                <c:pt idx="5">
                  <c:v>41.248026972281814</c:v>
                </c:pt>
                <c:pt idx="6">
                  <c:v>106.23026588567843</c:v>
                </c:pt>
                <c:pt idx="7">
                  <c:v>231.63716887138511</c:v>
                </c:pt>
                <c:pt idx="8">
                  <c:v>447.21776605621812</c:v>
                </c:pt>
                <c:pt idx="9">
                  <c:v>786.89929630176505</c:v>
                </c:pt>
                <c:pt idx="10">
                  <c:v>1286.9791896371814</c:v>
                </c:pt>
                <c:pt idx="11">
                  <c:v>1984.1996991950944</c:v>
                </c:pt>
                <c:pt idx="12">
                  <c:v>2913.8894279465298</c:v>
                </c:pt>
                <c:pt idx="13">
                  <c:v>4108.3055736474607</c:v>
                </c:pt>
                <c:pt idx="14">
                  <c:v>5595.2628144807941</c:v>
                </c:pt>
                <c:pt idx="15">
                  <c:v>7397.0934131900312</c:v>
                </c:pt>
                <c:pt idx="16">
                  <c:v>9529.9499350437127</c:v>
                </c:pt>
                <c:pt idx="17">
                  <c:v>12003.43709687599</c:v>
                </c:pt>
                <c:pt idx="18">
                  <c:v>14820.542009897721</c:v>
                </c:pt>
                <c:pt idx="19">
                  <c:v>17977.821361882288</c:v>
                </c:pt>
                <c:pt idx="20">
                  <c:v>21465.798677750488</c:v>
                </c:pt>
                <c:pt idx="21">
                  <c:v>25269.523493608795</c:v>
                </c:pt>
                <c:pt idx="22">
                  <c:v>29369.245978759023</c:v>
                </c:pt>
                <c:pt idx="23">
                  <c:v>33741.1642961045</c:v>
                </c:pt>
                <c:pt idx="24">
                  <c:v>38358.207022803355</c:v>
                </c:pt>
                <c:pt idx="25">
                  <c:v>43190.818641041711</c:v>
                </c:pt>
                <c:pt idx="26">
                  <c:v>48207.721982163923</c:v>
                </c:pt>
                <c:pt idx="27">
                  <c:v>53376.63722328622</c:v>
                </c:pt>
                <c:pt idx="28">
                  <c:v>58664.942358632987</c:v>
                </c:pt>
                <c:pt idx="29">
                  <c:v>64040.264849971296</c:v>
                </c:pt>
                <c:pt idx="30">
                  <c:v>69470.998321807594</c:v>
                </c:pt>
                <c:pt idx="31">
                  <c:v>74926.741679377112</c:v>
                </c:pt>
                <c:pt idx="32">
                  <c:v>80378.660900626346</c:v>
                </c:pt>
                <c:pt idx="33">
                  <c:v>85799.776023257815</c:v>
                </c:pt>
                <c:pt idx="34">
                  <c:v>91165.177567266073</c:v>
                </c:pt>
                <c:pt idx="35">
                  <c:v>96452.17786465543</c:v>
                </c:pt>
                <c:pt idx="36">
                  <c:v>101640.40357765794</c:v>
                </c:pt>
                <c:pt idx="37">
                  <c:v>106711.83614129333</c:v>
                </c:pt>
                <c:pt idx="38">
                  <c:v>111650.80702920166</c:v>
                </c:pt>
                <c:pt idx="39">
                  <c:v>116443.95467232191</c:v>
                </c:pt>
                <c:pt idx="40">
                  <c:v>121080.14961131179</c:v>
                </c:pt>
                <c:pt idx="41">
                  <c:v>125550.39408234193</c:v>
                </c:pt>
                <c:pt idx="42">
                  <c:v>129847.70176227021</c:v>
                </c:pt>
                <c:pt idx="43">
                  <c:v>133966.9628670513</c:v>
                </c:pt>
                <c:pt idx="44">
                  <c:v>137904.79923446593</c:v>
                </c:pt>
                <c:pt idx="45">
                  <c:v>141659.41345127128</c:v>
                </c:pt>
                <c:pt idx="46">
                  <c:v>145230.43552324554</c:v>
                </c:pt>
                <c:pt idx="47">
                  <c:v>148618.77004758496</c:v>
                </c:pt>
                <c:pt idx="48">
                  <c:v>151826.44634033646</c:v>
                </c:pt>
                <c:pt idx="49">
                  <c:v>154856.47350352912</c:v>
                </c:pt>
                <c:pt idx="50">
                  <c:v>157712.70199137798</c:v>
                </c:pt>
                <c:pt idx="51">
                  <c:v>160399.69285426833</c:v>
                </c:pt>
                <c:pt idx="52">
                  <c:v>162922.59550346446</c:v>
                </c:pt>
                <c:pt idx="53">
                  <c:v>165287.03454761836</c:v>
                </c:pt>
                <c:pt idx="54">
                  <c:v>167499.00600225059</c:v>
                </c:pt>
                <c:pt idx="55">
                  <c:v>169564.7829628438</c:v>
                </c:pt>
                <c:pt idx="56">
                  <c:v>171490.83065798503</c:v>
                </c:pt>
                <c:pt idx="57">
                  <c:v>173283.73065782123</c:v>
                </c:pt>
                <c:pt idx="58">
                  <c:v>174950.11390155816</c:v>
                </c:pt>
                <c:pt idx="59">
                  <c:v>176496.60212242982</c:v>
                </c:pt>
                <c:pt idx="60">
                  <c:v>177929.75718619788</c:v>
                </c:pt>
                <c:pt idx="61">
                  <c:v>179256.03781665841</c:v>
                </c:pt>
                <c:pt idx="62">
                  <c:v>180481.76315589418</c:v>
                </c:pt>
                <c:pt idx="63">
                  <c:v>181613.08259540042</c:v>
                </c:pt>
                <c:pt idx="64">
                  <c:v>182655.95131426229</c:v>
                </c:pt>
                <c:pt idx="65">
                  <c:v>183616.11097005755</c:v>
                </c:pt>
                <c:pt idx="66">
                  <c:v>184499.07500513023</c:v>
                </c:pt>
                <c:pt idx="67">
                  <c:v>185310.11805360604</c:v>
                </c:pt>
                <c:pt idx="68">
                  <c:v>186054.26896150032</c:v>
                </c:pt>
                <c:pt idx="69">
                  <c:v>186736.30696222078</c:v>
                </c:pt>
                <c:pt idx="70">
                  <c:v>187360.76058160648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6480-4003-A92A-241054E60060}"/>
            </c:ext>
          </c:extLst>
        </c:ser>
        <c:ser>
          <c:idx val="18"/>
          <c:order val="18"/>
          <c:tx>
            <c:strRef>
              <c:f>'Cumul_confirmed - ExpPwLaw'!$Z$7</c:f>
              <c:strCache>
                <c:ptCount val="1"/>
                <c:pt idx="0">
                  <c:v>Cum_D_fit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ExpPwLaw'!$Z$8:$Z$78</c:f>
              <c:numCache>
                <c:formatCode>0</c:formatCode>
                <c:ptCount val="71"/>
                <c:pt idx="0">
                  <c:v>0</c:v>
                </c:pt>
                <c:pt idx="1">
                  <c:v>5.893084448677439E-7</c:v>
                </c:pt>
                <c:pt idx="2">
                  <c:v>1.6416534637078353E-4</c:v>
                </c:pt>
                <c:pt idx="3">
                  <c:v>4.0804090484227555E-3</c:v>
                </c:pt>
                <c:pt idx="4">
                  <c:v>3.7718665748983332E-2</c:v>
                </c:pt>
                <c:pt idx="5">
                  <c:v>0.20282826028345446</c:v>
                </c:pt>
                <c:pt idx="6">
                  <c:v>0.77440018477729922</c:v>
                </c:pt>
                <c:pt idx="7">
                  <c:v>2.3347290053196765</c:v>
                </c:pt>
                <c:pt idx="8">
                  <c:v>5.9224777924487073</c:v>
                </c:pt>
                <c:pt idx="9">
                  <c:v>13.168825689405452</c:v>
                </c:pt>
                <c:pt idx="10">
                  <c:v>26.394315070578429</c:v>
                </c:pt>
                <c:pt idx="11">
                  <c:v>48.64711083151856</c:v>
                </c:pt>
                <c:pt idx="12">
                  <c:v>83.673155464807678</c:v>
                </c:pt>
                <c:pt idx="13">
                  <c:v>135.81865332632171</c:v>
                </c:pt>
                <c:pt idx="14">
                  <c:v>209.87371896627786</c:v>
                </c:pt>
                <c:pt idx="15">
                  <c:v>310.8719556626649</c:v>
                </c:pt>
                <c:pt idx="16">
                  <c:v>443.86393590570839</c:v>
                </c:pt>
                <c:pt idx="17">
                  <c:v>613.68324798994377</c:v>
                </c:pt>
                <c:pt idx="18">
                  <c:v>824.72243813600039</c:v>
                </c:pt>
                <c:pt idx="19">
                  <c:v>1080.7334159948655</c:v>
                </c:pt>
                <c:pt idx="20">
                  <c:v>1384.6633027455402</c:v>
                </c:pt>
                <c:pt idx="21">
                  <c:v>1738.5328122879873</c:v>
                </c:pt>
                <c:pt idx="22">
                  <c:v>2143.3604844308065</c:v>
                </c:pt>
                <c:pt idx="23">
                  <c:v>2599.1327307689835</c:v>
                </c:pt>
                <c:pt idx="24">
                  <c:v>3104.8168908481084</c:v>
                </c:pt>
                <c:pt idx="25">
                  <c:v>3658.4124117209003</c:v>
                </c:pt>
                <c:pt idx="26">
                  <c:v>4257.0338643669902</c:v>
                </c:pt>
                <c:pt idx="27">
                  <c:v>4897.0187463020611</c:v>
                </c:pt>
                <c:pt idx="28">
                  <c:v>5574.0528059842582</c:v>
                </c:pt>
                <c:pt idx="29">
                  <c:v>6283.3058574138595</c:v>
                </c:pt>
                <c:pt idx="30">
                  <c:v>7019.5716230974658</c:v>
                </c:pt>
                <c:pt idx="31">
                  <c:v>7777.4059448697435</c:v>
                </c:pt>
                <c:pt idx="32">
                  <c:v>8551.2586400254404</c:v>
                </c:pt>
                <c:pt idx="33">
                  <c:v>9335.5952741700858</c:v>
                </c:pt>
                <c:pt idx="34">
                  <c:v>10125.006107364967</c:v>
                </c:pt>
                <c:pt idx="35">
                  <c:v>10914.300397598443</c:v>
                </c:pt>
                <c:pt idx="36">
                  <c:v>11698.585081209598</c:v>
                </c:pt>
                <c:pt idx="37">
                  <c:v>12473.327572480512</c:v>
                </c:pt>
                <c:pt idx="38">
                  <c:v>13234.403023955687</c:v>
                </c:pt>
                <c:pt idx="39">
                  <c:v>13978.126863597525</c:v>
                </c:pt>
                <c:pt idx="40">
                  <c:v>14701.273779672261</c:v>
                </c:pt>
                <c:pt idx="41">
                  <c:v>15401.08456895135</c:v>
                </c:pt>
                <c:pt idx="42">
                  <c:v>16075.262411052554</c:v>
                </c:pt>
                <c:pt idx="43">
                  <c:v>16721.96019575719</c:v>
                </c:pt>
                <c:pt idx="44">
                  <c:v>17339.760525636866</c:v>
                </c:pt>
                <c:pt idx="45">
                  <c:v>17927.649957664184</c:v>
                </c:pt>
                <c:pt idx="46">
                  <c:v>18484.988948085749</c:v>
                </c:pt>
                <c:pt idx="47">
                  <c:v>19011.478836786944</c:v>
                </c:pt>
                <c:pt idx="48">
                  <c:v>19507.127061208634</c:v>
                </c:pt>
                <c:pt idx="49">
                  <c:v>19972.211634474344</c:v>
                </c:pt>
                <c:pt idx="50">
                  <c:v>20407.245765014937</c:v>
                </c:pt>
                <c:pt idx="51">
                  <c:v>20812.943341350121</c:v>
                </c:pt>
                <c:pt idx="52">
                  <c:v>21190.18586010985</c:v>
                </c:pt>
                <c:pt idx="53">
                  <c:v>21539.991240909418</c:v>
                </c:pt>
                <c:pt idx="54">
                  <c:v>21863.484850314751</c:v>
                </c:pt>
                <c:pt idx="55">
                  <c:v>22161.872949936744</c:v>
                </c:pt>
                <c:pt idx="56">
                  <c:v>22436.418691037667</c:v>
                </c:pt>
                <c:pt idx="57">
                  <c:v>22688.420699712959</c:v>
                </c:pt>
                <c:pt idx="58">
                  <c:v>22919.194232093112</c:v>
                </c:pt>
                <c:pt idx="59">
                  <c:v>23130.054827154294</c:v>
                </c:pt>
                <c:pt idx="60">
                  <c:v>23322.304344493594</c:v>
                </c:pt>
                <c:pt idx="61">
                  <c:v>23497.219244560558</c:v>
                </c:pt>
                <c:pt idx="62">
                  <c:v>23656.040948042697</c:v>
                </c:pt>
                <c:pt idx="63">
                  <c:v>23799.968098088408</c:v>
                </c:pt>
                <c:pt idx="64">
                  <c:v>23930.150542575284</c:v>
                </c:pt>
                <c:pt idx="65">
                  <c:v>24047.684852533064</c:v>
                </c:pt>
                <c:pt idx="66">
                  <c:v>24153.611196042777</c:v>
                </c:pt>
                <c:pt idx="67">
                  <c:v>24248.911393500261</c:v>
                </c:pt>
                <c:pt idx="68">
                  <c:v>24334.507989210444</c:v>
                </c:pt>
                <c:pt idx="69">
                  <c:v>24411.264185136755</c:v>
                </c:pt>
                <c:pt idx="70">
                  <c:v>24479.984494648008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6480-4003-A92A-241054E60060}"/>
            </c:ext>
          </c:extLst>
        </c:ser>
        <c:ser>
          <c:idx val="19"/>
          <c:order val="19"/>
          <c:tx>
            <c:strRef>
              <c:f>'Cumul_confirmed - ExpPwLaw'!$R$7</c:f>
              <c:strCache>
                <c:ptCount val="1"/>
                <c:pt idx="0">
                  <c:v>Cum_R_fit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ExpPwLaw'!$R$8:$R$78</c:f>
              <c:numCache>
                <c:formatCode>0</c:formatCode>
                <c:ptCount val="71"/>
                <c:pt idx="0">
                  <c:v>0</c:v>
                </c:pt>
                <c:pt idx="1">
                  <c:v>0.46931142351148036</c:v>
                </c:pt>
                <c:pt idx="2">
                  <c:v>3.4973493294039151</c:v>
                </c:pt>
                <c:pt idx="3">
                  <c:v>11.319713533706052</c:v>
                </c:pt>
                <c:pt idx="4">
                  <c:v>26.040374913750011</c:v>
                </c:pt>
                <c:pt idx="5">
                  <c:v>49.682947234899764</c:v>
                </c:pt>
                <c:pt idx="6">
                  <c:v>84.21201381689967</c:v>
                </c:pt>
                <c:pt idx="7">
                  <c:v>131.5450912190376</c:v>
                </c:pt>
                <c:pt idx="8">
                  <c:v>193.56031202013432</c:v>
                </c:pt>
                <c:pt idx="9">
                  <c:v>272.10177952159859</c:v>
                </c:pt>
                <c:pt idx="10">
                  <c:v>368.9835138331477</c:v>
                </c:pt>
                <c:pt idx="11">
                  <c:v>485.9924806083979</c:v>
                </c:pt>
                <c:pt idx="12">
                  <c:v>624.89098908599715</c:v>
                </c:pt>
                <c:pt idx="13">
                  <c:v>787.41863802055786</c:v>
                </c:pt>
                <c:pt idx="14">
                  <c:v>975.29392656201958</c:v>
                </c:pt>
                <c:pt idx="15">
                  <c:v>1190.2156100024374</c:v>
                </c:pt>
                <c:pt idx="16">
                  <c:v>1433.8638568071019</c:v>
                </c:pt>
                <c:pt idx="17">
                  <c:v>1707.9012478848977</c:v>
                </c:pt>
                <c:pt idx="18">
                  <c:v>2013.9736485425854</c:v>
                </c:pt>
                <c:pt idx="19">
                  <c:v>2353.7109762219202</c:v>
                </c:pt>
                <c:pt idx="20">
                  <c:v>2728.7278818592195</c:v>
                </c:pt>
                <c:pt idx="21">
                  <c:v>3140.6243588619695</c:v>
                </c:pt>
                <c:pt idx="22">
                  <c:v>3590.9862908335485</c:v>
                </c:pt>
                <c:pt idx="23">
                  <c:v>4081.385947009343</c:v>
                </c:pt>
                <c:pt idx="24">
                  <c:v>4613.382432702012</c:v>
                </c:pt>
                <c:pt idx="25">
                  <c:v>5188.5221007575692</c:v>
                </c:pt>
                <c:pt idx="26">
                  <c:v>5808.3389290027235</c:v>
                </c:pt>
                <c:pt idx="27">
                  <c:v>6474.3548678505977</c:v>
                </c:pt>
                <c:pt idx="28">
                  <c:v>7188.0801615784694</c:v>
                </c:pt>
                <c:pt idx="29">
                  <c:v>7951.0136462599348</c:v>
                </c:pt>
                <c:pt idx="30">
                  <c:v>8764.6430269001394</c:v>
                </c:pt>
                <c:pt idx="31">
                  <c:v>9630.4451359643263</c:v>
                </c:pt>
                <c:pt idx="32">
                  <c:v>10549.886175192509</c:v>
                </c:pt>
                <c:pt idx="33">
                  <c:v>11524.421942344805</c:v>
                </c:pt>
                <c:pt idx="34">
                  <c:v>12555.498044312126</c:v>
                </c:pt>
                <c:pt idx="35">
                  <c:v>13644.550097850766</c:v>
                </c:pt>
                <c:pt idx="36">
                  <c:v>14793.003919048197</c:v>
                </c:pt>
                <c:pt idx="37">
                  <c:v>16002.275702499097</c:v>
                </c:pt>
                <c:pt idx="38">
                  <c:v>17273.77219106011</c:v>
                </c:pt>
                <c:pt idx="39">
                  <c:v>18608.890836955943</c:v>
                </c:pt>
                <c:pt idx="40">
                  <c:v>20009.019954927713</c:v>
                </c:pt>
                <c:pt idx="41">
                  <c:v>21475.538868041422</c:v>
                </c:pt>
                <c:pt idx="42">
                  <c:v>23009.818046712822</c:v>
                </c:pt>
                <c:pt idx="43">
                  <c:v>24613.219241448754</c:v>
                </c:pt>
                <c:pt idx="44">
                  <c:v>26287.095609757838</c:v>
                </c:pt>
                <c:pt idx="45">
                  <c:v>28032.791837639877</c:v>
                </c:pt>
                <c:pt idx="46">
                  <c:v>29851.644256025535</c:v>
                </c:pt>
                <c:pt idx="47">
                  <c:v>31744.980952505695</c:v>
                </c:pt>
                <c:pt idx="48">
                  <c:v>33714.121878657912</c:v>
                </c:pt>
                <c:pt idx="49">
                  <c:v>35760.378953252446</c:v>
                </c:pt>
                <c:pt idx="50">
                  <c:v>37885.056161596804</c:v>
                </c:pt>
                <c:pt idx="51">
                  <c:v>40089.449651253672</c:v>
                </c:pt>
                <c:pt idx="52">
                  <c:v>42374.847824352626</c:v>
                </c:pt>
                <c:pt idx="53">
                  <c:v>44742.531426693313</c:v>
                </c:pt>
                <c:pt idx="54">
                  <c:v>47193.773633827332</c:v>
                </c:pt>
                <c:pt idx="55">
                  <c:v>49729.84013428766</c:v>
                </c:pt>
                <c:pt idx="56">
                  <c:v>52351.989210124484</c:v>
                </c:pt>
                <c:pt idx="57">
                  <c:v>55061.471814894416</c:v>
                </c:pt>
                <c:pt idx="58">
                  <c:v>57859.531649236575</c:v>
                </c:pt>
                <c:pt idx="59">
                  <c:v>60747.405234165017</c:v>
                </c:pt>
                <c:pt idx="60">
                  <c:v>63726.321982191927</c:v>
                </c:pt>
                <c:pt idx="61">
                  <c:v>66797.504266392163</c:v>
                </c:pt>
                <c:pt idx="62">
                  <c:v>69962.167487512139</c:v>
                </c:pt>
                <c:pt idx="63">
                  <c:v>73221.520139215994</c:v>
                </c:pt>
                <c:pt idx="64">
                  <c:v>76576.763871560514</c:v>
                </c:pt>
                <c:pt idx="65">
                  <c:v>80029.093552779901</c:v>
                </c:pt>
                <c:pt idx="66">
                  <c:v>83579.697329461371</c:v>
                </c:pt>
                <c:pt idx="67">
                  <c:v>87229.756685181026</c:v>
                </c:pt>
                <c:pt idx="68">
                  <c:v>90980.44649767282</c:v>
                </c:pt>
                <c:pt idx="69">
                  <c:v>94832.9350945927</c:v>
                </c:pt>
                <c:pt idx="70">
                  <c:v>98788.384307938803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0A-43B7-AE34-095837C50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'New_confirmed - ExpPwLaw'!$H$7</c15:sqref>
                        </c15:formulaRef>
                      </c:ext>
                    </c:extLst>
                    <c:strCache>
                      <c:ptCount val="1"/>
                      <c:pt idx="0">
                        <c:v>New_cases_fit</c:v>
                      </c:pt>
                    </c:strCache>
                  </c:strRef>
                </c:tx>
                <c:spPr>
                  <a:ln w="9525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'New_confirmed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'New_confirmed - ExpPwLaw'!$H$8:$H$78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2.9635064625462445E-2</c:v>
                      </c:pt>
                      <c:pt idx="2">
                        <c:v>0.76734051582345641</c:v>
                      </c:pt>
                      <c:pt idx="3">
                        <c:v>4.8181537489856829</c:v>
                      </c:pt>
                      <c:pt idx="4">
                        <c:v>16.937945949303295</c:v>
                      </c:pt>
                      <c:pt idx="5">
                        <c:v>43.331816378348321</c:v>
                      </c:pt>
                      <c:pt idx="6">
                        <c:v>90.66582741108725</c:v>
                      </c:pt>
                      <c:pt idx="7">
                        <c:v>165.13112969378341</c:v>
                      </c:pt>
                      <c:pt idx="8">
                        <c:v>271.71529104105747</c:v>
                      </c:pt>
                      <c:pt idx="9">
                        <c:v>413.72987098532269</c:v>
                      </c:pt>
                      <c:pt idx="10">
                        <c:v>592.58491645239997</c:v>
                      </c:pt>
                      <c:pt idx="11">
                        <c:v>807.77203421625541</c:v>
                      </c:pt>
                      <c:pt idx="12">
                        <c:v>1057.006577615962</c:v>
                      </c:pt>
                      <c:pt idx="13">
                        <c:v>1336.4788488608388</c:v>
                      </c:pt>
                      <c:pt idx="14">
                        <c:v>1641.1692628094859</c:v>
                      </c:pt>
                      <c:pt idx="15">
                        <c:v>1965.1900888826895</c:v>
                      </c:pt>
                      <c:pt idx="16">
                        <c:v>2302.1248027775509</c:v>
                      </c:pt>
                      <c:pt idx="17">
                        <c:v>2645.3441398590858</c:v>
                      </c:pt>
                      <c:pt idx="18">
                        <c:v>2988.2850639446206</c:v>
                      </c:pt>
                      <c:pt idx="19">
                        <c:v>3324.6847965080492</c:v>
                      </c:pt>
                      <c:pt idx="20">
                        <c:v>3648.7667453621507</c:v>
                      </c:pt>
                      <c:pt idx="21">
                        <c:v>3955.3787019382548</c:v>
                      </c:pt>
                      <c:pt idx="22">
                        <c:v>4240.0861789373339</c:v>
                      </c:pt>
                      <c:pt idx="23">
                        <c:v>4499.2253983212295</c:v>
                      </c:pt>
                      <c:pt idx="24">
                        <c:v>4729.9213796272743</c:v>
                      </c:pt>
                      <c:pt idx="25">
                        <c:v>4930.0769764500619</c:v>
                      </c:pt>
                      <c:pt idx="26">
                        <c:v>5098.3387031947823</c:v>
                      </c:pt>
                      <c:pt idx="27">
                        <c:v>5234.0449029012634</c:v>
                      </c:pt>
                      <c:pt idx="28">
                        <c:v>5337.1613271794922</c:v>
                      </c:pt>
                      <c:pt idx="29">
                        <c:v>5408.2086084537777</c:v>
                      </c:pt>
                      <c:pt idx="30">
                        <c:v>5448.1854624466678</c:v>
                      </c:pt>
                      <c:pt idx="31">
                        <c:v>5458.4908095228848</c:v>
                      </c:pt>
                      <c:pt idx="32">
                        <c:v>5440.8473787456523</c:v>
                      </c:pt>
                      <c:pt idx="33">
                        <c:v>5397.2287794506301</c:v>
                      </c:pt>
                      <c:pt idx="34">
                        <c:v>5329.7915047492615</c:v>
                      </c:pt>
                      <c:pt idx="35">
                        <c:v>5240.8128762099104</c:v>
                      </c:pt>
                      <c:pt idx="36">
                        <c:v>5132.6355508661927</c:v>
                      </c:pt>
                      <c:pt idx="37">
                        <c:v>5007.6188890876138</c:v>
                      </c:pt>
                      <c:pt idx="38">
                        <c:v>4868.0972208090116</c:v>
                      </c:pt>
                      <c:pt idx="39">
                        <c:v>4716.3448427673075</c:v>
                      </c:pt>
                      <c:pt idx="40">
                        <c:v>4554.5474245326795</c:v>
                      </c:pt>
                      <c:pt idx="41">
                        <c:v>4384.7793897264064</c:v>
                      </c:pt>
                      <c:pt idx="42">
                        <c:v>4208.9867644066426</c:v>
                      </c:pt>
                      <c:pt idx="43">
                        <c:v>4028.9749409870592</c:v>
                      </c:pt>
                      <c:pt idx="44">
                        <c:v>3846.400787500997</c:v>
                      </c:pt>
                      <c:pt idx="45">
                        <c:v>3662.7685333569298</c:v>
                      </c:pt>
                      <c:pt idx="46">
                        <c:v>3479.4288793754008</c:v>
                      </c:pt>
                      <c:pt idx="47">
                        <c:v>3297.580807887382</c:v>
                      </c:pt>
                      <c:pt idx="48">
                        <c:v>3118.2756046388517</c:v>
                      </c:pt>
                      <c:pt idx="49">
                        <c:v>2942.4226453721358</c:v>
                      </c:pt>
                      <c:pt idx="50">
                        <c:v>2770.79654394007</c:v>
                      </c:pt>
                      <c:pt idx="51">
                        <c:v>2604.0453038108808</c:v>
                      </c:pt>
                      <c:pt idx="52">
                        <c:v>2442.6991594001174</c:v>
                      </c:pt>
                      <c:pt idx="53">
                        <c:v>2287.1798367308702</c:v>
                      </c:pt>
                      <c:pt idx="54">
                        <c:v>2137.8100036814189</c:v>
                      </c:pt>
                      <c:pt idx="55">
                        <c:v>1994.8227179841908</c:v>
                      </c:pt>
                      <c:pt idx="56">
                        <c:v>1858.3707158516047</c:v>
                      </c:pt>
                      <c:pt idx="57">
                        <c:v>1728.5354154455217</c:v>
                      </c:pt>
                      <c:pt idx="58">
                        <c:v>1605.3355373320571</c:v>
                      </c:pt>
                      <c:pt idx="59">
                        <c:v>1488.7352686259444</c:v>
                      </c:pt>
                      <c:pt idx="60">
                        <c:v>1378.6519188581667</c:v>
                      </c:pt>
                      <c:pt idx="61">
                        <c:v>1274.963033878425</c:v>
                      </c:pt>
                      <c:pt idx="62">
                        <c:v>1177.5129495498984</c:v>
                      </c:pt>
                      <c:pt idx="63">
                        <c:v>1086.1187798466894</c:v>
                      </c:pt>
                      <c:pt idx="64">
                        <c:v>1000.5758444751432</c:v>
                      </c:pt>
                      <c:pt idx="65">
                        <c:v>920.66254956023181</c:v>
                      </c:pt>
                      <c:pt idx="66">
                        <c:v>846.14474151376669</c:v>
                      </c:pt>
                      <c:pt idx="67">
                        <c:v>776.77955916772328</c:v>
                      </c:pt>
                      <c:pt idx="68">
                        <c:v>712.31881283559358</c:v>
                      </c:pt>
                      <c:pt idx="69">
                        <c:v>652.51192136260158</c:v>
                      </c:pt>
                      <c:pt idx="70">
                        <c:v>597.10843962989293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6480-4003-A92A-241054E60060}"/>
                  </c:ext>
                </c:extLst>
              </c15:ser>
            </c15:filteredScatterSeries>
            <c15:filteredScatterSeries>
              <c15:ser>
                <c:idx val="9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ExpPwLaw'!$N$7</c15:sqref>
                        </c15:formulaRef>
                      </c:ext>
                    </c:extLst>
                    <c:strCache>
                      <c:ptCount val="1"/>
                      <c:pt idx="0">
                        <c:v>New_positive_fit</c:v>
                      </c:pt>
                    </c:strCache>
                  </c:strRef>
                </c:tx>
                <c:spPr>
                  <a:ln w="9525" cap="rnd">
                    <a:solidFill>
                      <a:schemeClr val="tx2"/>
                    </a:solidFill>
                    <a:prstDash val="lgDash"/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ExpPwLaw'!$N$8:$N$78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-1.3304442666514824</c:v>
                      </c:pt>
                      <c:pt idx="2">
                        <c:v>-4.2995251158514849</c:v>
                      </c:pt>
                      <c:pt idx="3">
                        <c:v>-6.1209848675932994</c:v>
                      </c:pt>
                      <c:pt idx="4">
                        <c:v>-1.9837728428410408</c:v>
                      </c:pt>
                      <c:pt idx="5">
                        <c:v>14.267387871349211</c:v>
                      </c:pt>
                      <c:pt idx="6">
                        <c:v>49.11502186521578</c:v>
                      </c:pt>
                      <c:pt idx="7">
                        <c:v>108.41141161175948</c:v>
                      </c:pt>
                      <c:pt idx="8">
                        <c:v>196.65158194740727</c:v>
                      </c:pt>
                      <c:pt idx="9">
                        <c:v>316.52956568859275</c:v>
                      </c:pt>
                      <c:pt idx="10">
                        <c:v>468.76445970908071</c:v>
                      </c:pt>
                      <c:pt idx="11">
                        <c:v>652.14930876775622</c:v>
                      </c:pt>
                      <c:pt idx="12">
                        <c:v>863.76328085322325</c:v>
                      </c:pt>
                      <c:pt idx="13">
                        <c:v>1099.2877213817239</c:v>
                      </c:pt>
                      <c:pt idx="14">
                        <c:v>1353.3738207765671</c:v>
                      </c:pt>
                      <c:pt idx="15">
                        <c:v>1620.019976016418</c:v>
                      </c:pt>
                      <c:pt idx="16">
                        <c:v>1892.9280118537467</c:v>
                      </c:pt>
                      <c:pt idx="17">
                        <c:v>2165.8177824645895</c:v>
                      </c:pt>
                      <c:pt idx="18">
                        <c:v>2432.6885271807996</c:v>
                      </c:pt>
                      <c:pt idx="19">
                        <c:v>2688.0224022564807</c:v>
                      </c:pt>
                      <c:pt idx="20">
                        <c:v>2926.930850284135</c:v>
                      </c:pt>
                      <c:pt idx="21">
                        <c:v>3145.2480693091402</c:v>
                      </c:pt>
                      <c:pt idx="22">
                        <c:v>3339.5780602064501</c:v>
                      </c:pt>
                      <c:pt idx="23">
                        <c:v>3507.3028462755315</c:v>
                      </c:pt>
                      <c:pt idx="24">
                        <c:v>3646.5597470412408</c:v>
                      </c:pt>
                      <c:pt idx="25">
                        <c:v>3756.1952930139678</c:v>
                      </c:pt>
                      <c:pt idx="26">
                        <c:v>3835.7026944898957</c:v>
                      </c:pt>
                      <c:pt idx="27">
                        <c:v>3885.1488885969006</c:v>
                      </c:pt>
                      <c:pt idx="28">
                        <c:v>3905.0962085117753</c:v>
                      </c:pt>
                      <c:pt idx="29">
                        <c:v>3896.5227360639865</c:v>
                      </c:pt>
                      <c:pt idx="30">
                        <c:v>3860.7444736403495</c:v>
                      </c:pt>
                      <c:pt idx="31">
                        <c:v>3799.3416399816679</c:v>
                      </c:pt>
                      <c:pt idx="32">
                        <c:v>3714.0906758957631</c:v>
                      </c:pt>
                      <c:pt idx="33">
                        <c:v>3606.9029459040012</c:v>
                      </c:pt>
                      <c:pt idx="34">
                        <c:v>3479.770637240767</c:v>
                      </c:pt>
                      <c:pt idx="35">
                        <c:v>3334.7199795506049</c:v>
                      </c:pt>
                      <c:pt idx="36">
                        <c:v>3173.7716249373038</c:v>
                      </c:pt>
                      <c:pt idx="37">
                        <c:v>2998.9078251436349</c:v>
                      </c:pt>
                      <c:pt idx="38">
                        <c:v>2812.045906872655</c:v>
                      </c:pt>
                      <c:pt idx="39">
                        <c:v>2615.0174646051919</c:v>
                      </c:pt>
                      <c:pt idx="40">
                        <c:v>2409.5526509498713</c:v>
                      </c:pt>
                      <c:pt idx="41">
                        <c:v>2197.2689373004578</c:v>
                      </c:pt>
                      <c:pt idx="42">
                        <c:v>1979.6637336582444</c:v>
                      </c:pt>
                      <c:pt idx="43">
                        <c:v>1758.1102887274296</c:v>
                      </c:pt>
                      <c:pt idx="44">
                        <c:v>1533.8563340535284</c:v>
                      </c:pt>
                      <c:pt idx="45">
                        <c:v>1308.0249845533567</c:v>
                      </c:pt>
                      <c:pt idx="46">
                        <c:v>1081.6174588743993</c:v>
                      </c:pt>
                      <c:pt idx="47">
                        <c:v>855.51723412366835</c:v>
                      </c:pt>
                      <c:pt idx="48">
                        <c:v>630.49529886836308</c:v>
                      </c:pt>
                      <c:pt idx="49">
                        <c:v>407.21621476822196</c:v>
                      </c:pt>
                      <c:pt idx="50">
                        <c:v>186.24474004782758</c:v>
                      </c:pt>
                      <c:pt idx="51">
                        <c:v>-31.947193103290601</c:v>
                      </c:pt>
                      <c:pt idx="52">
                        <c:v>-246.97332031131663</c:v>
                      </c:pt>
                      <c:pt idx="53">
                        <c:v>-458.52584828845647</c:v>
                      </c:pt>
                      <c:pt idx="54">
                        <c:v>-666.36833491604193</c:v>
                      </c:pt>
                      <c:pt idx="55">
                        <c:v>-870.32873802848098</c:v>
                      </c:pt>
                      <c:pt idx="56">
                        <c:v>-1070.2927045969632</c:v>
                      </c:pt>
                      <c:pt idx="57">
                        <c:v>-1266.1971547508099</c:v>
                      </c:pt>
                      <c:pt idx="58">
                        <c:v>-1458.0242004237125</c:v>
                      </c:pt>
                      <c:pt idx="59">
                        <c:v>-1645.7954260691949</c:v>
                      </c:pt>
                      <c:pt idx="60">
                        <c:v>-1829.5665485693298</c:v>
                      </c:pt>
                      <c:pt idx="61">
                        <c:v>-2009.422464905861</c:v>
                      </c:pt>
                      <c:pt idx="62">
                        <c:v>-2185.4726891370697</c:v>
                      </c:pt>
                      <c:pt idx="63">
                        <c:v>-2357.8471745197871</c:v>
                      </c:pt>
                      <c:pt idx="64">
                        <c:v>-2526.6925120484761</c:v>
                      </c:pt>
                      <c:pt idx="65">
                        <c:v>-2692.1684930901883</c:v>
                      </c:pt>
                      <c:pt idx="66">
                        <c:v>-2854.4450210333157</c:v>
                      </c:pt>
                      <c:pt idx="67">
                        <c:v>-3013.6993548154851</c:v>
                      </c:pt>
                      <c:pt idx="68">
                        <c:v>-3170.1136657440925</c:v>
                      </c:pt>
                      <c:pt idx="69">
                        <c:v>-3323.8728880773492</c:v>
                      </c:pt>
                      <c:pt idx="70">
                        <c:v>-3475.1628433134883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480-4003-A92A-241054E60060}"/>
                  </c:ext>
                </c:extLst>
              </c15:ser>
            </c15:filteredScatterSeries>
            <c15:filteredScatterSeries>
              <c15:ser>
                <c:idx val="11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ExpPwLaw'!$S$7</c15:sqref>
                        </c15:formulaRef>
                      </c:ext>
                    </c:extLst>
                    <c:strCache>
                      <c:ptCount val="1"/>
                      <c:pt idx="0">
                        <c:v>New_Recovered_fit</c:v>
                      </c:pt>
                    </c:strCache>
                  </c:strRef>
                </c:tx>
                <c:spPr>
                  <a:ln w="9525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ExpPwLaw'!$S$8:$S$78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1.3600744944773195</c:v>
                      </c:pt>
                      <c:pt idx="2">
                        <c:v>5.0662078024516903</c:v>
                      </c:pt>
                      <c:pt idx="3">
                        <c:v>10.928499876116037</c:v>
                      </c:pt>
                      <c:pt idx="4">
                        <c:v>18.849766625753858</c:v>
                      </c:pt>
                      <c:pt idx="5">
                        <c:v>28.762618888675107</c:v>
                      </c:pt>
                      <c:pt idx="6">
                        <c:v>40.614976389611151</c:v>
                      </c:pt>
                      <c:pt idx="7">
                        <c:v>54.364113264229466</c:v>
                      </c:pt>
                      <c:pt idx="8">
                        <c:v>69.97361421433358</c:v>
                      </c:pt>
                      <c:pt idx="9">
                        <c:v>87.411607643212605</c:v>
                      </c:pt>
                      <c:pt idx="10">
                        <c:v>106.64964902987565</c:v>
                      </c:pt>
                      <c:pt idx="11">
                        <c:v>127.66197056463038</c:v>
                      </c:pt>
                      <c:pt idx="12">
                        <c:v>150.42495285354883</c:v>
                      </c:pt>
                      <c:pt idx="13">
                        <c:v>174.91673907608347</c:v>
                      </c:pt>
                      <c:pt idx="14">
                        <c:v>201.11694470063057</c:v>
                      </c:pt>
                      <c:pt idx="15">
                        <c:v>229.00643367452588</c:v>
                      </c:pt>
                      <c:pt idx="16">
                        <c:v>258.56714227457701</c:v>
                      </c:pt>
                      <c:pt idx="17">
                        <c:v>289.78193801178293</c:v>
                      </c:pt>
                      <c:pt idx="18">
                        <c:v>322.63450488749885</c:v>
                      </c:pt>
                      <c:pt idx="19">
                        <c:v>357.10924883718519</c:v>
                      </c:pt>
                      <c:pt idx="20">
                        <c:v>393.19121889772975</c:v>
                      </c:pt>
                      <c:pt idx="21">
                        <c:v>430.86604080162493</c:v>
                      </c:pt>
                      <c:pt idx="22">
                        <c:v>470.11986052086201</c:v>
                      </c:pt>
                      <c:pt idx="23">
                        <c:v>510.93929587034415</c:v>
                      </c:pt>
                      <c:pt idx="24">
                        <c:v>553.31139470839673</c:v>
                      </c:pt>
                      <c:pt idx="25">
                        <c:v>597.22359858873426</c:v>
                      </c:pt>
                      <c:pt idx="26">
                        <c:v>642.66371095619377</c:v>
                      </c:pt>
                      <c:pt idx="27">
                        <c:v>689.61986915960824</c:v>
                      </c:pt>
                      <c:pt idx="28">
                        <c:v>738.08051969466567</c:v>
                      </c:pt>
                      <c:pt idx="29">
                        <c:v>788.03439619812502</c:v>
                      </c:pt>
                      <c:pt idx="30">
                        <c:v>839.47049980014435</c:v>
                      </c:pt>
                      <c:pt idx="31">
                        <c:v>892.378081509205</c:v>
                      </c:pt>
                      <c:pt idx="32">
                        <c:v>946.74662635833897</c:v>
                      </c:pt>
                      <c:pt idx="33">
                        <c:v>1002.5658390851275</c:v>
                      </c:pt>
                      <c:pt idx="34">
                        <c:v>1059.8256311534626</c:v>
                      </c:pt>
                      <c:pt idx="35">
                        <c:v>1118.516108954188</c:v>
                      </c:pt>
                      <c:pt idx="36">
                        <c:v>1178.6275630457001</c:v>
                      </c:pt>
                      <c:pt idx="37">
                        <c:v>1240.1504583154299</c:v>
                      </c:pt>
                      <c:pt idx="38">
                        <c:v>1303.0754249597048</c:v>
                      </c:pt>
                      <c:pt idx="39">
                        <c:v>1367.3932501933373</c:v>
                      </c:pt>
                      <c:pt idx="40">
                        <c:v>1433.0948706119757</c:v>
                      </c:pt>
                      <c:pt idx="41">
                        <c:v>1500.1713651401424</c:v>
                      </c:pt>
                      <c:pt idx="42">
                        <c:v>1568.6139485062542</c:v>
                      </c:pt>
                      <c:pt idx="43">
                        <c:v>1638.4139651931148</c:v>
                      </c:pt>
                      <c:pt idx="44">
                        <c:v>1709.5628838185166</c:v>
                      </c:pt>
                      <c:pt idx="45">
                        <c:v>1782.0522919058467</c:v>
                      </c:pt>
                      <c:pt idx="46">
                        <c:v>1855.8738910091724</c:v>
                      </c:pt>
                      <c:pt idx="47">
                        <c:v>1931.0194921612569</c:v>
                      </c:pt>
                      <c:pt idx="48">
                        <c:v>2007.4810116163474</c:v>
                      </c:pt>
                      <c:pt idx="49">
                        <c:v>2085.2504668626225</c:v>
                      </c:pt>
                      <c:pt idx="50">
                        <c:v>2164.3199728817926</c:v>
                      </c:pt>
                      <c:pt idx="51">
                        <c:v>2244.6817386356201</c:v>
                      </c:pt>
                      <c:pt idx="52">
                        <c:v>2326.328063761212</c:v>
                      </c:pt>
                      <c:pt idx="53">
                        <c:v>2409.2513354586695</c:v>
                      </c:pt>
                      <c:pt idx="54">
                        <c:v>2493.4440255562845</c:v>
                      </c:pt>
                      <c:pt idx="55">
                        <c:v>2578.8986877398643</c:v>
                      </c:pt>
                      <c:pt idx="56">
                        <c:v>2665.6079549340193</c:v>
                      </c:pt>
                      <c:pt idx="57">
                        <c:v>2753.564536824374</c:v>
                      </c:pt>
                      <c:pt idx="58">
                        <c:v>2842.7612175105551</c:v>
                      </c:pt>
                      <c:pt idx="59">
                        <c:v>2933.190853280902</c:v>
                      </c:pt>
                      <c:pt idx="60">
                        <c:v>3024.8463705003587</c:v>
                      </c:pt>
                      <c:pt idx="61">
                        <c:v>3117.7207636039739</c:v>
                      </c:pt>
                      <c:pt idx="62">
                        <c:v>3211.807093188942</c:v>
                      </c:pt>
                      <c:pt idx="63">
                        <c:v>3307.098484198707</c:v>
                      </c:pt>
                      <c:pt idx="64">
                        <c:v>3403.5881241932098</c:v>
                      </c:pt>
                      <c:pt idx="65">
                        <c:v>3501.2692616997879</c:v>
                      </c:pt>
                      <c:pt idx="66">
                        <c:v>3600.135204639766</c:v>
                      </c:pt>
                      <c:pt idx="67">
                        <c:v>3700.1793188259458</c:v>
                      </c:pt>
                      <c:pt idx="68">
                        <c:v>3801.3950265268631</c:v>
                      </c:pt>
                      <c:pt idx="69">
                        <c:v>3903.7758050937236</c:v>
                      </c:pt>
                      <c:pt idx="70">
                        <c:v>4007.3151856463437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480-4003-A92A-241054E60060}"/>
                  </c:ext>
                </c:extLst>
              </c15:ser>
            </c15:filteredScatterSeries>
            <c15:filteredScatterSeries>
              <c15:ser>
                <c:idx val="12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ExpPwLaw'!$U$7</c15:sqref>
                        </c15:formulaRef>
                      </c:ext>
                    </c:extLst>
                    <c:strCache>
                      <c:ptCount val="1"/>
                      <c:pt idx="0">
                        <c:v>NR_Upper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ExpPwLaw'!$U$8:$U$78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499.81973239006709</c:v>
                      </c:pt>
                      <c:pt idx="1">
                        <c:v>501.1798068845444</c:v>
                      </c:pt>
                      <c:pt idx="2">
                        <c:v>504.88594019251877</c:v>
                      </c:pt>
                      <c:pt idx="3">
                        <c:v>510.74823226618315</c:v>
                      </c:pt>
                      <c:pt idx="4">
                        <c:v>518.66949901582097</c:v>
                      </c:pt>
                      <c:pt idx="5">
                        <c:v>528.58235127874218</c:v>
                      </c:pt>
                      <c:pt idx="6">
                        <c:v>540.4347087796782</c:v>
                      </c:pt>
                      <c:pt idx="7">
                        <c:v>554.18384565429653</c:v>
                      </c:pt>
                      <c:pt idx="8">
                        <c:v>569.79334660440065</c:v>
                      </c:pt>
                      <c:pt idx="9">
                        <c:v>587.23134003327971</c:v>
                      </c:pt>
                      <c:pt idx="10">
                        <c:v>606.46938141994269</c:v>
                      </c:pt>
                      <c:pt idx="11">
                        <c:v>627.48170295469743</c:v>
                      </c:pt>
                      <c:pt idx="12">
                        <c:v>650.24468524361589</c:v>
                      </c:pt>
                      <c:pt idx="13">
                        <c:v>674.73647146615053</c:v>
                      </c:pt>
                      <c:pt idx="14">
                        <c:v>700.93667709069769</c:v>
                      </c:pt>
                      <c:pt idx="15">
                        <c:v>728.82616606459294</c:v>
                      </c:pt>
                      <c:pt idx="16">
                        <c:v>758.3868746646441</c:v>
                      </c:pt>
                      <c:pt idx="17">
                        <c:v>789.60167040185001</c:v>
                      </c:pt>
                      <c:pt idx="18">
                        <c:v>822.45423727756588</c:v>
                      </c:pt>
                      <c:pt idx="19">
                        <c:v>856.92898122725228</c:v>
                      </c:pt>
                      <c:pt idx="20">
                        <c:v>893.01095128779684</c:v>
                      </c:pt>
                      <c:pt idx="21">
                        <c:v>930.68577319169208</c:v>
                      </c:pt>
                      <c:pt idx="22">
                        <c:v>969.93959291092915</c:v>
                      </c:pt>
                      <c:pt idx="23">
                        <c:v>1010.7590282604112</c:v>
                      </c:pt>
                      <c:pt idx="24">
                        <c:v>1053.1311270984638</c:v>
                      </c:pt>
                      <c:pt idx="25">
                        <c:v>1097.0433309788014</c:v>
                      </c:pt>
                      <c:pt idx="26">
                        <c:v>1142.4834433462609</c:v>
                      </c:pt>
                      <c:pt idx="27">
                        <c:v>1189.4396015496754</c:v>
                      </c:pt>
                      <c:pt idx="28">
                        <c:v>1237.9002520847328</c:v>
                      </c:pt>
                      <c:pt idx="29">
                        <c:v>1287.854128588192</c:v>
                      </c:pt>
                      <c:pt idx="30">
                        <c:v>1339.2902321902116</c:v>
                      </c:pt>
                      <c:pt idx="31">
                        <c:v>1392.1978138992722</c:v>
                      </c:pt>
                      <c:pt idx="32">
                        <c:v>1446.5663587484059</c:v>
                      </c:pt>
                      <c:pt idx="33">
                        <c:v>1502.3855714751946</c:v>
                      </c:pt>
                      <c:pt idx="34">
                        <c:v>1559.6453635435296</c:v>
                      </c:pt>
                      <c:pt idx="35">
                        <c:v>1618.3358413442552</c:v>
                      </c:pt>
                      <c:pt idx="36">
                        <c:v>1678.447295435767</c:v>
                      </c:pt>
                      <c:pt idx="37">
                        <c:v>1739.9701907054969</c:v>
                      </c:pt>
                      <c:pt idx="38">
                        <c:v>1802.895157349772</c:v>
                      </c:pt>
                      <c:pt idx="39">
                        <c:v>1867.2129825834045</c:v>
                      </c:pt>
                      <c:pt idx="40">
                        <c:v>1932.9146030020429</c:v>
                      </c:pt>
                      <c:pt idx="41">
                        <c:v>1999.9910975302096</c:v>
                      </c:pt>
                      <c:pt idx="42">
                        <c:v>2068.4336808963212</c:v>
                      </c:pt>
                      <c:pt idx="43">
                        <c:v>2138.2336975831818</c:v>
                      </c:pt>
                      <c:pt idx="44">
                        <c:v>2209.3826162085838</c:v>
                      </c:pt>
                      <c:pt idx="45">
                        <c:v>2281.8720242959139</c:v>
                      </c:pt>
                      <c:pt idx="46">
                        <c:v>2355.6936233992396</c:v>
                      </c:pt>
                      <c:pt idx="47">
                        <c:v>2430.8392245513242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480-4003-A92A-241054E60060}"/>
                  </c:ext>
                </c:extLst>
              </c15:ser>
            </c15:filteredScatterSeries>
            <c15:filteredScatterSeries>
              <c15:ser>
                <c:idx val="13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ExpPwLaw'!$V$7</c15:sqref>
                        </c15:formulaRef>
                      </c:ext>
                    </c:extLst>
                    <c:strCache>
                      <c:ptCount val="1"/>
                      <c:pt idx="0">
                        <c:v>NR_Lower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ExpPwLaw'!$V$8:$V$78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11.119563480277066</c:v>
                      </c:pt>
                      <c:pt idx="24">
                        <c:v>53.491662318329645</c:v>
                      </c:pt>
                      <c:pt idx="25">
                        <c:v>97.403866198667174</c:v>
                      </c:pt>
                      <c:pt idx="26">
                        <c:v>142.84397856612668</c:v>
                      </c:pt>
                      <c:pt idx="27">
                        <c:v>189.80013676954115</c:v>
                      </c:pt>
                      <c:pt idx="28">
                        <c:v>238.26078730459858</c:v>
                      </c:pt>
                      <c:pt idx="29">
                        <c:v>288.21466380805794</c:v>
                      </c:pt>
                      <c:pt idx="30">
                        <c:v>339.65076741007726</c:v>
                      </c:pt>
                      <c:pt idx="31">
                        <c:v>392.55834911913792</c:v>
                      </c:pt>
                      <c:pt idx="32">
                        <c:v>446.92689396827188</c:v>
                      </c:pt>
                      <c:pt idx="33">
                        <c:v>502.74610669506046</c:v>
                      </c:pt>
                      <c:pt idx="34">
                        <c:v>560.00589876339552</c:v>
                      </c:pt>
                      <c:pt idx="35">
                        <c:v>618.6963765641209</c:v>
                      </c:pt>
                      <c:pt idx="36">
                        <c:v>678.80783065563298</c:v>
                      </c:pt>
                      <c:pt idx="37">
                        <c:v>740.3307259253628</c:v>
                      </c:pt>
                      <c:pt idx="38">
                        <c:v>803.25569256963774</c:v>
                      </c:pt>
                      <c:pt idx="39">
                        <c:v>867.57351780327019</c:v>
                      </c:pt>
                      <c:pt idx="40">
                        <c:v>933.27513822190861</c:v>
                      </c:pt>
                      <c:pt idx="41">
                        <c:v>1000.3516327500753</c:v>
                      </c:pt>
                      <c:pt idx="42">
                        <c:v>1068.7942161161873</c:v>
                      </c:pt>
                      <c:pt idx="43">
                        <c:v>1138.5942328030478</c:v>
                      </c:pt>
                      <c:pt idx="44">
                        <c:v>1209.7431514284494</c:v>
                      </c:pt>
                      <c:pt idx="45">
                        <c:v>1282.2325595157795</c:v>
                      </c:pt>
                      <c:pt idx="46">
                        <c:v>1356.0541586191052</c:v>
                      </c:pt>
                      <c:pt idx="47">
                        <c:v>1431.1997597711897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480-4003-A92A-241054E60060}"/>
                  </c:ext>
                </c:extLst>
              </c15:ser>
            </c15:filteredScatterSeries>
            <c15:filteredScatterSeries>
              <c15:ser>
                <c:idx val="5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ExpPwLaw'!$AA$7</c15:sqref>
                        </c15:formulaRef>
                      </c:ext>
                    </c:extLst>
                    <c:strCache>
                      <c:ptCount val="1"/>
                      <c:pt idx="0">
                        <c:v>New_Deaths_fit</c:v>
                      </c:pt>
                    </c:strCache>
                  </c:strRef>
                </c:tx>
                <c:spPr>
                  <a:ln w="952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ExpPwLaw'!$AA$8:$AA$78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4.8367996252178042E-6</c:v>
                      </c:pt>
                      <c:pt idx="2">
                        <c:v>6.5782922325141688E-4</c:v>
                      </c:pt>
                      <c:pt idx="3">
                        <c:v>1.0638740462945358E-2</c:v>
                      </c:pt>
                      <c:pt idx="4">
                        <c:v>7.1952166390477107E-2</c:v>
                      </c:pt>
                      <c:pt idx="5">
                        <c:v>0.30180961832400338</c:v>
                      </c:pt>
                      <c:pt idx="6">
                        <c:v>0.93582915626031693</c:v>
                      </c:pt>
                      <c:pt idx="7">
                        <c:v>2.355604817794454</c:v>
                      </c:pt>
                      <c:pt idx="8">
                        <c:v>5.0900948793166476</c:v>
                      </c:pt>
                      <c:pt idx="9">
                        <c:v>9.7886976535173353</c:v>
                      </c:pt>
                      <c:pt idx="10">
                        <c:v>17.170807713443576</c:v>
                      </c:pt>
                      <c:pt idx="11">
                        <c:v>27.960754883868894</c:v>
                      </c:pt>
                      <c:pt idx="12">
                        <c:v>42.818343909189899</c:v>
                      </c:pt>
                      <c:pt idx="13">
                        <c:v>62.274388403031345</c:v>
                      </c:pt>
                      <c:pt idx="14">
                        <c:v>86.678497332288231</c:v>
                      </c:pt>
                      <c:pt idx="15">
                        <c:v>116.16367919174552</c:v>
                      </c:pt>
                      <c:pt idx="16">
                        <c:v>150.62964864922716</c:v>
                      </c:pt>
                      <c:pt idx="17">
                        <c:v>189.74441938271323</c:v>
                      </c:pt>
                      <c:pt idx="18">
                        <c:v>232.96203187632224</c:v>
                      </c:pt>
                      <c:pt idx="19">
                        <c:v>279.55314541438361</c:v>
                      </c:pt>
                      <c:pt idx="20">
                        <c:v>328.6446761802859</c:v>
                      </c:pt>
                      <c:pt idx="21">
                        <c:v>379.26459182748982</c:v>
                      </c:pt>
                      <c:pt idx="22">
                        <c:v>430.38825821002183</c:v>
                      </c:pt>
                      <c:pt idx="23">
                        <c:v>480.98325617535363</c:v>
                      </c:pt>
                      <c:pt idx="24">
                        <c:v>530.05023787763673</c:v>
                      </c:pt>
                      <c:pt idx="25">
                        <c:v>576.65808484735953</c:v>
                      </c:pt>
                      <c:pt idx="26">
                        <c:v>619.97229774869299</c:v>
                      </c:pt>
                      <c:pt idx="27">
                        <c:v>659.27614514475454</c:v>
                      </c:pt>
                      <c:pt idx="28">
                        <c:v>693.98459897305122</c:v>
                      </c:pt>
                      <c:pt idx="29">
                        <c:v>723.65147619166612</c:v>
                      </c:pt>
                      <c:pt idx="30">
                        <c:v>747.97048900617369</c:v>
                      </c:pt>
                      <c:pt idx="31">
                        <c:v>766.77108803201179</c:v>
                      </c:pt>
                      <c:pt idx="32">
                        <c:v>780.01007649154997</c:v>
                      </c:pt>
                      <c:pt idx="33">
                        <c:v>787.75999446150126</c:v>
                      </c:pt>
                      <c:pt idx="34">
                        <c:v>790.19523635503219</c:v>
                      </c:pt>
                      <c:pt idx="35">
                        <c:v>787.57678770511734</c:v>
                      </c:pt>
                      <c:pt idx="36">
                        <c:v>780.23636288318858</c:v>
                      </c:pt>
                      <c:pt idx="37">
                        <c:v>768.56060562854873</c:v>
                      </c:pt>
                      <c:pt idx="38">
                        <c:v>752.97588897665196</c:v>
                      </c:pt>
                      <c:pt idx="39">
                        <c:v>733.93412796877828</c:v>
                      </c:pt>
                      <c:pt idx="40">
                        <c:v>711.8999029708325</c:v>
                      </c:pt>
                      <c:pt idx="41">
                        <c:v>687.33908728580616</c:v>
                      </c:pt>
                      <c:pt idx="42">
                        <c:v>660.70908224214418</c:v>
                      </c:pt>
                      <c:pt idx="43">
                        <c:v>632.450687066515</c:v>
                      </c:pt>
                      <c:pt idx="44">
                        <c:v>602.98156962895212</c:v>
                      </c:pt>
                      <c:pt idx="45">
                        <c:v>572.69125689772625</c:v>
                      </c:pt>
                      <c:pt idx="46">
                        <c:v>541.9375294918292</c:v>
                      </c:pt>
                      <c:pt idx="47">
                        <c:v>511.04408160245669</c:v>
                      </c:pt>
                      <c:pt idx="48">
                        <c:v>480.29929415414136</c:v>
                      </c:pt>
                      <c:pt idx="49">
                        <c:v>449.95596374129133</c:v>
                      </c:pt>
                      <c:pt idx="50">
                        <c:v>420.23183101044981</c:v>
                      </c:pt>
                      <c:pt idx="51">
                        <c:v>391.31075827855125</c:v>
                      </c:pt>
                      <c:pt idx="52">
                        <c:v>363.34441595022207</c:v>
                      </c:pt>
                      <c:pt idx="53">
                        <c:v>336.45434956065719</c:v>
                      </c:pt>
                      <c:pt idx="54">
                        <c:v>310.73431304117639</c:v>
                      </c:pt>
                      <c:pt idx="55">
                        <c:v>286.2527682728076</c:v>
                      </c:pt>
                      <c:pt idx="56">
                        <c:v>263.05546551454864</c:v>
                      </c:pt>
                      <c:pt idx="57">
                        <c:v>241.16803337195756</c:v>
                      </c:pt>
                      <c:pt idx="58">
                        <c:v>220.5985202452145</c:v>
                      </c:pt>
                      <c:pt idx="59">
                        <c:v>201.33984141423738</c:v>
                      </c:pt>
                      <c:pt idx="60">
                        <c:v>183.37209692713787</c:v>
                      </c:pt>
                      <c:pt idx="61">
                        <c:v>166.66473518031205</c:v>
                      </c:pt>
                      <c:pt idx="62">
                        <c:v>151.17854549802618</c:v>
                      </c:pt>
                      <c:pt idx="63">
                        <c:v>136.86747016776945</c:v>
                      </c:pt>
                      <c:pt idx="64">
                        <c:v>123.68023233040964</c:v>
                      </c:pt>
                      <c:pt idx="65">
                        <c:v>111.56178095063204</c:v>
                      </c:pt>
                      <c:pt idx="66">
                        <c:v>100.45455790731636</c:v>
                      </c:pt>
                      <c:pt idx="67">
                        <c:v>90.299595157262686</c:v>
                      </c:pt>
                      <c:pt idx="68">
                        <c:v>81.037452052822943</c:v>
                      </c:pt>
                      <c:pt idx="69">
                        <c:v>72.60900434622711</c:v>
                      </c:pt>
                      <c:pt idx="70">
                        <c:v>64.956097297037346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480-4003-A92A-241054E60060}"/>
                  </c:ext>
                </c:extLst>
              </c15:ser>
            </c15:filteredScatterSeries>
            <c15:filteredScatterSeries>
              <c15:ser>
                <c:idx val="6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ExpPwLaw'!$AC$7</c15:sqref>
                        </c15:formulaRef>
                      </c:ext>
                    </c:extLst>
                    <c:strCache>
                      <c:ptCount val="1"/>
                      <c:pt idx="0">
                        <c:v>D_Upper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ExpPwLaw'!$AC$8:$AC$78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882.24702719091897</c:v>
                      </c:pt>
                      <c:pt idx="1">
                        <c:v>882.24702778022743</c:v>
                      </c:pt>
                      <c:pt idx="2">
                        <c:v>882.24719135626538</c:v>
                      </c:pt>
                      <c:pt idx="3">
                        <c:v>882.25110759996744</c:v>
                      </c:pt>
                      <c:pt idx="4">
                        <c:v>882.284745856668</c:v>
                      </c:pt>
                      <c:pt idx="5">
                        <c:v>882.44985545120244</c:v>
                      </c:pt>
                      <c:pt idx="6">
                        <c:v>883.02142737569625</c:v>
                      </c:pt>
                      <c:pt idx="7">
                        <c:v>884.58175619623864</c:v>
                      </c:pt>
                      <c:pt idx="8">
                        <c:v>888.16950498336769</c:v>
                      </c:pt>
                      <c:pt idx="9">
                        <c:v>895.41585288032445</c:v>
                      </c:pt>
                      <c:pt idx="10">
                        <c:v>908.64134226149736</c:v>
                      </c:pt>
                      <c:pt idx="11">
                        <c:v>930.89413802243757</c:v>
                      </c:pt>
                      <c:pt idx="12">
                        <c:v>965.92018265572665</c:v>
                      </c:pt>
                      <c:pt idx="13">
                        <c:v>1018.0656805172407</c:v>
                      </c:pt>
                      <c:pt idx="14">
                        <c:v>1092.1207461571969</c:v>
                      </c:pt>
                      <c:pt idx="15">
                        <c:v>1193.1189828535839</c:v>
                      </c:pt>
                      <c:pt idx="16">
                        <c:v>1326.1109630966273</c:v>
                      </c:pt>
                      <c:pt idx="17">
                        <c:v>1495.9302751808627</c:v>
                      </c:pt>
                      <c:pt idx="18">
                        <c:v>1706.9694653269194</c:v>
                      </c:pt>
                      <c:pt idx="19">
                        <c:v>1962.9804431857845</c:v>
                      </c:pt>
                      <c:pt idx="20">
                        <c:v>2266.9103299364592</c:v>
                      </c:pt>
                      <c:pt idx="21">
                        <c:v>2620.7798394789061</c:v>
                      </c:pt>
                      <c:pt idx="22">
                        <c:v>3025.6075116217253</c:v>
                      </c:pt>
                      <c:pt idx="23">
                        <c:v>3481.3797579599022</c:v>
                      </c:pt>
                      <c:pt idx="24">
                        <c:v>3987.0639180390272</c:v>
                      </c:pt>
                      <c:pt idx="25">
                        <c:v>4540.6594389118191</c:v>
                      </c:pt>
                      <c:pt idx="26">
                        <c:v>5139.2808915579089</c:v>
                      </c:pt>
                      <c:pt idx="27">
                        <c:v>5779.2657734929799</c:v>
                      </c:pt>
                      <c:pt idx="28">
                        <c:v>6456.2998331751769</c:v>
                      </c:pt>
                      <c:pt idx="29">
                        <c:v>7165.5528846047782</c:v>
                      </c:pt>
                      <c:pt idx="30">
                        <c:v>7901.8186502883846</c:v>
                      </c:pt>
                      <c:pt idx="31">
                        <c:v>8659.6529720606632</c:v>
                      </c:pt>
                      <c:pt idx="32">
                        <c:v>9433.5056672163591</c:v>
                      </c:pt>
                      <c:pt idx="33">
                        <c:v>10217.842301361005</c:v>
                      </c:pt>
                      <c:pt idx="34">
                        <c:v>11007.253134555885</c:v>
                      </c:pt>
                      <c:pt idx="35">
                        <c:v>11796.547424789362</c:v>
                      </c:pt>
                      <c:pt idx="36">
                        <c:v>12580.832108400517</c:v>
                      </c:pt>
                      <c:pt idx="37">
                        <c:v>13355.57459967143</c:v>
                      </c:pt>
                      <c:pt idx="38">
                        <c:v>14116.650051146606</c:v>
                      </c:pt>
                      <c:pt idx="39">
                        <c:v>14860.373890788444</c:v>
                      </c:pt>
                      <c:pt idx="40">
                        <c:v>15583.52080686318</c:v>
                      </c:pt>
                      <c:pt idx="41">
                        <c:v>16283.331596142269</c:v>
                      </c:pt>
                      <c:pt idx="42">
                        <c:v>16957.509438243473</c:v>
                      </c:pt>
                      <c:pt idx="43">
                        <c:v>17604.207222948109</c:v>
                      </c:pt>
                      <c:pt idx="44">
                        <c:v>18222.007552827785</c:v>
                      </c:pt>
                      <c:pt idx="45">
                        <c:v>18809.896984855102</c:v>
                      </c:pt>
                      <c:pt idx="46">
                        <c:v>19367.235975276668</c:v>
                      </c:pt>
                      <c:pt idx="47">
                        <c:v>19893.725863977863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480-4003-A92A-241054E60060}"/>
                  </c:ext>
                </c:extLst>
              </c15:ser>
            </c15:filteredScatterSeries>
            <c15:filteredScatterSeries>
              <c15:ser>
                <c:idx val="7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ExpPwLaw'!$AD$7</c15:sqref>
                        </c15:formulaRef>
                      </c:ext>
                    </c:extLst>
                    <c:strCache>
                      <c:ptCount val="1"/>
                      <c:pt idx="0">
                        <c:v>D_Lower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ExpPwLaw'!$AD$8:$AD$78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198.48638880394651</c:v>
                      </c:pt>
                      <c:pt idx="20">
                        <c:v>502.41627555462128</c:v>
                      </c:pt>
                      <c:pt idx="21">
                        <c:v>856.28578509706836</c:v>
                      </c:pt>
                      <c:pt idx="22">
                        <c:v>1261.1134572398876</c:v>
                      </c:pt>
                      <c:pt idx="23">
                        <c:v>1716.8857035780645</c:v>
                      </c:pt>
                      <c:pt idx="24">
                        <c:v>2222.5698636571897</c:v>
                      </c:pt>
                      <c:pt idx="25">
                        <c:v>2776.1653845299816</c:v>
                      </c:pt>
                      <c:pt idx="26">
                        <c:v>3374.7868371760715</c:v>
                      </c:pt>
                      <c:pt idx="27">
                        <c:v>4014.7717191111424</c:v>
                      </c:pt>
                      <c:pt idx="28">
                        <c:v>4691.8057787933394</c:v>
                      </c:pt>
                      <c:pt idx="29">
                        <c:v>5401.0588302229407</c:v>
                      </c:pt>
                      <c:pt idx="30">
                        <c:v>6137.3245959065471</c:v>
                      </c:pt>
                      <c:pt idx="31">
                        <c:v>6895.1589176788248</c:v>
                      </c:pt>
                      <c:pt idx="32">
                        <c:v>7669.0116128345217</c:v>
                      </c:pt>
                      <c:pt idx="33">
                        <c:v>8453.348246979167</c:v>
                      </c:pt>
                      <c:pt idx="34">
                        <c:v>9242.759080174048</c:v>
                      </c:pt>
                      <c:pt idx="35">
                        <c:v>10032.053370407524</c:v>
                      </c:pt>
                      <c:pt idx="36">
                        <c:v>10816.338054018679</c:v>
                      </c:pt>
                      <c:pt idx="37">
                        <c:v>11591.080545289593</c:v>
                      </c:pt>
                      <c:pt idx="38">
                        <c:v>12352.155996764768</c:v>
                      </c:pt>
                      <c:pt idx="39">
                        <c:v>13095.879836406606</c:v>
                      </c:pt>
                      <c:pt idx="40">
                        <c:v>13819.026752481343</c:v>
                      </c:pt>
                      <c:pt idx="41">
                        <c:v>14518.837541760431</c:v>
                      </c:pt>
                      <c:pt idx="42">
                        <c:v>15193.015383861635</c:v>
                      </c:pt>
                      <c:pt idx="43">
                        <c:v>15839.713168566272</c:v>
                      </c:pt>
                      <c:pt idx="44">
                        <c:v>16457.513498445947</c:v>
                      </c:pt>
                      <c:pt idx="45">
                        <c:v>17045.402930473265</c:v>
                      </c:pt>
                      <c:pt idx="46">
                        <c:v>17602.74192089483</c:v>
                      </c:pt>
                      <c:pt idx="47">
                        <c:v>18129.231809596025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480-4003-A92A-241054E60060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 from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Daily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'Cumul_confirmed - ExpPwLaw'!$AF$38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'Cumul_confirmed - ExpPwLaw'!$AF$31</c:f>
              <c:strCache>
                <c:ptCount val="1"/>
                <c:pt idx="0">
                  <c:v>Deaths</c:v>
                </c:pt>
              </c:strCache>
            </c:strRef>
          </c:cat>
          <c:val>
            <c:numRef>
              <c:f>'Cumul_confirmed - ExpPwLaw'!$AG$38</c:f>
              <c:numCache>
                <c:formatCode>0.0000</c:formatCode>
                <c:ptCount val="1"/>
                <c:pt idx="0">
                  <c:v>0.99708540012650482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C5-45B8-B127-BD941090783B}"/>
            </c:ext>
          </c:extLst>
        </c:ser>
        <c:ser>
          <c:idx val="1"/>
          <c:order val="1"/>
          <c:tx>
            <c:strRef>
              <c:f>'Cumul_confirmed - ExpPwLaw'!$AF$40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'Cumul_confirmed - ExpPwLaw'!$AG$40</c:f>
              <c:numCache>
                <c:formatCode>0</c:formatCode>
                <c:ptCount val="1"/>
                <c:pt idx="0">
                  <c:v>882.24702719091897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4-4ED5-A028-64FF1F9E9F9D}"/>
            </c:ext>
          </c:extLst>
        </c:ser>
        <c:ser>
          <c:idx val="2"/>
          <c:order val="2"/>
          <c:tx>
            <c:strRef>
              <c:f>'Cumul_confirmed - ExpPwLaw'!$AF$41</c:f>
              <c:strCache>
                <c:ptCount val="1"/>
                <c:pt idx="0">
                  <c:v>Saturation val.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'Cumul_confirmed - ExpPwLaw'!$AG$41</c:f>
              <c:numCache>
                <c:formatCode>0</c:formatCode>
                <c:ptCount val="1"/>
                <c:pt idx="0">
                  <c:v>25012.869902129798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F4-4ED5-A028-64FF1F9E9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'Cumul_confirmed - ExpPwLaw'!$AF$26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'Cumul_confirmed - ExpPwLaw'!$AF$19</c:f>
              <c:strCache>
                <c:ptCount val="1"/>
                <c:pt idx="0">
                  <c:v>Recovered</c:v>
                </c:pt>
              </c:strCache>
            </c:strRef>
          </c:cat>
          <c:val>
            <c:numRef>
              <c:f>'Cumul_confirmed - ExpPwLaw'!$AG$26</c:f>
              <c:numCache>
                <c:formatCode>0.0000</c:formatCode>
                <c:ptCount val="1"/>
                <c:pt idx="0">
                  <c:v>0.99810784319498602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24-46E1-B41A-8365D5B6ADB2}"/>
            </c:ext>
          </c:extLst>
        </c:ser>
        <c:ser>
          <c:idx val="1"/>
          <c:order val="1"/>
          <c:tx>
            <c:strRef>
              <c:f>'Cumul_confirmed - ExpPwLaw'!$AF$28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'Cumul_confirmed - ExpPwLaw'!$AG$28</c:f>
              <c:numCache>
                <c:formatCode>0</c:formatCode>
                <c:ptCount val="1"/>
                <c:pt idx="0">
                  <c:v>1021.671562890606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AF-49DE-A4D6-700CB0C04F71}"/>
            </c:ext>
          </c:extLst>
        </c:ser>
        <c:ser>
          <c:idx val="2"/>
          <c:order val="2"/>
          <c:tx>
            <c:strRef>
              <c:f>'Cumul_confirmed - ExpPwLaw'!$AF$29</c:f>
              <c:strCache>
                <c:ptCount val="1"/>
                <c:pt idx="0">
                  <c:v>Saturation val.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'Cumul_confirmed - ExpPwLaw'!$AG$29</c:f>
              <c:numCache>
                <c:formatCode>0</c:formatCode>
                <c:ptCount val="1"/>
                <c:pt idx="0">
                  <c:v>834552046.95059609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AF-49DE-A4D6-700CB0C04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</a:ln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'Cumul_confirmed - ExpPwLaw'!$AF$14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'Cumul_confirmed - ExpPwLaw'!$AF$7</c:f>
              <c:strCache>
                <c:ptCount val="1"/>
                <c:pt idx="0">
                  <c:v>Confirmed</c:v>
                </c:pt>
              </c:strCache>
            </c:strRef>
          </c:cat>
          <c:val>
            <c:numRef>
              <c:f>'Cumul_confirmed - ExpPwLaw'!$AG$14</c:f>
              <c:numCache>
                <c:formatCode>0.0000</c:formatCode>
                <c:ptCount val="1"/>
                <c:pt idx="0">
                  <c:v>0.99701114062224838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8-4A43-A86B-11A7BEE81EBD}"/>
            </c:ext>
          </c:extLst>
        </c:ser>
        <c:ser>
          <c:idx val="1"/>
          <c:order val="1"/>
          <c:tx>
            <c:strRef>
              <c:f>'Cumul_confirmed - ExpPwLaw'!$AF$16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'Cumul_confirmed - ExpPwLaw'!$AG$16</c:f>
              <c:numCache>
                <c:formatCode>0</c:formatCode>
                <c:ptCount val="1"/>
                <c:pt idx="0">
                  <c:v>7330.6355560556203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A-4902-BFCA-FD5EB3CA0030}"/>
            </c:ext>
          </c:extLst>
        </c:ser>
        <c:ser>
          <c:idx val="2"/>
          <c:order val="2"/>
          <c:tx>
            <c:strRef>
              <c:f>'Cumul_confirmed - ExpPwLaw'!$AF$17</c:f>
              <c:strCache>
                <c:ptCount val="1"/>
                <c:pt idx="0">
                  <c:v>Saturation val.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'Cumul_confirmed - ExpPwLaw'!$AG$17</c:f>
              <c:numCache>
                <c:formatCode>0</c:formatCode>
                <c:ptCount val="1"/>
                <c:pt idx="0">
                  <c:v>193511.06871560728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CA-4902-BFCA-FD5EB3CA0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</a:ln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solidFill>
            <a:srgbClr val="0070C0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emf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image" Target="../media/image3.emf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859971</xdr:colOff>
      <xdr:row>2</xdr:row>
      <xdr:rowOff>185057</xdr:rowOff>
    </xdr:from>
    <xdr:ext cx="1099456" cy="4136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D51ED4DB-D98F-4607-88B8-B2A5F5A5E99B}"/>
                </a:ext>
              </a:extLst>
            </xdr:cNvPr>
            <xdr:cNvSpPr txBox="1"/>
          </xdr:nvSpPr>
          <xdr:spPr>
            <a:xfrm>
              <a:off x="4898571" y="664028"/>
              <a:ext cx="1099456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D51ED4DB-D98F-4607-88B8-B2A5F5A5E99B}"/>
                </a:ext>
              </a:extLst>
            </xdr:cNvPr>
            <xdr:cNvSpPr txBox="1"/>
          </xdr:nvSpPr>
          <xdr:spPr>
            <a:xfrm>
              <a:off x="4898571" y="664028"/>
              <a:ext cx="1099456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〖𝑘(𝑡/𝑡_0 )〗^𝑤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4</xdr:col>
      <xdr:colOff>819695</xdr:colOff>
      <xdr:row>29</xdr:row>
      <xdr:rowOff>54429</xdr:rowOff>
    </xdr:from>
    <xdr:to>
      <xdr:col>5</xdr:col>
      <xdr:colOff>678180</xdr:colOff>
      <xdr:row>30</xdr:row>
      <xdr:rowOff>76200</xdr:rowOff>
    </xdr:to>
    <xdr:sp macro="" textlink="B8">
      <xdr:nvSpPr>
        <xdr:cNvPr id="3" name="CasellaDiTesto 2">
          <a:extLst>
            <a:ext uri="{FF2B5EF4-FFF2-40B4-BE49-F238E27FC236}">
              <a16:creationId xmlns:a16="http://schemas.microsoft.com/office/drawing/2014/main" id="{F59F73D6-4BA0-4B34-8FB8-C9F488D9CFF9}"/>
            </a:ext>
          </a:extLst>
        </xdr:cNvPr>
        <xdr:cNvSpPr txBox="1"/>
      </xdr:nvSpPr>
      <xdr:spPr>
        <a:xfrm>
          <a:off x="3203666" y="6052458"/>
          <a:ext cx="685800" cy="206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45D5262-0BAC-46B5-80DC-680C0C6DA885}" type="TxLink">
            <a:rPr lang="en-US" sz="1100" b="0" i="0" u="none" strike="noStrike">
              <a:ln>
                <a:noFill/>
              </a:ln>
              <a:solidFill>
                <a:srgbClr val="000000"/>
              </a:solidFill>
              <a:latin typeface="Calibri"/>
              <a:cs typeface="Calibri"/>
            </a:rPr>
            <a:pPr/>
            <a:t>24-feb</a:t>
          </a:fld>
          <a:endParaRPr lang="it-IT" sz="1100">
            <a:ln>
              <a:noFill/>
            </a:ln>
          </a:endParaRPr>
        </a:p>
      </xdr:txBody>
    </xdr:sp>
    <xdr:clientData/>
  </xdr:twoCellAnchor>
  <xdr:twoCellAnchor>
    <xdr:from>
      <xdr:col>33</xdr:col>
      <xdr:colOff>7620</xdr:colOff>
      <xdr:row>6</xdr:row>
      <xdr:rowOff>0</xdr:rowOff>
    </xdr:from>
    <xdr:to>
      <xdr:col>44</xdr:col>
      <xdr:colOff>99060</xdr:colOff>
      <xdr:row>38</xdr:row>
      <xdr:rowOff>144780</xdr:rowOff>
    </xdr:to>
    <xdr:grpSp>
      <xdr:nvGrpSpPr>
        <xdr:cNvPr id="4" name="Gruppo 3">
          <a:extLst>
            <a:ext uri="{FF2B5EF4-FFF2-40B4-BE49-F238E27FC236}">
              <a16:creationId xmlns:a16="http://schemas.microsoft.com/office/drawing/2014/main" id="{C38719AA-89BB-413C-B474-4D6F4534DDA6}"/>
            </a:ext>
          </a:extLst>
        </xdr:cNvPr>
        <xdr:cNvGrpSpPr/>
      </xdr:nvGrpSpPr>
      <xdr:grpSpPr>
        <a:xfrm>
          <a:off x="29702760" y="1440180"/>
          <a:ext cx="6941820" cy="6339840"/>
          <a:chOff x="29739475" y="1440873"/>
          <a:chExt cx="6935585" cy="6296198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F5082D72-C1F7-4963-A285-6EBE98D385D7}"/>
              </a:ext>
            </a:extLst>
          </xdr:cNvPr>
          <xdr:cNvGraphicFramePr>
            <a:graphicFrameLocks/>
          </xdr:cNvGraphicFramePr>
        </xdr:nvGraphicFramePr>
        <xdr:xfrm>
          <a:off x="29739475" y="1440873"/>
          <a:ext cx="6935585" cy="62961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20" name="Grafico 19">
            <a:extLst>
              <a:ext uri="{FF2B5EF4-FFF2-40B4-BE49-F238E27FC236}">
                <a16:creationId xmlns:a16="http://schemas.microsoft.com/office/drawing/2014/main" id="{972049CD-4752-4595-84C5-C19A2B85FFFF}"/>
              </a:ext>
            </a:extLst>
          </xdr:cNvPr>
          <xdr:cNvGraphicFramePr>
            <a:graphicFrameLocks/>
          </xdr:cNvGraphicFramePr>
        </xdr:nvGraphicFramePr>
        <xdr:xfrm>
          <a:off x="35058927" y="6178298"/>
          <a:ext cx="1550037" cy="12224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21" name="Grafico 20">
            <a:extLst>
              <a:ext uri="{FF2B5EF4-FFF2-40B4-BE49-F238E27FC236}">
                <a16:creationId xmlns:a16="http://schemas.microsoft.com/office/drawing/2014/main" id="{0E00F1BC-6DC3-463A-9828-19B565C65D04}"/>
              </a:ext>
            </a:extLst>
          </xdr:cNvPr>
          <xdr:cNvGraphicFramePr>
            <a:graphicFrameLocks/>
          </xdr:cNvGraphicFramePr>
        </xdr:nvGraphicFramePr>
        <xdr:xfrm>
          <a:off x="31120280" y="6067193"/>
          <a:ext cx="1549082" cy="126969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22" name="Grafico 21">
            <a:extLst>
              <a:ext uri="{FF2B5EF4-FFF2-40B4-BE49-F238E27FC236}">
                <a16:creationId xmlns:a16="http://schemas.microsoft.com/office/drawing/2014/main" id="{DA6A5183-FA01-4C8B-BE7D-4A16AB61894C}"/>
              </a:ext>
            </a:extLst>
          </xdr:cNvPr>
          <xdr:cNvGraphicFramePr>
            <a:graphicFrameLocks/>
          </xdr:cNvGraphicFramePr>
        </xdr:nvGraphicFramePr>
        <xdr:xfrm>
          <a:off x="33360991" y="2547589"/>
          <a:ext cx="1558636" cy="121288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pic>
            <xdr:nvPicPr>
              <xdr:cNvPr id="28" name="Immagine 27">
                <a:extLst>
                  <a:ext uri="{FF2B5EF4-FFF2-40B4-BE49-F238E27FC236}">
                    <a16:creationId xmlns:a16="http://schemas.microsoft.com/office/drawing/2014/main" id="{3A828359-39A2-46B9-A588-3A9930CAB4D8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$H$3" spid="_x0000_s2081"/>
                  </a:ext>
                </a:extLst>
              </xdr:cNvPicPr>
            </xdr:nvPicPr>
            <xdr:blipFill>
              <a:blip xmlns:r="http://schemas.openxmlformats.org/officeDocument/2006/relationships" r:embed="rId5"/>
              <a:srcRect/>
              <a:stretch>
                <a:fillRect/>
              </a:stretch>
            </xdr:blipFill>
            <xdr:spPr bwMode="auto">
              <a:xfrm>
                <a:off x="35218255" y="3103417"/>
                <a:ext cx="1112520" cy="953886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 xmlns=""/>
      </mc:AlternateContent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0.47741</cdr:x>
      <cdr:y>0.95028</cdr:y>
    </cdr:from>
    <cdr:to>
      <cdr:x>0.54958</cdr:x>
      <cdr:y>0.97404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8E49DA68-19D2-432C-BA9B-043EF12CF600}"/>
            </a:ext>
          </a:extLst>
        </cdr:cNvPr>
        <cdr:cNvSpPr txBox="1"/>
      </cdr:nvSpPr>
      <cdr:spPr>
        <a:xfrm xmlns:a="http://schemas.openxmlformats.org/drawingml/2006/main">
          <a:off x="3312523" y="6096000"/>
          <a:ext cx="500742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  <cdr:relSizeAnchor xmlns:cdr="http://schemas.openxmlformats.org/drawingml/2006/chartDrawing">
    <cdr:from>
      <cdr:x>0.46643</cdr:x>
      <cdr:y>0.9418</cdr:y>
    </cdr:from>
    <cdr:to>
      <cdr:x>0.56527</cdr:x>
      <cdr:y>0.97404</cdr:y>
    </cdr:to>
    <cdr:sp macro="" textlink="'New_confirmed - ExpPwLaw'!$B$8">
      <cdr:nvSpPr>
        <cdr:cNvPr id="3" name="CasellaDiTesto 2">
          <a:extLst xmlns:a="http://schemas.openxmlformats.org/drawingml/2006/main">
            <a:ext uri="{FF2B5EF4-FFF2-40B4-BE49-F238E27FC236}">
              <a16:creationId xmlns:a16="http://schemas.microsoft.com/office/drawing/2014/main" id="{F02AC9EE-EA13-4B9B-8B99-5CB130773528}"/>
            </a:ext>
          </a:extLst>
        </cdr:cNvPr>
        <cdr:cNvSpPr txBox="1"/>
      </cdr:nvSpPr>
      <cdr:spPr>
        <a:xfrm xmlns:a="http://schemas.openxmlformats.org/drawingml/2006/main">
          <a:off x="3236323" y="6041573"/>
          <a:ext cx="685800" cy="2068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6CE163D0-8013-48D6-8901-ABF3CECE0A59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24-feb</a:t>
          </a:fld>
          <a:endParaRPr lang="it-IT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609600</xdr:colOff>
      <xdr:row>94</xdr:row>
      <xdr:rowOff>114300</xdr:rowOff>
    </xdr:from>
    <xdr:ext cx="1785257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ADC4C53C-759C-4D43-92D1-6804F156AAB3}"/>
                </a:ext>
              </a:extLst>
            </xdr:cNvPr>
            <xdr:cNvSpPr txBox="1"/>
          </xdr:nvSpPr>
          <xdr:spPr>
            <a:xfrm>
              <a:off x="4844143" y="691243"/>
              <a:ext cx="1785257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d>
                      <m:d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;</m:t>
                        </m:r>
                        <m:sSub>
                          <m:sSub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b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</m:d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ADC4C53C-759C-4D43-92D1-6804F156AAB3}"/>
                </a:ext>
              </a:extLst>
            </xdr:cNvPr>
            <xdr:cNvSpPr txBox="1"/>
          </xdr:nvSpPr>
          <xdr:spPr>
            <a:xfrm>
              <a:off x="4844143" y="691243"/>
              <a:ext cx="1785257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𝑃(𝑡;𝑡_0,𝑤)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14</xdr:col>
      <xdr:colOff>7620</xdr:colOff>
      <xdr:row>97</xdr:row>
      <xdr:rowOff>0</xdr:rowOff>
    </xdr:from>
    <xdr:to>
      <xdr:col>25</xdr:col>
      <xdr:colOff>99060</xdr:colOff>
      <xdr:row>129</xdr:row>
      <xdr:rowOff>144781</xdr:rowOff>
    </xdr:to>
    <xdr:grpSp>
      <xdr:nvGrpSpPr>
        <xdr:cNvPr id="21" name="Gruppo 20">
          <a:extLst>
            <a:ext uri="{FF2B5EF4-FFF2-40B4-BE49-F238E27FC236}">
              <a16:creationId xmlns:a16="http://schemas.microsoft.com/office/drawing/2014/main" id="{5770A6B3-15CD-428E-8F1C-342C7379080D}"/>
            </a:ext>
          </a:extLst>
        </xdr:cNvPr>
        <xdr:cNvGrpSpPr/>
      </xdr:nvGrpSpPr>
      <xdr:grpSpPr>
        <a:xfrm>
          <a:off x="11520747" y="21807055"/>
          <a:ext cx="6935586" cy="6213071"/>
          <a:chOff x="10022477" y="1284513"/>
          <a:chExt cx="6938554" cy="6131923"/>
        </a:xfrm>
      </xdr:grpSpPr>
      <xdr:grpSp>
        <xdr:nvGrpSpPr>
          <xdr:cNvPr id="22" name="Gruppo 21">
            <a:extLst>
              <a:ext uri="{FF2B5EF4-FFF2-40B4-BE49-F238E27FC236}">
                <a16:creationId xmlns:a16="http://schemas.microsoft.com/office/drawing/2014/main" id="{64ECC0A6-45B9-43C3-B1AC-B2BAE1D0FC29}"/>
              </a:ext>
            </a:extLst>
          </xdr:cNvPr>
          <xdr:cNvGrpSpPr/>
        </xdr:nvGrpSpPr>
        <xdr:grpSpPr>
          <a:xfrm>
            <a:off x="10022477" y="1284513"/>
            <a:ext cx="6938554" cy="6131923"/>
            <a:chOff x="10022477" y="1284513"/>
            <a:chExt cx="6938554" cy="6131923"/>
          </a:xfrm>
        </xdr:grpSpPr>
        <xdr:grpSp>
          <xdr:nvGrpSpPr>
            <xdr:cNvPr id="24" name="Gruppo 23">
              <a:extLst>
                <a:ext uri="{FF2B5EF4-FFF2-40B4-BE49-F238E27FC236}">
                  <a16:creationId xmlns:a16="http://schemas.microsoft.com/office/drawing/2014/main" id="{C45029CB-5366-409E-9899-17597D680053}"/>
                </a:ext>
              </a:extLst>
            </xdr:cNvPr>
            <xdr:cNvGrpSpPr/>
          </xdr:nvGrpSpPr>
          <xdr:grpSpPr>
            <a:xfrm>
              <a:off x="10022477" y="1284513"/>
              <a:ext cx="6938554" cy="6131923"/>
              <a:chOff x="6629400" y="1287779"/>
              <a:chExt cx="6941820" cy="5303520"/>
            </a:xfrm>
          </xdr:grpSpPr>
          <xdr:graphicFrame macro="">
            <xdr:nvGraphicFramePr>
              <xdr:cNvPr id="28" name="Grafico 27">
                <a:extLst>
                  <a:ext uri="{FF2B5EF4-FFF2-40B4-BE49-F238E27FC236}">
                    <a16:creationId xmlns:a16="http://schemas.microsoft.com/office/drawing/2014/main" id="{0B44271A-ADFF-4ADC-927B-8F92BA44ADCC}"/>
                  </a:ext>
                </a:extLst>
              </xdr:cNvPr>
              <xdr:cNvGraphicFramePr/>
            </xdr:nvGraphicFramePr>
            <xdr:xfrm>
              <a:off x="6629400" y="1287779"/>
              <a:ext cx="6941820" cy="530352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sp macro="" textlink="">
            <xdr:nvSpPr>
              <xdr:cNvPr id="29" name="CasellaDiTesto 28">
                <a:extLst>
                  <a:ext uri="{FF2B5EF4-FFF2-40B4-BE49-F238E27FC236}">
                    <a16:creationId xmlns:a16="http://schemas.microsoft.com/office/drawing/2014/main" id="{E5E40F1B-B0F1-4A3A-817D-EDB9D1B7B865}"/>
                  </a:ext>
                </a:extLst>
              </xdr:cNvPr>
              <xdr:cNvSpPr txBox="1"/>
            </xdr:nvSpPr>
            <xdr:spPr>
              <a:xfrm>
                <a:off x="7508828" y="3697344"/>
                <a:ext cx="1828800" cy="116817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it-IT" sz="14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Total cases detected</a:t>
                </a:r>
              </a:p>
              <a:p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K= 168279</a:t>
                </a:r>
              </a:p>
              <a:p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t</a:t>
                </a:r>
                <a:r>
                  <a:rPr lang="it-IT" sz="1100" b="1" i="1" u="none" strike="noStrike" baseline="-25000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0</a:t>
                </a:r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=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  <a:r>
                  <a:rPr lang="it-IT" sz="1100" b="1" i="0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4.23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</a:p>
              <a:p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w=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  <a:r>
                  <a:rPr lang="it-IT" sz="1100" b="1" i="0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7.99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</a:p>
              <a:p>
                <a:r>
                  <a:rPr lang="it-IT" sz="1100" b="1" i="1">
                    <a:solidFill>
                      <a:srgbClr val="0070C0"/>
                    </a:solidFill>
                  </a:rPr>
                  <a:t>R</a:t>
                </a:r>
                <a:r>
                  <a:rPr lang="it-IT" sz="1100" b="1" i="1" baseline="30000">
                    <a:solidFill>
                      <a:srgbClr val="0070C0"/>
                    </a:solidFill>
                  </a:rPr>
                  <a:t>2</a:t>
                </a:r>
                <a:r>
                  <a:rPr lang="it-IT" sz="1100" b="1" baseline="0">
                    <a:solidFill>
                      <a:srgbClr val="0070C0"/>
                    </a:solidFill>
                  </a:rPr>
                  <a:t>= 0.9992</a:t>
                </a:r>
              </a:p>
              <a:p>
                <a:r>
                  <a:rPr lang="it-IT" sz="1100" b="1" i="1" baseline="0">
                    <a:solidFill>
                      <a:srgbClr val="0070C0"/>
                    </a:solidFill>
                  </a:rPr>
                  <a:t>CI</a:t>
                </a:r>
                <a:r>
                  <a:rPr lang="it-IT" sz="1100" b="1" baseline="0">
                    <a:solidFill>
                      <a:srgbClr val="0070C0"/>
                    </a:solidFill>
                  </a:rPr>
                  <a:t>= 2351</a:t>
                </a:r>
              </a:p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it-IT" sz="1100" b="1" i="0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(day</a:t>
                </a:r>
                <a:r>
                  <a:rPr lang="it-IT" sz="1100" b="1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 1</a:t>
                </a:r>
                <a:r>
                  <a:rPr lang="it-IT" sz="1100" b="1" baseline="0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 = Feb 20th)</a:t>
                </a:r>
                <a:endParaRPr lang="it-IT" b="1">
                  <a:solidFill>
                    <a:srgbClr val="0070C0"/>
                  </a:solidFill>
                  <a:effectLst/>
                </a:endParaRPr>
              </a:p>
              <a:p>
                <a:endParaRPr lang="it-IT" sz="1100" baseline="30000"/>
              </a:p>
            </xdr:txBody>
          </xdr:sp>
        </xdr:grpSp>
        <xdr:grpSp>
          <xdr:nvGrpSpPr>
            <xdr:cNvPr id="25" name="Gruppo 24">
              <a:extLst>
                <a:ext uri="{FF2B5EF4-FFF2-40B4-BE49-F238E27FC236}">
                  <a16:creationId xmlns:a16="http://schemas.microsoft.com/office/drawing/2014/main" id="{5A608BE6-C591-4A01-A8DF-CD3872509963}"/>
                </a:ext>
              </a:extLst>
            </xdr:cNvPr>
            <xdr:cNvGrpSpPr/>
          </xdr:nvGrpSpPr>
          <xdr:grpSpPr>
            <a:xfrm>
              <a:off x="10809514" y="2775861"/>
              <a:ext cx="3135086" cy="838201"/>
              <a:chOff x="10809514" y="2775861"/>
              <a:chExt cx="3135086" cy="838201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26" name="CasellaDiTesto 25">
                    <a:extLst>
                      <a:ext uri="{FF2B5EF4-FFF2-40B4-BE49-F238E27FC236}">
                        <a16:creationId xmlns:a16="http://schemas.microsoft.com/office/drawing/2014/main" id="{F2976CD3-5315-4819-ABD3-A28971BF55D9}"/>
                      </a:ext>
                    </a:extLst>
                  </xdr:cNvPr>
                  <xdr:cNvSpPr txBox="1"/>
                </xdr:nvSpPr>
                <xdr:spPr>
                  <a:xfrm>
                    <a:off x="10809514" y="3303819"/>
                    <a:ext cx="3135086" cy="31024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it-IT" sz="1100"/>
                      <a:t>y=</a:t>
                    </a:r>
                    <a14:m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it-IT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it-I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p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  <m:d>
                              <m:dPr>
                                <m:ctrlP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;</m:t>
                                </m:r>
                                <m:sSub>
                                  <m:sSubPr>
                                    <m:ctrlP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</m:d>
                          </m:e>
                        </m:nary>
                        <m:r>
                          <a:rPr lang="it-I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≈</m:t>
                        </m:r>
                        <m:sSub>
                          <m:sSub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d>
                          <m:dPr>
                            <m:begChr m:val="["/>
                            <m:endChr m:val="]"/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l-G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Γ</m:t>
                            </m:r>
                            <m:d>
                              <m:dPr>
                                <m:ctrlPr>
                                  <a:rPr lang="el-G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𝑤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+1</m:t>
                                </m:r>
                              </m:e>
                            </m:d>
                            <m: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r>
                              <m:rPr>
                                <m:sty m:val="p"/>
                              </m:rPr>
                              <a:rPr lang="el-G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Γ</m:t>
                            </m:r>
                            <m:d>
                              <m:dPr>
                                <m:ctrlPr>
                                  <a:rPr lang="el-G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𝑤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+1,</m:t>
                                </m:r>
                                <m:f>
                                  <m:fPr>
                                    <m:ctrlP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𝑡</m:t>
                                    </m:r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it-IT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</m:d>
                      </m:oMath>
                    </a14:m>
                    <a:endParaRPr lang="it-IT" sz="1100"/>
                  </a:p>
                </xdr:txBody>
              </xdr:sp>
            </mc:Choice>
            <mc:Fallback xmlns="">
              <xdr:sp macro="" textlink="">
                <xdr:nvSpPr>
                  <xdr:cNvPr id="26" name="CasellaDiTesto 25">
                    <a:extLst>
                      <a:ext uri="{FF2B5EF4-FFF2-40B4-BE49-F238E27FC236}">
                        <a16:creationId xmlns:a16="http://schemas.microsoft.com/office/drawing/2014/main" id="{F2976CD3-5315-4819-ABD3-A28971BF55D9}"/>
                      </a:ext>
                    </a:extLst>
                  </xdr:cNvPr>
                  <xdr:cNvSpPr txBox="1"/>
                </xdr:nvSpPr>
                <xdr:spPr>
                  <a:xfrm>
                    <a:off x="10809514" y="3303819"/>
                    <a:ext cx="3135086" cy="31024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it-IT" sz="1100"/>
                      <a:t>y=</a:t>
                    </a:r>
                    <a:r>
                      <a:rPr lang="it-IT" sz="1100" i="0">
                        <a:latin typeface="Cambria Math" panose="02040503050406030204" pitchFamily="18" charset="0"/>
                      </a:rPr>
                      <a:t>∑</a:t>
                    </a:r>
                    <a:r>
                      <a:rPr lang="it-IT" sz="1100" b="0" i="0">
                        <a:latin typeface="Cambria Math" panose="02040503050406030204" pitchFamily="18" charset="0"/>
                      </a:rPr>
                      <a:t>_1^𝑡▒𝑃(𝑡;𝑡_0,𝑤) </a:t>
                    </a:r>
                    <a:r>
                      <a:rPr lang="it-IT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≈</a:t>
                    </a:r>
                    <a:r>
                      <a:rPr lang="it-IT" sz="1100" b="0" i="0">
                        <a:latin typeface="Cambria Math" panose="02040503050406030204" pitchFamily="18" charset="0"/>
                      </a:rPr>
                      <a:t>𝑡_0 [</a:t>
                    </a:r>
                    <a:r>
                      <a:rPr lang="el-GR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Γ(</a:t>
                    </a:r>
                    <a:r>
                      <a:rPr lang="it-IT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𝑤+1)−</a:t>
                    </a:r>
                    <a:r>
                      <a:rPr lang="el-GR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Γ(</a:t>
                    </a:r>
                    <a:r>
                      <a:rPr lang="it-IT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𝑤+1,𝑡/𝑡_0 )]</a:t>
                    </a:r>
                    <a:endParaRPr lang="it-IT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27" name="CasellaDiTesto 26">
                    <a:extLst>
                      <a:ext uri="{FF2B5EF4-FFF2-40B4-BE49-F238E27FC236}">
                        <a16:creationId xmlns:a16="http://schemas.microsoft.com/office/drawing/2014/main" id="{4159B6F8-D471-44E7-B876-EF7EB01FEF67}"/>
                      </a:ext>
                    </a:extLst>
                  </xdr:cNvPr>
                  <xdr:cNvSpPr txBox="1"/>
                </xdr:nvSpPr>
                <xdr:spPr>
                  <a:xfrm>
                    <a:off x="11056621" y="2775861"/>
                    <a:ext cx="1940922" cy="41365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𝑃</m:t>
                          </m:r>
                          <m:d>
                            <m:dPr>
                              <m:ctrlP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𝑡</m:t>
                              </m:r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;</m:t>
                              </m:r>
                              <m:sSub>
                                <m:sSubPr>
                                  <m:ctrlPr>
                                    <a:rPr lang="it-IT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it-IT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e>
                                <m:sub>
                                  <m:r>
                                    <a:rPr lang="it-IT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0</m:t>
                                  </m:r>
                                </m:sub>
                              </m:sSub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,</m:t>
                              </m:r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𝑤</m:t>
                              </m:r>
                            </m:e>
                          </m:d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=</m:t>
                          </m:r>
                          <m:sSup>
                            <m:sSup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d>
                                <m:d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f>
                                    <m:f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den>
                                  </m:f>
                                </m:e>
                              </m:d>
                            </m:e>
                            <m:sup>
                              <m: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𝑤</m:t>
                              </m:r>
                            </m:sup>
                          </m:sSup>
                          <m:sSup>
                            <m:sSup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den>
                                  </m:f>
                                </m:e>
                              </m:box>
                            </m:sup>
                          </m:sSup>
                        </m:oMath>
                      </m:oMathPara>
                    </a14:m>
                    <a:endParaRPr lang="it-IT" sz="160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27" name="CasellaDiTesto 26">
                    <a:extLst>
                      <a:ext uri="{FF2B5EF4-FFF2-40B4-BE49-F238E27FC236}">
                        <a16:creationId xmlns:a16="http://schemas.microsoft.com/office/drawing/2014/main" id="{4159B6F8-D471-44E7-B876-EF7EB01FEF67}"/>
                      </a:ext>
                    </a:extLst>
                  </xdr:cNvPr>
                  <xdr:cNvSpPr txBox="1"/>
                </xdr:nvSpPr>
                <xdr:spPr>
                  <a:xfrm>
                    <a:off x="11056621" y="2775861"/>
                    <a:ext cx="1940922" cy="41365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it-IT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𝑃(𝑡;𝑡_0,𝑤)</a:t>
                    </a:r>
                    <a:r>
                      <a:rPr lang="it-IT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=</a:t>
                    </a:r>
                    <a:r>
                      <a:rPr lang="it-IT" sz="1100" b="0" i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(𝑡/𝑡_0 )^𝑤 𝑒^(− □(64&amp;𝑡/𝑡_0 ))</a:t>
                    </a:r>
                    <a:endParaRPr lang="it-IT" sz="160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endParaRPr>
                  </a:p>
                </xdr:txBody>
              </xdr:sp>
            </mc:Fallback>
          </mc:AlternateContent>
        </xdr:grpSp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3" name="CasellaDiTesto 22">
                <a:extLst>
                  <a:ext uri="{FF2B5EF4-FFF2-40B4-BE49-F238E27FC236}">
                    <a16:creationId xmlns:a16="http://schemas.microsoft.com/office/drawing/2014/main" id="{9806FA23-79A1-4AB9-9C24-4B5583DDCB91}"/>
                  </a:ext>
                </a:extLst>
              </xdr:cNvPr>
              <xdr:cNvSpPr txBox="1"/>
            </xdr:nvSpPr>
            <xdr:spPr>
              <a:xfrm>
                <a:off x="11734799" y="3733800"/>
                <a:ext cx="1153885" cy="17961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K</a:t>
                </a:r>
                <a14:m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m:rPr>
                        <m:sty m:val="p"/>
                      </m:rP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Γ</m:t>
                    </m:r>
                    <m:d>
                      <m:d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+1</m:t>
                        </m:r>
                      </m:e>
                    </m:d>
                  </m:oMath>
                </a14:m>
                <a:endParaRPr lang="it-IT" sz="1100"/>
              </a:p>
            </xdr:txBody>
          </xdr:sp>
        </mc:Choice>
        <mc:Fallback xmlns="">
          <xdr:sp macro="" textlink="">
            <xdr:nvSpPr>
              <xdr:cNvPr id="23" name="CasellaDiTesto 22">
                <a:extLst>
                  <a:ext uri="{FF2B5EF4-FFF2-40B4-BE49-F238E27FC236}">
                    <a16:creationId xmlns:a16="http://schemas.microsoft.com/office/drawing/2014/main" id="{9806FA23-79A1-4AB9-9C24-4B5583DDCB91}"/>
                  </a:ext>
                </a:extLst>
              </xdr:cNvPr>
              <xdr:cNvSpPr txBox="1"/>
            </xdr:nvSpPr>
            <xdr:spPr>
              <a:xfrm>
                <a:off x="11734799" y="3733800"/>
                <a:ext cx="1153885" cy="17961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K</a:t>
                </a:r>
                <a:r>
                  <a:rPr lang="it-IT" sz="11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≈</a:t>
                </a:r>
                <a:r>
                  <a:rPr lang="it-IT" sz="1100" b="0" i="0">
                    <a:latin typeface="Cambria Math" panose="02040503050406030204" pitchFamily="18" charset="0"/>
                  </a:rPr>
                  <a:t>𝑡_0</a:t>
                </a:r>
                <a:r>
                  <a:rPr lang="el-GR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Γ(</a:t>
                </a:r>
                <a:r>
                  <a:rPr lang="it-IT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𝑤+1)</a:t>
                </a:r>
                <a:endParaRPr lang="it-IT" sz="1100"/>
              </a:p>
            </xdr:txBody>
          </xdr:sp>
        </mc:Fallback>
      </mc:AlternateContent>
    </xdr:grpSp>
    <xdr:clientData/>
  </xdr:twoCellAnchor>
  <xdr:oneCellAnchor>
    <xdr:from>
      <xdr:col>6</xdr:col>
      <xdr:colOff>859971</xdr:colOff>
      <xdr:row>2</xdr:row>
      <xdr:rowOff>185057</xdr:rowOff>
    </xdr:from>
    <xdr:ext cx="1099456" cy="4136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asellaDiTesto 29">
              <a:extLst>
                <a:ext uri="{FF2B5EF4-FFF2-40B4-BE49-F238E27FC236}">
                  <a16:creationId xmlns:a16="http://schemas.microsoft.com/office/drawing/2014/main" id="{69DCC3CC-59D1-4935-B588-D69EE355F09A}"/>
                </a:ext>
              </a:extLst>
            </xdr:cNvPr>
            <xdr:cNvSpPr txBox="1"/>
          </xdr:nvSpPr>
          <xdr:spPr>
            <a:xfrm>
              <a:off x="4898571" y="665117"/>
              <a:ext cx="1099456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0" name="CasellaDiTesto 29">
              <a:extLst>
                <a:ext uri="{FF2B5EF4-FFF2-40B4-BE49-F238E27FC236}">
                  <a16:creationId xmlns:a16="http://schemas.microsoft.com/office/drawing/2014/main" id="{69DCC3CC-59D1-4935-B588-D69EE355F09A}"/>
                </a:ext>
              </a:extLst>
            </xdr:cNvPr>
            <xdr:cNvSpPr txBox="1"/>
          </xdr:nvSpPr>
          <xdr:spPr>
            <a:xfrm>
              <a:off x="4898571" y="665117"/>
              <a:ext cx="1099456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〖𝑘(𝑡/𝑡_0 )〗^𝑤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33</xdr:col>
      <xdr:colOff>7620</xdr:colOff>
      <xdr:row>6</xdr:row>
      <xdr:rowOff>0</xdr:rowOff>
    </xdr:from>
    <xdr:to>
      <xdr:col>44</xdr:col>
      <xdr:colOff>99060</xdr:colOff>
      <xdr:row>38</xdr:row>
      <xdr:rowOff>144780</xdr:rowOff>
    </xdr:to>
    <xdr:grpSp>
      <xdr:nvGrpSpPr>
        <xdr:cNvPr id="2" name="Gruppo 1">
          <a:extLst>
            <a:ext uri="{FF2B5EF4-FFF2-40B4-BE49-F238E27FC236}">
              <a16:creationId xmlns:a16="http://schemas.microsoft.com/office/drawing/2014/main" id="{93229E7A-238C-4644-B5CB-6494B67703B3}"/>
            </a:ext>
          </a:extLst>
        </xdr:cNvPr>
        <xdr:cNvGrpSpPr/>
      </xdr:nvGrpSpPr>
      <xdr:grpSpPr>
        <a:xfrm>
          <a:off x="23532638" y="1440873"/>
          <a:ext cx="6797040" cy="6379325"/>
          <a:chOff x="23532638" y="1440873"/>
          <a:chExt cx="6797040" cy="6379325"/>
        </a:xfrm>
      </xdr:grpSpPr>
      <xdr:grpSp>
        <xdr:nvGrpSpPr>
          <xdr:cNvPr id="31" name="Gruppo 30">
            <a:extLst>
              <a:ext uri="{FF2B5EF4-FFF2-40B4-BE49-F238E27FC236}">
                <a16:creationId xmlns:a16="http://schemas.microsoft.com/office/drawing/2014/main" id="{B57A70EB-05F2-43B2-A20E-677507A1A2BC}"/>
              </a:ext>
            </a:extLst>
          </xdr:cNvPr>
          <xdr:cNvGrpSpPr/>
        </xdr:nvGrpSpPr>
        <xdr:grpSpPr>
          <a:xfrm>
            <a:off x="23532638" y="1440873"/>
            <a:ext cx="6797040" cy="6379325"/>
            <a:chOff x="29739475" y="1440873"/>
            <a:chExt cx="6935585" cy="6296198"/>
          </a:xfrm>
        </xdr:grpSpPr>
        <xdr:graphicFrame macro="">
          <xdr:nvGraphicFramePr>
            <xdr:cNvPr id="32" name="Grafico 31">
              <a:extLst>
                <a:ext uri="{FF2B5EF4-FFF2-40B4-BE49-F238E27FC236}">
                  <a16:creationId xmlns:a16="http://schemas.microsoft.com/office/drawing/2014/main" id="{BBD4254D-3BE4-4697-819B-C838F05A34E9}"/>
                </a:ext>
              </a:extLst>
            </xdr:cNvPr>
            <xdr:cNvGraphicFramePr>
              <a:graphicFrameLocks/>
            </xdr:cNvGraphicFramePr>
          </xdr:nvGraphicFramePr>
          <xdr:xfrm>
            <a:off x="29739475" y="1440873"/>
            <a:ext cx="6935585" cy="629619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sp macro="" textlink="B8">
          <xdr:nvSpPr>
            <xdr:cNvPr id="33" name="CasellaDiTesto 32">
              <a:extLst>
                <a:ext uri="{FF2B5EF4-FFF2-40B4-BE49-F238E27FC236}">
                  <a16:creationId xmlns:a16="http://schemas.microsoft.com/office/drawing/2014/main" id="{CD5A74C9-CD9C-4528-B079-1488F676FCE7}"/>
                </a:ext>
              </a:extLst>
            </xdr:cNvPr>
            <xdr:cNvSpPr txBox="1"/>
          </xdr:nvSpPr>
          <xdr:spPr>
            <a:xfrm>
              <a:off x="33049029" y="7384473"/>
              <a:ext cx="587829" cy="24047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D45D5262-0BAC-46B5-80DC-680C0C6DA885}" type="TxLink">
                <a:rPr lang="en-US" sz="1100" b="0" i="0" u="none" strike="noStrike">
                  <a:ln>
                    <a:noFill/>
                  </a:ln>
                  <a:solidFill>
                    <a:srgbClr val="000000"/>
                  </a:solidFill>
                  <a:latin typeface="Calibri"/>
                  <a:cs typeface="Calibri"/>
                </a:rPr>
                <a:pPr/>
                <a:t>24-feb</a:t>
              </a:fld>
              <a:endParaRPr lang="it-IT" sz="1100">
                <a:ln>
                  <a:noFill/>
                </a:ln>
              </a:endParaRPr>
            </a:p>
          </xdr:txBody>
        </xdr:sp>
        <xdr:graphicFrame macro="">
          <xdr:nvGraphicFramePr>
            <xdr:cNvPr id="35" name="Grafico 34">
              <a:extLst>
                <a:ext uri="{FF2B5EF4-FFF2-40B4-BE49-F238E27FC236}">
                  <a16:creationId xmlns:a16="http://schemas.microsoft.com/office/drawing/2014/main" id="{13BD03EE-302E-450A-8189-549E378AC614}"/>
                </a:ext>
              </a:extLst>
            </xdr:cNvPr>
            <xdr:cNvGraphicFramePr>
              <a:graphicFrameLocks/>
            </xdr:cNvGraphicFramePr>
          </xdr:nvGraphicFramePr>
          <xdr:xfrm>
            <a:off x="35270982" y="6007994"/>
            <a:ext cx="1359548" cy="102355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36" name="Grafico 35">
              <a:extLst>
                <a:ext uri="{FF2B5EF4-FFF2-40B4-BE49-F238E27FC236}">
                  <a16:creationId xmlns:a16="http://schemas.microsoft.com/office/drawing/2014/main" id="{C69E4C5D-8BF8-41F5-A847-FCA9A16F63C8}"/>
                </a:ext>
              </a:extLst>
            </xdr:cNvPr>
            <xdr:cNvGraphicFramePr>
              <a:graphicFrameLocks/>
            </xdr:cNvGraphicFramePr>
          </xdr:nvGraphicFramePr>
          <xdr:xfrm>
            <a:off x="33649999" y="3396256"/>
            <a:ext cx="1549082" cy="100183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aphicFrame macro="">
          <xdr:nvGraphicFramePr>
            <xdr:cNvPr id="37" name="Grafico 36">
              <a:extLst>
                <a:ext uri="{FF2B5EF4-FFF2-40B4-BE49-F238E27FC236}">
                  <a16:creationId xmlns:a16="http://schemas.microsoft.com/office/drawing/2014/main" id="{55A99F2A-C875-4AC3-84F4-7692E0485EC1}"/>
                </a:ext>
              </a:extLst>
            </xdr:cNvPr>
            <xdr:cNvGraphicFramePr>
              <a:graphicFrameLocks/>
            </xdr:cNvGraphicFramePr>
          </xdr:nvGraphicFramePr>
          <xdr:xfrm>
            <a:off x="30792631" y="3218494"/>
            <a:ext cx="1558636" cy="95353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</xdr:grpSp>
      <mc:AlternateContent xmlns:mc="http://schemas.openxmlformats.org/markup-compatibility/2006" xmlns:a14="http://schemas.microsoft.com/office/drawing/2010/main">
        <mc:Choice Requires="a14">
          <xdr:pic>
            <xdr:nvPicPr>
              <xdr:cNvPr id="39" name="Immagine 38">
                <a:extLst>
                  <a:ext uri="{FF2B5EF4-FFF2-40B4-BE49-F238E27FC236}">
                    <a16:creationId xmlns:a16="http://schemas.microsoft.com/office/drawing/2014/main" id="{9A02B777-1951-4727-80FF-FA94675069A8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$H$3" spid="_x0000_s1069"/>
                  </a:ext>
                </a:extLst>
              </xdr:cNvPicPr>
            </xdr:nvPicPr>
            <xdr:blipFill>
              <a:blip xmlns:r="http://schemas.openxmlformats.org/officeDocument/2006/relationships" r:embed="rId6"/>
              <a:srcRect/>
              <a:stretch>
                <a:fillRect/>
              </a:stretch>
            </xdr:blipFill>
            <xdr:spPr bwMode="auto">
              <a:xfrm>
                <a:off x="29052982" y="3061855"/>
                <a:ext cx="1165860" cy="953885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 xmlns=""/>
      </mc:AlternateContent>
    </xdr:grp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0.6939</cdr:x>
      <cdr:y>0.46292</cdr:y>
    </cdr:from>
    <cdr:to>
      <cdr:x>0.95734</cdr:x>
      <cdr:y>0.67637</cdr:y>
    </cdr:to>
    <cdr:sp macro="" textlink="">
      <cdr:nvSpPr>
        <cdr:cNvPr id="2" name="CasellaDiTesto 6">
          <a:extLst xmlns:a="http://schemas.openxmlformats.org/drawingml/2006/main">
            <a:ext uri="{FF2B5EF4-FFF2-40B4-BE49-F238E27FC236}">
              <a16:creationId xmlns:a16="http://schemas.microsoft.com/office/drawing/2014/main" id="{7E696076-8C22-4EC6-8C39-63B8E38294C1}"/>
            </a:ext>
          </a:extLst>
        </cdr:cNvPr>
        <cdr:cNvSpPr txBox="1"/>
      </cdr:nvSpPr>
      <cdr:spPr>
        <a:xfrm xmlns:a="http://schemas.openxmlformats.org/drawingml/2006/main">
          <a:off x="4814663" y="2838591"/>
          <a:ext cx="1827892" cy="130886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Cumulative deaths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K= 34821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6.09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7.06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0.9995</a:t>
          </a:r>
        </a:p>
        <a:p xmlns:a="http://schemas.openxmlformats.org/drawingml/2006/main"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212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0.47741</cdr:x>
      <cdr:y>0.95028</cdr:y>
    </cdr:from>
    <cdr:to>
      <cdr:x>0.54958</cdr:x>
      <cdr:y>0.97404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8E49DA68-19D2-432C-BA9B-043EF12CF600}"/>
            </a:ext>
          </a:extLst>
        </cdr:cNvPr>
        <cdr:cNvSpPr txBox="1"/>
      </cdr:nvSpPr>
      <cdr:spPr>
        <a:xfrm xmlns:a="http://schemas.openxmlformats.org/drawingml/2006/main">
          <a:off x="3312523" y="6096000"/>
          <a:ext cx="500742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020D777A-6D44-4F04-A6AC-B7900E858838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F65A5-B7DD-4DA5-8FB6-9B5B1284DB6D}" name="dpc_covid19_ita_andamento_nazionale__9" displayName="dpc_covid19_ita_andamento_nazionale__9" ref="A1:O49" tableType="queryTable" totalsRowShown="0">
  <autoFilter ref="A1:O49" xr:uid="{EAFD7DE5-C4A1-4C49-95BD-BF222027DF39}"/>
  <tableColumns count="15">
    <tableColumn id="1" xr3:uid="{643499DD-A92D-42E1-8C92-5126B9AB48FF}" uniqueName="1" name="data" queryTableFieldId="1" dataDxfId="65"/>
    <tableColumn id="2" xr3:uid="{FFFA4220-F53F-4BDD-BE4D-57574B5FC724}" uniqueName="2" name="stato" queryTableFieldId="2" dataDxfId="64"/>
    <tableColumn id="3" xr3:uid="{BD12986A-F50F-4CE3-AAAC-13CF95D8C23A}" uniqueName="3" name="ricoverati_con_sintomi" queryTableFieldId="3"/>
    <tableColumn id="4" xr3:uid="{0B5C2611-F726-4535-8781-278455BB001C}" uniqueName="4" name="terapia_intensiva" queryTableFieldId="4"/>
    <tableColumn id="5" xr3:uid="{C2C9D361-A9B4-45F7-90AD-053196712A4D}" uniqueName="5" name="totale_ospedalizzati" queryTableFieldId="5"/>
    <tableColumn id="6" xr3:uid="{B5561AC4-19A2-45C0-AAA2-60A1E73B9981}" uniqueName="6" name="isolamento_domiciliare" queryTableFieldId="6"/>
    <tableColumn id="7" xr3:uid="{6D57734A-C2E7-40B3-A7E1-759A03F7ED11}" uniqueName="7" name="totale_positivi" queryTableFieldId="7"/>
    <tableColumn id="8" xr3:uid="{7B1CDE87-AD16-4C3F-8048-BFA9B6FA3351}" uniqueName="8" name="variazione_totale_positivi" queryTableFieldId="8"/>
    <tableColumn id="9" xr3:uid="{6E3860E2-A9E9-449F-8FDB-3E148F374799}" uniqueName="9" name="nuovi_positivi" queryTableFieldId="9"/>
    <tableColumn id="10" xr3:uid="{7CCE1EA2-E009-4C8E-9F56-997DD0A0672B}" uniqueName="10" name="dimessi_guariti" queryTableFieldId="10"/>
    <tableColumn id="11" xr3:uid="{2EFDD238-C5D8-402F-93CC-B92148EA6DB2}" uniqueName="11" name="deceduti" queryTableFieldId="11"/>
    <tableColumn id="12" xr3:uid="{1D61061E-BCD9-41B0-98A5-ECA85065E67D}" uniqueName="12" name="totale_casi" queryTableFieldId="12"/>
    <tableColumn id="13" xr3:uid="{3F6A2F47-86E6-4DA5-A36D-1D972D8DA77B}" uniqueName="13" name="tamponi" queryTableFieldId="13"/>
    <tableColumn id="14" xr3:uid="{DBFC075B-E589-4F56-B2BE-7FABCD154906}" uniqueName="14" name="note_it" queryTableFieldId="14" dataDxfId="63"/>
    <tableColumn id="15" xr3:uid="{76DCAC03-6858-4071-83F0-4242CF5951AF}" uniqueName="15" name="note_en" queryTableFieldId="15" dataDxfId="6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D2CD3E-B2FE-40FD-A821-EC2433F236C4}" name="Tabella2" displayName="Tabella2" ref="B7:AD78" totalsRowShown="0" headerRowDxfId="61">
  <autoFilter ref="B7:AD78" xr:uid="{18B9BA29-5254-4957-B1CE-C36E82E90972}"/>
  <tableColumns count="29">
    <tableColumn id="1" xr3:uid="{320CFB16-AFF6-4BFA-BDC8-DA7062BA9B2B}" name="Date" dataDxfId="60"/>
    <tableColumn id="2" xr3:uid="{A9C7A420-022C-4606-A5DD-BCEEC11E3690}" name="Day" dataDxfId="59">
      <calculatedColumnFormula>C7+1</calculatedColumnFormula>
    </tableColumn>
    <tableColumn id="3" xr3:uid="{E319BAF5-A1CD-4309-8BEF-9217F065E0C1}" name="Cum_confirmed"/>
    <tableColumn id="4" xr3:uid="{2925A627-44DD-47CD-BE58-2415E5D9D142}" name="New cases"/>
    <tableColumn id="23" xr3:uid="{9F3BE538-EBBB-402A-8DFD-01C2B7F0673C}" name="Colonna1" dataDxfId="58" dataCellStyle="20% - Colore 1">
      <calculatedColumnFormula>Tabella2[[#This Row],[New cases]]*NOT(ISBLANK(Tabella2[[#This Row],[New cases]]))</calculatedColumnFormula>
    </tableColumn>
    <tableColumn id="5" xr3:uid="{DC39629B-42C4-4FAD-8071-7786B69E6DB6}" name="Cum_fit" dataDxfId="57">
      <calculatedColumnFormula>Kn*t0n*_xlfn.GAMMA.DIST(Tabella2[[#This Row],[Day]]/t0n,wn+1,1,1)*_xlfn.GAMMA(wn+1)</calculatedColumnFormula>
    </tableColumn>
    <tableColumn id="6" xr3:uid="{81317C98-2D23-428D-B512-65EE9F90D2C5}" name="New_cases_fit" dataDxfId="56">
      <calculatedColumnFormula>Kn*((Tabella2[[#This Row],[Day]]/t0n)^wn)*EXP(-(Tabella2[[#This Row],[Day]]/t0n))</calculatedColumnFormula>
    </tableColumn>
    <tableColumn id="24" xr3:uid="{E19855DE-078A-43E1-B0FD-DC571168496B}" name="Colonna2" dataDxfId="55" dataCellStyle="20% - Colore 1">
      <calculatedColumnFormula>Tabella2[[#This Row],[New_cases_fit]]*NOT(ISBLANK(Tabella2[[#This Row],[New cases]]))</calculatedColumnFormula>
    </tableColumn>
    <tableColumn id="7" xr3:uid="{139E32A4-201F-4B05-BBCA-387D2B0D0D28}" name="C_Upper CI"/>
    <tableColumn id="8" xr3:uid="{728DDB53-5896-497E-B4D6-CC620AB661A7}" name="C_Lower CI"/>
    <tableColumn id="9" xr3:uid="{0BB446C3-A826-4ED5-9CC4-02B346DDBDF8}" name="Curr_positive" dataDxfId="54"/>
    <tableColumn id="10" xr3:uid="{AF8778A9-44F4-4E92-AF1C-71D0E6DD9311}" name="New_positive" dataDxfId="53"/>
    <tableColumn id="29" xr3:uid="{E9F0C073-162C-4409-91D6-E25F8BA6E7D8}" name="New_positive_fit" dataDxfId="52">
      <calculatedColumnFormula>Tabella2[[#This Row],[New_cases_fit]]-Tabella2[[#This Row],[New_Recovered_fit]]-Tabella2[[#This Row],[New_Deaths_fit]]</calculatedColumnFormula>
    </tableColumn>
    <tableColumn id="11" xr3:uid="{6E583CD0-8DDF-495D-98BF-63B34D34CA97}" name="Cum_recov"/>
    <tableColumn id="12" xr3:uid="{70FBE6BB-2C7F-4438-8516-0196CF286B6C}" name="New recovered" dataDxfId="51"/>
    <tableColumn id="25" xr3:uid="{94ABBBBE-8B3C-4B6A-ABCE-1319FE6754D6}" name="Colonna3" dataDxfId="50" dataCellStyle="20% - Colore 6">
      <calculatedColumnFormula>Tabella2[[#This Row],[New recovered]]*NOT(ISBLANK(Tabella2[[#This Row],[New recovered]]))</calculatedColumnFormula>
    </tableColumn>
    <tableColumn id="13" xr3:uid="{AF9590E9-078F-4BBF-ADA2-E67A9E280FA7}" name="Cum_R_fit" dataDxfId="49">
      <calculatedColumnFormula>Kd*t0d*_xlfn.GAMMA.DIST(Tabella2[[#This Row],[Day]]/t0d,wd+1,1,1)*_xlfn.GAMMA(wd+1)</calculatedColumnFormula>
    </tableColumn>
    <tableColumn id="14" xr3:uid="{B1E5A58D-5A14-46E7-9BCC-394A8142E86B}" name="New_Recovered_fit" dataDxfId="48">
      <calculatedColumnFormula>Kd*((Tabella2[[#This Row],[Day]]/t0d)^wd)*EXP(-(Tabella2[[#This Row],[Day]]/t0d))</calculatedColumnFormula>
    </tableColumn>
    <tableColumn id="26" xr3:uid="{5A014E51-4816-44C8-A2D1-AFE9233ECB28}" name="Colonna4" dataDxfId="47" dataCellStyle="20% - Colore 6">
      <calculatedColumnFormula>Tabella2[[#This Row],[New_Recovered_fit]]*NOT(ISBLANK(Tabella2[[#This Row],[New recovered]]))</calculatedColumnFormula>
    </tableColumn>
    <tableColumn id="15" xr3:uid="{7CF23E8E-FAC6-4962-834F-6449CE08AA9D}" name="NR_Upper CI"/>
    <tableColumn id="16" xr3:uid="{45AD79A3-FE78-4941-85F9-AC6BA2C65759}" name="NR_Lower CI"/>
    <tableColumn id="17" xr3:uid="{07FBF947-33DA-4E8D-9DFA-DC6BF2C48145}" name="Cum_deaths"/>
    <tableColumn id="18" xr3:uid="{56E6C91D-1690-43B5-AB65-65D1F130EBBB}" name="New deaths" dataDxfId="46"/>
    <tableColumn id="27" xr3:uid="{5FAA9F04-20D5-4AF2-A858-A7CC7E685C22}" name="Colonna5" dataDxfId="45" dataCellStyle="20% - Colore 2">
      <calculatedColumnFormula>Tabella2[[#This Row],[New deaths]]*NOT(ISBLANK(Tabella2[[#This Row],[New deaths]]))</calculatedColumnFormula>
    </tableColumn>
    <tableColumn id="19" xr3:uid="{10A7808B-0A2B-44A5-8D38-81200D48D97C}" name="Cum_D_fit" dataDxfId="44">
      <calculatedColumnFormula>kt*t0t*_xlfn.GAMMA.DIST(Tabella2[[#This Row],[Day]]/t0t,wt+1,1,1)*_xlfn.GAMMA(wt+1)</calculatedColumnFormula>
    </tableColumn>
    <tableColumn id="20" xr3:uid="{909CD4CA-9439-448B-ADE6-23709E8F3117}" name="New_Deaths_fit" dataDxfId="43">
      <calculatedColumnFormula>kt*((Tabella2[[#This Row],[Day]]/t0t)^wt)*EXP(-(Tabella2[[#This Row],[Day]]/t0t))</calculatedColumnFormula>
    </tableColumn>
    <tableColumn id="28" xr3:uid="{4ACECA7F-F765-4B32-9A87-B72CF4C593B7}" name="Colonna6" dataDxfId="42" dataCellStyle="20% - Colore 2">
      <calculatedColumnFormula>Tabella2[[#This Row],[New_Deaths_fit]]*NOT(ISBLANK(Tabella2[[#This Row],[New deaths]]))</calculatedColumnFormula>
    </tableColumn>
    <tableColumn id="21" xr3:uid="{B8829FED-3ABB-4B20-B51F-F9132ECBB20B}" name="ND_Upper CI"/>
    <tableColumn id="22" xr3:uid="{42F0328C-C791-4167-9344-F96768A9E39C}" name="ND_Lower C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8048BD-5CDC-42B1-B8A6-C2D1F0C0F75F}" name="Tabella3" displayName="Tabella3" ref="AF7:AG18" totalsRowShown="0" headerRowDxfId="41" dataDxfId="40">
  <autoFilter ref="AF7:AG18" xr:uid="{1C0A8599-2DC9-45B2-A640-9B64AE029280}"/>
  <tableColumns count="2">
    <tableColumn id="1" xr3:uid="{C78B678A-DF99-4D71-9DCA-538EBE002474}" name="Confirmed" dataDxfId="39"/>
    <tableColumn id="2" xr3:uid="{FD00BEDE-26C5-4882-A08D-7A3A81D737EC}" name="New cases fit" dataDxfId="38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B879F8-CCD4-4350-A437-AD67030C47E4}" name="Tabella4" displayName="Tabella4" ref="AF19:AG30" totalsRowShown="0" dataDxfId="37">
  <autoFilter ref="AF19:AG30" xr:uid="{EEF2A1A0-4A08-497E-A79F-5A35691071BA}"/>
  <tableColumns count="2">
    <tableColumn id="1" xr3:uid="{604E3049-AE60-4912-86E2-C58A4706242A}" name="Recovered" dataDxfId="36"/>
    <tableColumn id="2" xr3:uid="{109EDCEC-3FF1-4CB5-A224-FFEEA35FA41C}" name="New recovered fit" dataDxfId="35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627ECF-5D8A-447B-AC66-68900E40C78B}" name="Tabella5" displayName="Tabella5" ref="AF31:AG42" totalsRowShown="0" headerRowDxfId="34" dataDxfId="33">
  <autoFilter ref="AF31:AG42" xr:uid="{61401F20-3088-4299-A30C-162117992087}"/>
  <tableColumns count="2">
    <tableColumn id="1" xr3:uid="{E0943324-D586-453F-96DB-1069E398D242}" name="Deaths" dataDxfId="32"/>
    <tableColumn id="2" xr3:uid="{66FF7AC8-7F99-4215-A97C-F9D3F4B5C74C}" name="New deaths fit" dataDxfId="31"/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E19BCC8-A4BE-4CC7-B6B5-07F5ABF1C4B0}" name="Tabella211" displayName="Tabella211" ref="B7:AD78" totalsRowShown="0" headerRowDxfId="30">
  <autoFilter ref="B7:AD78" xr:uid="{B8C71372-AF1E-49D4-8457-F67D9BE771EB}"/>
  <tableColumns count="29">
    <tableColumn id="1" xr3:uid="{F109A47B-C010-45B9-B2B7-92F08B4181E1}" name="Date" dataDxfId="29"/>
    <tableColumn id="2" xr3:uid="{E6397626-D4E9-41D2-8D66-D6F816FA7AF9}" name="Day" dataDxfId="28">
      <calculatedColumnFormula>C7+1</calculatedColumnFormula>
    </tableColumn>
    <tableColumn id="3" xr3:uid="{19FE4D53-DC8D-48FD-BC6F-945771BA9C90}" name="Cum_confirmed"/>
    <tableColumn id="4" xr3:uid="{069D8645-44F5-40DB-9FF8-97ACE6FD9389}" name="New cases"/>
    <tableColumn id="23" xr3:uid="{BB0BF4F8-A1B7-49F7-8912-AB4E82E4BE47}" name="Colonna1" dataDxfId="27" dataCellStyle="20% - Colore 1">
      <calculatedColumnFormula>Tabella211[[#This Row],[Cum_confirmed]]*NOT(ISBLANK(Tabella211[[#This Row],[Cum_confirmed]]))</calculatedColumnFormula>
    </tableColumn>
    <tableColumn id="5" xr3:uid="{906AC7F4-1EA1-4AA4-96BF-364D104327B0}" name="Cum_fit" dataDxfId="26">
      <calculatedColumnFormula>k*t0*_xlfn.GAMMA.DIST(Tabella211[[#This Row],[Day]]/t0,w+1,1,1)*_xlfn.GAMMA(w+1)</calculatedColumnFormula>
    </tableColumn>
    <tableColumn id="6" xr3:uid="{59DF212F-AD93-4F67-9314-22ED4BD2C67F}" name="New_cases_fit" dataDxfId="25">
      <calculatedColumnFormula>k*((Tabella211[[#This Row],[Day]]/t0)^w)*EXP(-(Tabella211[[#This Row],[Day]]/t0))</calculatedColumnFormula>
    </tableColumn>
    <tableColumn id="24" xr3:uid="{631432D1-6CBF-44AE-AA24-22DC16561674}" name="Colonna2" dataDxfId="24" dataCellStyle="20% - Colore 1">
      <calculatedColumnFormula>Tabella211[[#This Row],[Cum_fit]]*NOT(ISBLANK(Tabella211[[#This Row],[Cum_confirmed]]))</calculatedColumnFormula>
    </tableColumn>
    <tableColumn id="7" xr3:uid="{C98EB7A4-F307-4996-9CA2-73BF58F659AA}" name="C_Upper CI"/>
    <tableColumn id="8" xr3:uid="{067E9744-A836-4005-9752-A7F84EC7CCC5}" name="C_Lower CI"/>
    <tableColumn id="9" xr3:uid="{E7705F1B-E211-4D2F-B47C-BFEBA87EB026}" name="Curr_positive" dataDxfId="23"/>
    <tableColumn id="10" xr3:uid="{26C08828-5C73-4184-BE03-FCB7AE457636}" name="New_positive" dataDxfId="22"/>
    <tableColumn id="29" xr3:uid="{B8AFAB82-B960-4EE1-B026-1E99DA3B9FA5}" name="New_positive_fit" dataDxfId="21">
      <calculatedColumnFormula>Tabella211[[#This Row],[New_cases_fit]]-Tabella211[[#This Row],[New_Recovered_fit]]-Tabella211[[#This Row],[New_Deaths_fit]]</calculatedColumnFormula>
    </tableColumn>
    <tableColumn id="11" xr3:uid="{663A1341-0F3E-49C3-A573-7EF5984D6980}" name="Cum_recov"/>
    <tableColumn id="12" xr3:uid="{5D5B7C77-9671-471E-ACEB-1F251509ADC2}" name="New recovered" dataDxfId="20"/>
    <tableColumn id="25" xr3:uid="{B5764F16-3F23-4441-85C0-396F3C7F466C}" name="Colonna3" dataDxfId="19" dataCellStyle="20% - Colore 6">
      <calculatedColumnFormula>Tabella211[[#This Row],[Cum_recov]]*NOT(ISBLANK(Tabella211[[#This Row],[Cum_recov]]))</calculatedColumnFormula>
    </tableColumn>
    <tableColumn id="13" xr3:uid="{557B6BBE-A4D1-4664-AFDE-AE352576A3DE}" name="Cum_R_fit" dataDxfId="18">
      <calculatedColumnFormula>kr*t0r*_xlfn.GAMMA.DIST(Tabella211[[#This Row],[Day]]/t0r,wr+1,1,1)*_xlfn.GAMMA(wr+1)</calculatedColumnFormula>
    </tableColumn>
    <tableColumn id="14" xr3:uid="{242586ED-2947-45C8-9CE5-E7AB9A72B118}" name="New_Recovered_fit" dataDxfId="17">
      <calculatedColumnFormula>kr*((Tabella211[[#This Row],[Day]]/t0r)^wr)*EXP(-(Tabella211[[#This Row],[Day]]/t0r))</calculatedColumnFormula>
    </tableColumn>
    <tableColumn id="26" xr3:uid="{C0BDC4F9-7346-4F1A-B352-EC468DCD9624}" name="Colonna4" dataDxfId="16" dataCellStyle="20% - Colore 6">
      <calculatedColumnFormula>Tabella211[[#This Row],[Cum_R_fit]]*NOT(ISBLANK(Tabella211[[#This Row],[Cum_recov]]))</calculatedColumnFormula>
    </tableColumn>
    <tableColumn id="15" xr3:uid="{82AB8F81-3E3B-4A2C-A4FC-C7148CACBBA0}" name="R_Upper CI"/>
    <tableColumn id="16" xr3:uid="{6894D638-FDAD-4888-952D-20D45890DE99}" name="R_Lower CI"/>
    <tableColumn id="17" xr3:uid="{3332BBE6-8382-4DB6-8DBA-F839E04AE286}" name="Cum_deaths"/>
    <tableColumn id="18" xr3:uid="{52C908F0-93E0-49C7-83B9-E0DFDC028E89}" name="New deaths" dataDxfId="15"/>
    <tableColumn id="27" xr3:uid="{962B7882-CED2-46E8-894C-11D4E492CF90}" name="Colonna5" dataDxfId="14" dataCellStyle="20% - Colore 2">
      <calculatedColumnFormula>Tabella211[[#This Row],[Cum_deaths]]*NOT(ISBLANK(Tabella211[[#This Row],[Cum_deaths]]))</calculatedColumnFormula>
    </tableColumn>
    <tableColumn id="19" xr3:uid="{02D66957-737F-4C9C-8C68-15E04D1E5C80}" name="Cum_D_fit" dataDxfId="13">
      <calculatedColumnFormula>kh*t0h*_xlfn.GAMMA.DIST(Tabella211[[#This Row],[Day]]/t0h,wh+1,1,1)*_xlfn.GAMMA(wh+1)</calculatedColumnFormula>
    </tableColumn>
    <tableColumn id="20" xr3:uid="{39D1356E-7799-4ABA-8D46-4BA48A94A90A}" name="New_Deaths_fit" dataDxfId="12">
      <calculatedColumnFormula>kh*((Tabella211[[#This Row],[Day]]/t0h)^wh)*EXP(-(Tabella211[[#This Row],[Day]]/t0h))</calculatedColumnFormula>
    </tableColumn>
    <tableColumn id="28" xr3:uid="{84B03305-1467-48F7-81BE-927A7C3D8C98}" name="Colonna6" dataDxfId="11" dataCellStyle="20% - Colore 2">
      <calculatedColumnFormula>Tabella211[[#This Row],[Cum_D_fit]]*NOT(ISBLANK(Tabella211[[#This Row],[Cum_deaths]]))</calculatedColumnFormula>
    </tableColumn>
    <tableColumn id="21" xr3:uid="{9E7E013F-C805-4007-9015-5950CEDBC33D}" name="D_Upper CI"/>
    <tableColumn id="22" xr3:uid="{869D4223-5F79-4962-8B64-19F2D58547BD}" name="D_Lower CI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7ABAEAB-E516-4F4B-B47D-D4D1C4903D9B}" name="Tabella312" displayName="Tabella312" ref="AF7:AG18" totalsRowShown="0" headerRowDxfId="10" dataDxfId="9">
  <autoFilter ref="AF7:AG18" xr:uid="{407C54E5-E440-4537-8E2D-1DD13C000E48}"/>
  <tableColumns count="2">
    <tableColumn id="1" xr3:uid="{52B0120A-043A-4EF7-B804-054502154853}" name="Confirmed" dataDxfId="8"/>
    <tableColumn id="2" xr3:uid="{BBD62E85-33F5-4BF1-A3AE-7B88D2DD93AA}" name="Confirmed fit" dataDxfId="7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CFC3B07-4E56-4CC4-A00C-EEC43969F07C}" name="Tabella413" displayName="Tabella413" ref="AF19:AG30" totalsRowShown="0" dataDxfId="6">
  <autoFilter ref="AF19:AG30" xr:uid="{CB9D1A18-DA45-4DE8-9D1A-421A0BAF60FC}"/>
  <tableColumns count="2">
    <tableColumn id="1" xr3:uid="{775DA299-347C-4244-9FD8-E27BF59FECEC}" name="Recovered" dataDxfId="5"/>
    <tableColumn id="2" xr3:uid="{2C633A4A-885C-4119-9E86-E6A0CC694C9C}" name="Recovered fit" dataDxfId="4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1E3162F-97BC-489C-A178-22384E6BB5EF}" name="Tabella514" displayName="Tabella514" ref="AF31:AG42" totalsRowShown="0" headerRowDxfId="3" dataDxfId="2">
  <autoFilter ref="AF31:AG42" xr:uid="{4866098F-838C-4EFF-B7EC-009C5776DD93}"/>
  <tableColumns count="2">
    <tableColumn id="1" xr3:uid="{80725BB4-06C2-4468-BF34-2E7CFE4745BB}" name="Deaths" dataDxfId="1"/>
    <tableColumn id="2" xr3:uid="{36C77133-0452-4171-BD17-066E8059C73B}" name="Deaths fit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8" dT="2020-03-21T22:11:56.31" personId="{46504131-ADD3-4530-BCC7-16E4FED1C2C4}" id="{5FD8839A-74E9-44C2-B5F2-F977D0EA3D98}">
    <text>first red zones (north)</text>
  </threadedComment>
  <threadedComment ref="B14" dT="2020-03-21T22:12:51.46" personId="{46504131-ADD3-4530-BCC7-16E4FED1C2C4}" id="{95B83D2D-5EDB-4C8F-91A8-36D622D74B5B}">
    <text>partial lockdown (north)</text>
  </threadedComment>
  <threadedComment ref="B18" dT="2020-03-21T22:13:52.19" personId="{46504131-ADD3-4530-BCC7-16E4FED1C2C4}" id="{FB6547ED-429A-49D7-8367-DE2107BFB931}">
    <text>school closure (Italy)</text>
  </threadedComment>
  <threadedComment ref="B21" dT="2020-03-21T22:14:24.84" personId="{46504131-ADD3-4530-BCC7-16E4FED1C2C4}" id="{18DCC697-BA7F-479A-8641-1D7FCDC0672D}">
    <text>full lockdown (north)</text>
  </threadedComment>
  <threadedComment ref="B23" dT="2020-03-21T22:14:52.14" personId="{46504131-ADD3-4530-BCC7-16E4FED1C2C4}" id="{5FB23112-C2D9-44D1-9DAD-0448A5341B10}">
    <text>partial lockdown (Italy)</text>
  </threadedComment>
  <threadedComment ref="B25" dT="2020-03-21T22:15:16.77" personId="{46504131-ADD3-4530-BCC7-16E4FED1C2C4}" id="{90A59D2F-F1E2-4415-85BD-E03CA55CB6FA}">
    <text>full lockdown (Italy)</text>
  </threadedComment>
  <threadedComment ref="B36" dT="2020-03-23T21:41:16.67" personId="{46504131-ADD3-4530-BCC7-16E4FED1C2C4}" id="{0E1A0D26-B3B0-42D1-A5BA-750B79DBB49F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8" dT="2020-03-21T22:11:56.31" personId="{46504131-ADD3-4530-BCC7-16E4FED1C2C4}" id="{92ED0BA3-CD99-4B8E-BFDD-0EEF8E782638}">
    <text>first red zones (north)</text>
  </threadedComment>
  <threadedComment ref="B14" dT="2020-03-21T22:12:51.46" personId="{46504131-ADD3-4530-BCC7-16E4FED1C2C4}" id="{4409B014-A5A7-4F76-9492-F48BE71B769B}">
    <text>partial lockdown (north)</text>
  </threadedComment>
  <threadedComment ref="B18" dT="2020-03-21T22:13:52.19" personId="{46504131-ADD3-4530-BCC7-16E4FED1C2C4}" id="{81FAFA63-54C6-45CC-9070-46D07C730098}">
    <text>school closure (Italy)</text>
  </threadedComment>
  <threadedComment ref="B21" dT="2020-03-21T22:14:24.84" personId="{46504131-ADD3-4530-BCC7-16E4FED1C2C4}" id="{4BF89DC0-3592-4FA2-8435-6F54BA02BC15}">
    <text>full lockdown (north)</text>
  </threadedComment>
  <threadedComment ref="B23" dT="2020-03-21T22:14:52.14" personId="{46504131-ADD3-4530-BCC7-16E4FED1C2C4}" id="{98C3BF07-CEF3-412D-B8D1-2942AE2470B6}">
    <text>partial lockdown (Italy)</text>
  </threadedComment>
  <threadedComment ref="B25" dT="2020-03-21T22:15:16.77" personId="{46504131-ADD3-4530-BCC7-16E4FED1C2C4}" id="{21624EEB-6D22-429B-8E98-279137BB6058}">
    <text>full lockdown (Italy)</text>
  </threadedComment>
  <threadedComment ref="B36" dT="2020-03-23T21:41:16.67" personId="{46504131-ADD3-4530-BCC7-16E4FED1C2C4}" id="{0E29A1A8-955C-48A8-BB66-F9B1A9E97908}">
    <text>reinforced lockdown (Italy)</text>
  </threadedComment>
  <threadedComment ref="B103" dT="2020-03-21T22:11:56.31" personId="{46504131-ADD3-4530-BCC7-16E4FED1C2C4}" id="{08774897-7F0B-4B4B-AF46-93FF194A769D}">
    <text>red zone</text>
  </threadedComment>
  <threadedComment ref="B109" dT="2020-03-21T22:12:51.46" personId="{46504131-ADD3-4530-BCC7-16E4FED1C2C4}" id="{85C09E34-A5EC-4346-8195-06EE393D72DF}">
    <text>partial lockdown (north)</text>
  </threadedComment>
  <threadedComment ref="B113" dT="2020-03-21T22:13:52.19" personId="{46504131-ADD3-4530-BCC7-16E4FED1C2C4}" id="{B76B2E5A-CC8C-4D5D-883C-4881C14D6A49}">
    <text>school closure (Italy)</text>
  </threadedComment>
  <threadedComment ref="B116" dT="2020-03-21T22:14:24.84" personId="{46504131-ADD3-4530-BCC7-16E4FED1C2C4}" id="{422813AA-7B17-475A-BC56-7328C0D1FD19}">
    <text>lockdown (north)</text>
  </threadedComment>
  <threadedComment ref="B118" dT="2020-03-21T22:14:52.14" personId="{46504131-ADD3-4530-BCC7-16E4FED1C2C4}" id="{DF686F86-B428-4733-B393-4D0F0A4D84F3}">
    <text>partial lockdown (Italy)</text>
  </threadedComment>
  <threadedComment ref="B120" dT="2020-03-21T22:15:16.77" personId="{46504131-ADD3-4530-BCC7-16E4FED1C2C4}" id="{23B8A78F-4853-446A-8154-8529F1B769CC}">
    <text>lockdown (Italy)</text>
  </threadedComment>
  <threadedComment ref="B131" dT="2020-03-23T21:41:16.67" personId="{46504131-ADD3-4530-BCC7-16E4FED1C2C4}" id="{52BC14E3-58A2-47FD-AA97-3E562BB3003C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table" Target="../tables/table2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2.xml"/><Relationship Id="rId3" Type="http://schemas.openxmlformats.org/officeDocument/2006/relationships/table" Target="../tables/table6.xml"/><Relationship Id="rId7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49"/>
  <sheetViews>
    <sheetView topLeftCell="A28" workbookViewId="0">
      <selection activeCell="H3" activeCellId="1" sqref="G2 H3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50</v>
      </c>
      <c r="H1" t="s">
        <v>51</v>
      </c>
      <c r="I1" t="s">
        <v>52</v>
      </c>
      <c r="J1" t="s">
        <v>18</v>
      </c>
      <c r="K1" t="s">
        <v>19</v>
      </c>
      <c r="L1" t="s">
        <v>20</v>
      </c>
      <c r="M1" t="s">
        <v>21</v>
      </c>
      <c r="N1" t="s">
        <v>27</v>
      </c>
      <c r="O1" t="s">
        <v>28</v>
      </c>
    </row>
    <row r="2" spans="1:15" x14ac:dyDescent="0.3">
      <c r="A2" s="18">
        <v>43885.75</v>
      </c>
      <c r="B2" s="17" t="s">
        <v>22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7" t="s">
        <v>29</v>
      </c>
      <c r="O2" s="17" t="s">
        <v>29</v>
      </c>
    </row>
    <row r="3" spans="1:15" x14ac:dyDescent="0.3">
      <c r="A3" s="18">
        <v>43886.75</v>
      </c>
      <c r="B3" s="17" t="s">
        <v>22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7" t="s">
        <v>29</v>
      </c>
      <c r="O3" s="17" t="s">
        <v>29</v>
      </c>
    </row>
    <row r="4" spans="1:15" x14ac:dyDescent="0.3">
      <c r="A4" s="18">
        <v>43887.75</v>
      </c>
      <c r="B4" s="17" t="s">
        <v>22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7" t="s">
        <v>29</v>
      </c>
      <c r="O4" s="17" t="s">
        <v>29</v>
      </c>
    </row>
    <row r="5" spans="1:15" x14ac:dyDescent="0.3">
      <c r="A5" s="18">
        <v>43888.75</v>
      </c>
      <c r="B5" s="17" t="s">
        <v>22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7" t="s">
        <v>29</v>
      </c>
      <c r="O5" s="17" t="s">
        <v>29</v>
      </c>
    </row>
    <row r="6" spans="1:15" x14ac:dyDescent="0.3">
      <c r="A6" s="18">
        <v>43889.75</v>
      </c>
      <c r="B6" s="17" t="s">
        <v>22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7" t="s">
        <v>29</v>
      </c>
      <c r="O6" s="17" t="s">
        <v>29</v>
      </c>
    </row>
    <row r="7" spans="1:15" x14ac:dyDescent="0.3">
      <c r="A7" s="18">
        <v>43890.75</v>
      </c>
      <c r="B7" s="17" t="s">
        <v>22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7" t="s">
        <v>29</v>
      </c>
      <c r="O7" s="17" t="s">
        <v>29</v>
      </c>
    </row>
    <row r="8" spans="1:15" x14ac:dyDescent="0.3">
      <c r="A8" s="18">
        <v>43891.75</v>
      </c>
      <c r="B8" s="17" t="s">
        <v>22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7" t="s">
        <v>29</v>
      </c>
      <c r="O8" s="17" t="s">
        <v>29</v>
      </c>
    </row>
    <row r="9" spans="1:15" x14ac:dyDescent="0.3">
      <c r="A9" s="18">
        <v>43892.75</v>
      </c>
      <c r="B9" s="17" t="s">
        <v>22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7" t="s">
        <v>29</v>
      </c>
      <c r="O9" s="17" t="s">
        <v>29</v>
      </c>
    </row>
    <row r="10" spans="1:15" x14ac:dyDescent="0.3">
      <c r="A10" s="18">
        <v>43893.75</v>
      </c>
      <c r="B10" s="17" t="s">
        <v>22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7" t="s">
        <v>29</v>
      </c>
      <c r="O10" s="17" t="s">
        <v>29</v>
      </c>
    </row>
    <row r="11" spans="1:15" x14ac:dyDescent="0.3">
      <c r="A11" s="18">
        <v>43894.75</v>
      </c>
      <c r="B11" s="17" t="s">
        <v>22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7" t="s">
        <v>29</v>
      </c>
      <c r="O11" s="17" t="s">
        <v>29</v>
      </c>
    </row>
    <row r="12" spans="1:15" x14ac:dyDescent="0.3">
      <c r="A12" s="18">
        <v>43895.75</v>
      </c>
      <c r="B12" s="17" t="s">
        <v>22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7" t="s">
        <v>29</v>
      </c>
      <c r="O12" s="17" t="s">
        <v>29</v>
      </c>
    </row>
    <row r="13" spans="1:15" x14ac:dyDescent="0.3">
      <c r="A13" s="18">
        <v>43896.75</v>
      </c>
      <c r="B13" s="17" t="s">
        <v>22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7" t="s">
        <v>29</v>
      </c>
      <c r="O13" s="17" t="s">
        <v>29</v>
      </c>
    </row>
    <row r="14" spans="1:15" x14ac:dyDescent="0.3">
      <c r="A14" s="18">
        <v>43897.75</v>
      </c>
      <c r="B14" s="17" t="s">
        <v>22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7" t="s">
        <v>30</v>
      </c>
      <c r="O14" s="17" t="s">
        <v>31</v>
      </c>
    </row>
    <row r="15" spans="1:15" x14ac:dyDescent="0.3">
      <c r="A15" s="18">
        <v>43898.75</v>
      </c>
      <c r="B15" s="17" t="s">
        <v>22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7" t="s">
        <v>29</v>
      </c>
      <c r="O15" s="17" t="s">
        <v>29</v>
      </c>
    </row>
    <row r="16" spans="1:15" x14ac:dyDescent="0.3">
      <c r="A16" s="18">
        <v>43899.75</v>
      </c>
      <c r="B16" s="17" t="s">
        <v>22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7" t="s">
        <v>29</v>
      </c>
      <c r="O16" s="17" t="s">
        <v>29</v>
      </c>
    </row>
    <row r="17" spans="1:15" x14ac:dyDescent="0.3">
      <c r="A17" s="18">
        <v>43900.75</v>
      </c>
      <c r="B17" s="17" t="s">
        <v>22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7" t="s">
        <v>32</v>
      </c>
      <c r="O17" s="17" t="s">
        <v>33</v>
      </c>
    </row>
    <row r="18" spans="1:15" x14ac:dyDescent="0.3">
      <c r="A18" s="18">
        <v>43901.708333333336</v>
      </c>
      <c r="B18" s="17" t="s">
        <v>22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7" t="s">
        <v>34</v>
      </c>
      <c r="O18" s="17" t="s">
        <v>35</v>
      </c>
    </row>
    <row r="19" spans="1:15" x14ac:dyDescent="0.3">
      <c r="A19" s="18">
        <v>43902.708333333336</v>
      </c>
      <c r="B19" s="17" t="s">
        <v>22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7" t="s">
        <v>29</v>
      </c>
      <c r="O19" s="17" t="s">
        <v>29</v>
      </c>
    </row>
    <row r="20" spans="1:15" x14ac:dyDescent="0.3">
      <c r="A20" s="18">
        <v>43903.708333333336</v>
      </c>
      <c r="B20" s="17" t="s">
        <v>22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7" t="s">
        <v>29</v>
      </c>
      <c r="O20" s="17" t="s">
        <v>29</v>
      </c>
    </row>
    <row r="21" spans="1:15" x14ac:dyDescent="0.3">
      <c r="A21" s="18">
        <v>43904.708333333336</v>
      </c>
      <c r="B21" s="17" t="s">
        <v>22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7" t="s">
        <v>29</v>
      </c>
      <c r="O21" s="17" t="s">
        <v>29</v>
      </c>
    </row>
    <row r="22" spans="1:15" x14ac:dyDescent="0.3">
      <c r="A22" s="18">
        <v>43905.708333333336</v>
      </c>
      <c r="B22" s="17" t="s">
        <v>22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7" t="s">
        <v>29</v>
      </c>
      <c r="O22" s="17" t="s">
        <v>29</v>
      </c>
    </row>
    <row r="23" spans="1:15" x14ac:dyDescent="0.3">
      <c r="A23" s="18">
        <v>43906.708333333336</v>
      </c>
      <c r="B23" s="17" t="s">
        <v>22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7" t="s">
        <v>36</v>
      </c>
      <c r="O23" s="17" t="s">
        <v>37</v>
      </c>
    </row>
    <row r="24" spans="1:15" x14ac:dyDescent="0.3">
      <c r="A24" s="18">
        <v>43907.708333333336</v>
      </c>
      <c r="B24" s="17" t="s">
        <v>22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7" t="s">
        <v>38</v>
      </c>
      <c r="O24" s="17" t="s">
        <v>39</v>
      </c>
    </row>
    <row r="25" spans="1:15" x14ac:dyDescent="0.3">
      <c r="A25" s="18">
        <v>43908.708333333336</v>
      </c>
      <c r="B25" s="17" t="s">
        <v>22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7" t="s">
        <v>40</v>
      </c>
      <c r="O25" s="17" t="s">
        <v>41</v>
      </c>
    </row>
    <row r="26" spans="1:15" x14ac:dyDescent="0.3">
      <c r="A26" s="18">
        <v>43909.708333333336</v>
      </c>
      <c r="B26" s="17" t="s">
        <v>22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7" t="s">
        <v>29</v>
      </c>
      <c r="O26" s="17" t="s">
        <v>29</v>
      </c>
    </row>
    <row r="27" spans="1:15" x14ac:dyDescent="0.3">
      <c r="A27" s="18">
        <v>43910.708333333336</v>
      </c>
      <c r="B27" s="17" t="s">
        <v>22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7" t="s">
        <v>29</v>
      </c>
      <c r="O27" s="17" t="s">
        <v>29</v>
      </c>
    </row>
    <row r="28" spans="1:15" x14ac:dyDescent="0.3">
      <c r="A28" s="18">
        <v>43911.708333333336</v>
      </c>
      <c r="B28" s="17" t="s">
        <v>22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7" t="s">
        <v>29</v>
      </c>
      <c r="O28" s="17" t="s">
        <v>29</v>
      </c>
    </row>
    <row r="29" spans="1:15" x14ac:dyDescent="0.3">
      <c r="A29" s="18">
        <v>43912.708333333336</v>
      </c>
      <c r="B29" s="17" t="s">
        <v>22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7" t="s">
        <v>29</v>
      </c>
      <c r="O29" s="17" t="s">
        <v>29</v>
      </c>
    </row>
    <row r="30" spans="1:15" x14ac:dyDescent="0.3">
      <c r="A30" s="18">
        <v>43913.708333333336</v>
      </c>
      <c r="B30" s="17" t="s">
        <v>22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7" t="s">
        <v>29</v>
      </c>
      <c r="O30" s="17" t="s">
        <v>29</v>
      </c>
    </row>
    <row r="31" spans="1:15" x14ac:dyDescent="0.3">
      <c r="A31" s="18">
        <v>43914.708333333336</v>
      </c>
      <c r="B31" s="17" t="s">
        <v>22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7" t="s">
        <v>29</v>
      </c>
      <c r="O31" s="17" t="s">
        <v>29</v>
      </c>
    </row>
    <row r="32" spans="1:15" x14ac:dyDescent="0.3">
      <c r="A32" s="18">
        <v>43915.708333333336</v>
      </c>
      <c r="B32" s="17" t="s">
        <v>22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7" t="s">
        <v>29</v>
      </c>
      <c r="O32" s="17" t="s">
        <v>29</v>
      </c>
    </row>
    <row r="33" spans="1:15" x14ac:dyDescent="0.3">
      <c r="A33" s="18">
        <v>43916.708333333336</v>
      </c>
      <c r="B33" s="17" t="s">
        <v>22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7" t="s">
        <v>42</v>
      </c>
      <c r="O33" s="17" t="s">
        <v>43</v>
      </c>
    </row>
    <row r="34" spans="1:15" x14ac:dyDescent="0.3">
      <c r="A34" s="18">
        <v>43917.708333333336</v>
      </c>
      <c r="B34" s="17" t="s">
        <v>22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7" t="s">
        <v>29</v>
      </c>
      <c r="O34" s="17" t="s">
        <v>29</v>
      </c>
    </row>
    <row r="35" spans="1:15" x14ac:dyDescent="0.3">
      <c r="A35" s="18">
        <v>43918.708333333336</v>
      </c>
      <c r="B35" s="17" t="s">
        <v>22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7" t="s">
        <v>29</v>
      </c>
      <c r="O35" s="17" t="s">
        <v>29</v>
      </c>
    </row>
    <row r="36" spans="1:15" x14ac:dyDescent="0.3">
      <c r="A36" s="18">
        <v>43919.708333333336</v>
      </c>
      <c r="B36" s="17" t="s">
        <v>22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7" t="s">
        <v>47</v>
      </c>
      <c r="O36" s="17" t="s">
        <v>48</v>
      </c>
    </row>
    <row r="37" spans="1:15" x14ac:dyDescent="0.3">
      <c r="A37" s="18">
        <v>43920.708333333336</v>
      </c>
      <c r="B37" s="17" t="s">
        <v>22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7" t="s">
        <v>29</v>
      </c>
      <c r="O37" s="17" t="s">
        <v>29</v>
      </c>
    </row>
    <row r="38" spans="1:15" x14ac:dyDescent="0.3">
      <c r="A38" s="18">
        <v>43921.708333333336</v>
      </c>
      <c r="B38" s="17" t="s">
        <v>22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7" t="s">
        <v>29</v>
      </c>
      <c r="O38" s="17" t="s">
        <v>29</v>
      </c>
    </row>
    <row r="39" spans="1:15" x14ac:dyDescent="0.3">
      <c r="A39" s="18">
        <v>43922.708333333336</v>
      </c>
      <c r="B39" s="17" t="s">
        <v>22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7" t="s">
        <v>29</v>
      </c>
      <c r="O39" s="17" t="s">
        <v>29</v>
      </c>
    </row>
    <row r="40" spans="1:15" x14ac:dyDescent="0.3">
      <c r="A40" s="18">
        <v>43923.708333333336</v>
      </c>
      <c r="B40" s="17" t="s">
        <v>22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7" t="s">
        <v>29</v>
      </c>
      <c r="O40" s="17" t="s">
        <v>29</v>
      </c>
    </row>
    <row r="41" spans="1:15" x14ac:dyDescent="0.3">
      <c r="A41" s="18">
        <v>43924.708333333336</v>
      </c>
      <c r="B41" s="17" t="s">
        <v>22</v>
      </c>
      <c r="C41" s="2">
        <v>28741</v>
      </c>
      <c r="D41" s="2">
        <v>4068</v>
      </c>
      <c r="E41" s="2">
        <v>32809</v>
      </c>
      <c r="F41" s="2">
        <v>52579</v>
      </c>
      <c r="G41" s="2">
        <v>85388</v>
      </c>
      <c r="H41" s="2">
        <v>2339</v>
      </c>
      <c r="I41" s="2">
        <v>4585</v>
      </c>
      <c r="J41" s="2">
        <v>19758</v>
      </c>
      <c r="K41" s="2">
        <v>14681</v>
      </c>
      <c r="L41" s="2">
        <v>119827</v>
      </c>
      <c r="M41" s="2">
        <v>619849</v>
      </c>
      <c r="N41" s="17" t="s">
        <v>29</v>
      </c>
      <c r="O41" s="17" t="s">
        <v>29</v>
      </c>
    </row>
    <row r="42" spans="1:15" x14ac:dyDescent="0.3">
      <c r="A42" s="18">
        <v>43925.708333333336</v>
      </c>
      <c r="B42" s="17" t="s">
        <v>22</v>
      </c>
      <c r="C42" s="2">
        <v>29010</v>
      </c>
      <c r="D42" s="2">
        <v>3994</v>
      </c>
      <c r="E42" s="2">
        <v>33004</v>
      </c>
      <c r="F42" s="2">
        <v>55270</v>
      </c>
      <c r="G42" s="2">
        <v>88274</v>
      </c>
      <c r="H42" s="2">
        <v>2886</v>
      </c>
      <c r="I42" s="2">
        <v>4805</v>
      </c>
      <c r="J42" s="2">
        <v>20996</v>
      </c>
      <c r="K42" s="2">
        <v>15362</v>
      </c>
      <c r="L42" s="2">
        <v>124632</v>
      </c>
      <c r="M42" s="2">
        <v>657224</v>
      </c>
      <c r="N42" s="17" t="s">
        <v>29</v>
      </c>
      <c r="O42" s="17" t="s">
        <v>29</v>
      </c>
    </row>
    <row r="43" spans="1:15" x14ac:dyDescent="0.3">
      <c r="A43" s="18">
        <v>43926.708333333336</v>
      </c>
      <c r="B43" s="17" t="s">
        <v>22</v>
      </c>
      <c r="C43" s="2">
        <v>28949</v>
      </c>
      <c r="D43" s="2">
        <v>3977</v>
      </c>
      <c r="E43" s="2">
        <v>32926</v>
      </c>
      <c r="F43" s="2">
        <v>58320</v>
      </c>
      <c r="G43" s="2">
        <v>91246</v>
      </c>
      <c r="H43" s="2">
        <v>2972</v>
      </c>
      <c r="I43" s="2">
        <v>4316</v>
      </c>
      <c r="J43" s="2">
        <v>21815</v>
      </c>
      <c r="K43" s="2">
        <v>15887</v>
      </c>
      <c r="L43" s="2">
        <v>128948</v>
      </c>
      <c r="M43" s="2">
        <v>691461</v>
      </c>
      <c r="N43" s="17" t="s">
        <v>29</v>
      </c>
      <c r="O43" s="17" t="s">
        <v>29</v>
      </c>
    </row>
    <row r="44" spans="1:15" x14ac:dyDescent="0.3">
      <c r="A44" s="18">
        <v>43927.708333333336</v>
      </c>
      <c r="B44" s="17" t="s">
        <v>22</v>
      </c>
      <c r="C44" s="2">
        <v>28976</v>
      </c>
      <c r="D44" s="2">
        <v>3898</v>
      </c>
      <c r="E44" s="2">
        <v>32874</v>
      </c>
      <c r="F44" s="2">
        <v>60313</v>
      </c>
      <c r="G44" s="2">
        <v>93187</v>
      </c>
      <c r="H44" s="2">
        <v>1941</v>
      </c>
      <c r="I44" s="2">
        <v>3599</v>
      </c>
      <c r="J44" s="2">
        <v>22837</v>
      </c>
      <c r="K44" s="2">
        <v>16523</v>
      </c>
      <c r="L44" s="2">
        <v>132547</v>
      </c>
      <c r="M44" s="2">
        <v>721732</v>
      </c>
      <c r="N44" s="17" t="s">
        <v>29</v>
      </c>
      <c r="O44" s="17" t="s">
        <v>29</v>
      </c>
    </row>
    <row r="45" spans="1:15" x14ac:dyDescent="0.3">
      <c r="A45" s="18">
        <v>43928.708333333336</v>
      </c>
      <c r="B45" s="17" t="s">
        <v>22</v>
      </c>
      <c r="C45" s="2">
        <v>28718</v>
      </c>
      <c r="D45" s="2">
        <v>3792</v>
      </c>
      <c r="E45" s="2">
        <v>32510</v>
      </c>
      <c r="F45" s="2">
        <v>61557</v>
      </c>
      <c r="G45" s="2">
        <v>94067</v>
      </c>
      <c r="H45" s="2">
        <v>880</v>
      </c>
      <c r="I45" s="2">
        <v>3039</v>
      </c>
      <c r="J45" s="2">
        <v>24392</v>
      </c>
      <c r="K45" s="2">
        <v>17127</v>
      </c>
      <c r="L45" s="2">
        <v>135586</v>
      </c>
      <c r="M45" s="2">
        <v>755445</v>
      </c>
      <c r="N45" s="17" t="s">
        <v>29</v>
      </c>
      <c r="O45" s="17" t="s">
        <v>29</v>
      </c>
    </row>
    <row r="46" spans="1:15" x14ac:dyDescent="0.3">
      <c r="A46" s="18">
        <v>43929.708333333336</v>
      </c>
      <c r="B46" s="17" t="s">
        <v>22</v>
      </c>
      <c r="C46" s="2">
        <v>28485</v>
      </c>
      <c r="D46" s="2">
        <v>3693</v>
      </c>
      <c r="E46" s="2">
        <v>32178</v>
      </c>
      <c r="F46" s="2">
        <v>63084</v>
      </c>
      <c r="G46" s="2">
        <v>95262</v>
      </c>
      <c r="H46" s="2">
        <v>1195</v>
      </c>
      <c r="I46" s="2">
        <v>3836</v>
      </c>
      <c r="J46" s="2">
        <v>26491</v>
      </c>
      <c r="K46" s="2">
        <v>17669</v>
      </c>
      <c r="L46" s="2">
        <v>139422</v>
      </c>
      <c r="M46" s="2">
        <v>807125</v>
      </c>
      <c r="N46" s="17" t="s">
        <v>29</v>
      </c>
      <c r="O46" s="17" t="s">
        <v>29</v>
      </c>
    </row>
    <row r="47" spans="1:15" x14ac:dyDescent="0.3">
      <c r="A47" s="18">
        <v>43930.708333333336</v>
      </c>
      <c r="B47" s="17" t="s">
        <v>22</v>
      </c>
      <c r="C47" s="2">
        <v>28399</v>
      </c>
      <c r="D47" s="2">
        <v>3605</v>
      </c>
      <c r="E47" s="2">
        <v>32004</v>
      </c>
      <c r="F47" s="2">
        <v>64873</v>
      </c>
      <c r="G47" s="2">
        <v>96877</v>
      </c>
      <c r="H47" s="2">
        <v>1615</v>
      </c>
      <c r="I47" s="2">
        <v>4204</v>
      </c>
      <c r="J47" s="2">
        <v>28470</v>
      </c>
      <c r="K47" s="2">
        <v>18279</v>
      </c>
      <c r="L47" s="2">
        <v>143626</v>
      </c>
      <c r="M47" s="2">
        <v>853369</v>
      </c>
      <c r="N47" s="17" t="s">
        <v>29</v>
      </c>
      <c r="O47" s="17" t="s">
        <v>29</v>
      </c>
    </row>
    <row r="48" spans="1:15" x14ac:dyDescent="0.3">
      <c r="A48" s="18">
        <v>43931.708333333336</v>
      </c>
      <c r="B48" s="17" t="s">
        <v>22</v>
      </c>
      <c r="C48" s="2">
        <v>28242</v>
      </c>
      <c r="D48" s="2">
        <v>3497</v>
      </c>
      <c r="E48" s="2">
        <v>31739</v>
      </c>
      <c r="F48" s="2">
        <v>66534</v>
      </c>
      <c r="G48" s="2">
        <v>98273</v>
      </c>
      <c r="H48" s="2">
        <v>1396</v>
      </c>
      <c r="I48" s="2">
        <v>3951</v>
      </c>
      <c r="J48" s="2">
        <v>30455</v>
      </c>
      <c r="K48" s="2">
        <v>18849</v>
      </c>
      <c r="L48" s="2">
        <v>147577</v>
      </c>
      <c r="M48" s="2">
        <v>906864</v>
      </c>
      <c r="N48" s="17" t="s">
        <v>109</v>
      </c>
      <c r="O48" s="17" t="s">
        <v>110</v>
      </c>
    </row>
    <row r="49" spans="1:15" x14ac:dyDescent="0.3">
      <c r="A49" s="18">
        <v>43932.708333333336</v>
      </c>
      <c r="B49" s="17" t="s">
        <v>22</v>
      </c>
      <c r="C49" s="2">
        <v>28144</v>
      </c>
      <c r="D49" s="2">
        <v>3381</v>
      </c>
      <c r="E49" s="2">
        <v>31525</v>
      </c>
      <c r="F49" s="2">
        <v>68744</v>
      </c>
      <c r="G49" s="2">
        <v>100269</v>
      </c>
      <c r="H49" s="2">
        <v>1996</v>
      </c>
      <c r="I49" s="2">
        <v>4694</v>
      </c>
      <c r="J49" s="2">
        <v>32534</v>
      </c>
      <c r="K49" s="2">
        <v>19468</v>
      </c>
      <c r="L49" s="2">
        <v>152271</v>
      </c>
      <c r="M49" s="2">
        <v>963473</v>
      </c>
      <c r="N49" s="17" t="s">
        <v>29</v>
      </c>
      <c r="O49" s="17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DCB-1D80-454C-84B7-4D685A0A31EC}">
  <dimension ref="B2:AT78"/>
  <sheetViews>
    <sheetView topLeftCell="V4" zoomScale="70" zoomScaleNormal="70" workbookViewId="0">
      <selection activeCell="AG14" sqref="AG14"/>
    </sheetView>
  </sheetViews>
  <sheetFormatPr defaultRowHeight="14.4" x14ac:dyDescent="0.3"/>
  <cols>
    <col min="1" max="1" width="2.77734375" style="2" customWidth="1"/>
    <col min="2" max="2" width="8.88671875" style="2"/>
    <col min="3" max="3" width="6.33203125" style="2" customWidth="1"/>
    <col min="4" max="4" width="16.6640625" style="2" customWidth="1"/>
    <col min="5" max="6" width="12.109375" style="2" customWidth="1"/>
    <col min="7" max="7" width="12.6640625" style="2" bestFit="1" customWidth="1"/>
    <col min="8" max="8" width="16.109375" style="2" bestFit="1" customWidth="1"/>
    <col min="9" max="9" width="15.5546875" style="2" bestFit="1" customWidth="1"/>
    <col min="10" max="10" width="12.5546875" style="2" customWidth="1"/>
    <col min="11" max="11" width="12.33203125" style="2" customWidth="1"/>
    <col min="12" max="12" width="14.77734375" style="2" customWidth="1"/>
    <col min="13" max="14" width="14.5546875" style="2" customWidth="1"/>
    <col min="15" max="15" width="14.88671875" style="2" bestFit="1" customWidth="1"/>
    <col min="16" max="16" width="11.88671875" style="2" customWidth="1"/>
    <col min="17" max="17" width="15.5546875" style="2" bestFit="1" customWidth="1"/>
    <col min="18" max="18" width="12.6640625" style="2" bestFit="1" customWidth="1"/>
    <col min="19" max="19" width="16.109375" style="2" bestFit="1" customWidth="1"/>
    <col min="20" max="20" width="15.5546875" style="2" bestFit="1" customWidth="1"/>
    <col min="21" max="21" width="13.77734375" style="2" customWidth="1"/>
    <col min="22" max="22" width="13.6640625" style="2" customWidth="1"/>
    <col min="23" max="23" width="14.88671875" style="2" bestFit="1" customWidth="1"/>
    <col min="24" max="25" width="13" style="2" customWidth="1"/>
    <col min="26" max="26" width="12.6640625" style="2" bestFit="1" customWidth="1"/>
    <col min="27" max="27" width="16.109375" style="2" bestFit="1" customWidth="1"/>
    <col min="28" max="28" width="16.109375" style="2" customWidth="1"/>
    <col min="29" max="29" width="14" style="2" customWidth="1"/>
    <col min="30" max="30" width="13.77734375" style="2" customWidth="1"/>
    <col min="31" max="31" width="1.77734375" style="2" customWidth="1"/>
    <col min="32" max="32" width="12.21875" style="2" customWidth="1"/>
    <col min="33" max="33" width="19.33203125" style="2" bestFit="1" customWidth="1"/>
    <col min="34" max="37" width="8.88671875" style="2"/>
    <col min="38" max="38" width="11" style="2" bestFit="1" customWidth="1"/>
    <col min="39" max="45" width="8.88671875" style="2"/>
    <col min="46" max="46" width="9.5546875" style="2" bestFit="1" customWidth="1"/>
    <col min="47" max="16384" width="8.88671875" style="2"/>
  </cols>
  <sheetData>
    <row r="2" spans="2:46" ht="23.4" x14ac:dyDescent="0.45">
      <c r="B2" s="110" t="s">
        <v>11</v>
      </c>
      <c r="C2" s="110"/>
      <c r="D2" s="110"/>
      <c r="E2" s="110"/>
      <c r="F2" s="110"/>
      <c r="G2" s="110"/>
      <c r="H2" s="110"/>
    </row>
    <row r="3" spans="2:46" ht="17.399999999999999" customHeight="1" thickBot="1" x14ac:dyDescent="0.65">
      <c r="B3" s="12"/>
      <c r="C3" s="13"/>
      <c r="D3" s="13"/>
      <c r="E3" s="13"/>
      <c r="F3" s="13"/>
      <c r="G3" s="13"/>
      <c r="H3" s="113"/>
      <c r="I3" s="13"/>
      <c r="J3" s="13"/>
      <c r="O3" s="13"/>
      <c r="P3" s="13"/>
      <c r="Q3" s="13"/>
      <c r="R3" s="13"/>
      <c r="S3" s="13"/>
      <c r="T3" s="13"/>
      <c r="U3" s="13"/>
      <c r="W3" s="13"/>
      <c r="X3" s="13"/>
      <c r="Y3" s="13"/>
      <c r="Z3" s="13"/>
      <c r="AA3" s="13"/>
      <c r="AB3" s="13"/>
      <c r="AC3" s="13"/>
      <c r="AH3" s="79" t="s">
        <v>108</v>
      </c>
      <c r="AI3" s="109" t="s">
        <v>71</v>
      </c>
      <c r="AJ3" s="109"/>
      <c r="AK3" s="109"/>
      <c r="AL3" s="109"/>
    </row>
    <row r="4" spans="2:46" ht="20.399999999999999" thickBot="1" x14ac:dyDescent="0.45">
      <c r="B4" s="111" t="s">
        <v>49</v>
      </c>
      <c r="C4" s="111"/>
      <c r="D4" s="111"/>
      <c r="E4" s="111"/>
      <c r="F4" s="111"/>
      <c r="G4" s="111"/>
      <c r="H4" s="113"/>
      <c r="I4" s="13"/>
      <c r="J4" s="13"/>
      <c r="O4" s="13"/>
      <c r="P4" s="13"/>
      <c r="Q4" s="13"/>
      <c r="R4" s="13"/>
      <c r="S4" s="13"/>
      <c r="T4" s="13"/>
      <c r="U4" s="13"/>
      <c r="W4" s="13"/>
      <c r="X4" s="13"/>
      <c r="Y4" s="13"/>
      <c r="Z4" s="13"/>
      <c r="AA4" s="13"/>
      <c r="AB4" s="13"/>
      <c r="AC4" s="13"/>
      <c r="AH4" s="78" t="s">
        <v>93</v>
      </c>
      <c r="AI4" s="109" t="s">
        <v>71</v>
      </c>
      <c r="AJ4" s="109"/>
      <c r="AK4" s="109"/>
      <c r="AL4" s="109"/>
    </row>
    <row r="5" spans="2:46" ht="18.600000000000001" thickTop="1" thickBot="1" x14ac:dyDescent="0.4">
      <c r="B5" s="112" t="s">
        <v>58</v>
      </c>
      <c r="C5" s="112"/>
      <c r="D5" s="112"/>
      <c r="E5" s="112"/>
      <c r="F5" s="112"/>
      <c r="G5" s="112"/>
      <c r="H5" s="113"/>
      <c r="I5" s="13"/>
      <c r="J5" s="13"/>
      <c r="O5" s="13"/>
      <c r="P5" s="13"/>
      <c r="Q5" s="13"/>
      <c r="R5" s="13"/>
      <c r="S5" s="13"/>
      <c r="T5" s="13"/>
      <c r="U5" s="13"/>
      <c r="W5" s="13"/>
      <c r="X5" s="13"/>
      <c r="Y5" s="13"/>
      <c r="Z5" s="13"/>
      <c r="AA5" s="13"/>
      <c r="AB5" s="13"/>
      <c r="AC5" s="13"/>
      <c r="AH5" s="78" t="s">
        <v>1</v>
      </c>
      <c r="AI5" s="109" t="s">
        <v>71</v>
      </c>
      <c r="AJ5" s="109"/>
      <c r="AK5" s="109"/>
      <c r="AL5" s="109"/>
    </row>
    <row r="6" spans="2:46" ht="19.2" thickTop="1" thickBot="1" x14ac:dyDescent="0.4">
      <c r="B6" s="27"/>
      <c r="C6" s="13"/>
      <c r="D6" s="13"/>
      <c r="E6" s="13"/>
      <c r="F6" s="13"/>
      <c r="G6" s="13"/>
      <c r="H6" s="113"/>
      <c r="I6" s="13"/>
      <c r="J6" s="13"/>
      <c r="O6" s="13"/>
      <c r="P6" s="13"/>
      <c r="Q6" s="13"/>
      <c r="R6" s="13"/>
      <c r="S6" s="13"/>
      <c r="T6" s="13"/>
      <c r="U6" s="13"/>
      <c r="W6" s="13"/>
      <c r="X6" s="13"/>
      <c r="Y6" s="13"/>
      <c r="Z6" s="13"/>
      <c r="AA6" s="13"/>
      <c r="AB6" s="13"/>
      <c r="AC6" s="13"/>
      <c r="AH6" s="20"/>
      <c r="AI6" s="19"/>
      <c r="AJ6" s="16"/>
      <c r="AK6" s="16"/>
    </row>
    <row r="7" spans="2:46" ht="28.8" x14ac:dyDescent="0.3">
      <c r="B7" s="4" t="s">
        <v>8</v>
      </c>
      <c r="C7" s="4" t="s">
        <v>9</v>
      </c>
      <c r="D7" s="4" t="s">
        <v>25</v>
      </c>
      <c r="E7" s="49" t="s">
        <v>26</v>
      </c>
      <c r="F7" s="57" t="s">
        <v>79</v>
      </c>
      <c r="G7" s="8" t="s">
        <v>59</v>
      </c>
      <c r="H7" s="8" t="s">
        <v>88</v>
      </c>
      <c r="I7" s="58" t="s">
        <v>80</v>
      </c>
      <c r="J7" s="8" t="s">
        <v>60</v>
      </c>
      <c r="K7" s="8" t="s">
        <v>61</v>
      </c>
      <c r="L7" s="8" t="s">
        <v>77</v>
      </c>
      <c r="M7" s="8" t="s">
        <v>78</v>
      </c>
      <c r="N7" s="8" t="s">
        <v>89</v>
      </c>
      <c r="O7" s="4" t="s">
        <v>73</v>
      </c>
      <c r="P7" s="51" t="s">
        <v>92</v>
      </c>
      <c r="Q7" s="61" t="s">
        <v>82</v>
      </c>
      <c r="R7" s="8" t="s">
        <v>74</v>
      </c>
      <c r="S7" s="8" t="s">
        <v>90</v>
      </c>
      <c r="T7" s="62" t="s">
        <v>83</v>
      </c>
      <c r="U7" s="8" t="s">
        <v>75</v>
      </c>
      <c r="V7" s="8" t="s">
        <v>76</v>
      </c>
      <c r="W7" s="4" t="s">
        <v>62</v>
      </c>
      <c r="X7" s="53" t="s">
        <v>63</v>
      </c>
      <c r="Y7" s="64" t="s">
        <v>84</v>
      </c>
      <c r="Z7" s="8" t="s">
        <v>64</v>
      </c>
      <c r="AA7" s="8" t="s">
        <v>91</v>
      </c>
      <c r="AB7" s="64" t="s">
        <v>85</v>
      </c>
      <c r="AC7" s="8" t="s">
        <v>65</v>
      </c>
      <c r="AD7" s="8" t="s">
        <v>66</v>
      </c>
      <c r="AE7" s="8"/>
      <c r="AF7" s="66" t="s">
        <v>46</v>
      </c>
      <c r="AG7" s="67" t="s">
        <v>94</v>
      </c>
      <c r="AH7" s="3"/>
      <c r="AT7" s="38" t="s">
        <v>72</v>
      </c>
    </row>
    <row r="8" spans="2:46" x14ac:dyDescent="0.3">
      <c r="B8" s="22">
        <v>43885</v>
      </c>
      <c r="C8" s="4">
        <v>0</v>
      </c>
      <c r="D8" s="10">
        <f>'dpc-covid19-ita-andamento-naz'!L2</f>
        <v>229</v>
      </c>
      <c r="E8" s="30">
        <f>'dpc-covid19-ita-andamento-naz'!I2</f>
        <v>221</v>
      </c>
      <c r="F8" s="56">
        <f>Tabella2[[#This Row],[New cases]]*NOT(ISBLANK(Tabella2[[#This Row],[New cases]]))</f>
        <v>221</v>
      </c>
      <c r="G8" s="50">
        <f>Kn*t0n*_xlfn.GAMMA.DIST(Tabella2[[#This Row],[Day]]/t0n,wn+1,1,1)*_xlfn.GAMMA(wn+1)</f>
        <v>0</v>
      </c>
      <c r="H8" s="10">
        <f>Kn*((Tabella2[[#This Row],[Day]]/t0n)^wn)*EXP(-(Tabella2[[#This Row],[Day]]/t0n))</f>
        <v>0</v>
      </c>
      <c r="I8" s="56">
        <f>Tabella2[[#This Row],[New_cases_fit]]*NOT(ISBLANK(Tabella2[[#This Row],[New cases]]))</f>
        <v>0</v>
      </c>
      <c r="J8" s="10">
        <f>Tabella2[[#This Row],[New_cases_fit]]+CIn</f>
        <v>1152.3087841018491</v>
      </c>
      <c r="K8" s="10">
        <f>MAX(Tabella2[[#This Row],[New_cases_fit]]-CIn,0)</f>
        <v>0</v>
      </c>
      <c r="L8" s="54">
        <f>'dpc-covid19-ita-andamento-naz'!G2</f>
        <v>221</v>
      </c>
      <c r="M8" s="54">
        <f>'dpc-covid19-ita-andamento-naz'!H2</f>
        <v>0</v>
      </c>
      <c r="N8" s="54">
        <f>Tabella2[[#This Row],[New_cases_fit]]-Tabella2[[#This Row],[New_Recovered_fit]]-Tabella2[[#This Row],[New_Deaths_fit]]</f>
        <v>0</v>
      </c>
      <c r="O8" s="10">
        <f>'dpc-covid19-ita-andamento-naz'!J2</f>
        <v>1</v>
      </c>
      <c r="P8" s="52"/>
      <c r="Q8" s="60">
        <f>Tabella2[[#This Row],[New recovered]]*NOT(ISBLANK(Tabella2[[#This Row],[New recovered]]))</f>
        <v>0</v>
      </c>
      <c r="R8" s="50">
        <f>Kd*t0d*_xlfn.GAMMA.DIST(Tabella2[[#This Row],[Day]]/t0d,wd+1,1,1)*_xlfn.GAMMA(wd+1)</f>
        <v>0</v>
      </c>
      <c r="S8" s="10">
        <f>Kd*((Tabella2[[#This Row],[Day]]/t0d)^wd)*EXP(-(Tabella2[[#This Row],[Day]]/t0d))</f>
        <v>0</v>
      </c>
      <c r="T8" s="60">
        <f>Tabella2[[#This Row],[New_Recovered_fit]]*NOT(ISBLANK(Tabella2[[#This Row],[New recovered]]))</f>
        <v>0</v>
      </c>
      <c r="U8" s="10">
        <f>Tabella2[[#This Row],[New_Recovered_fit]]+CId</f>
        <v>499.81973239006709</v>
      </c>
      <c r="V8" s="10">
        <f>MAX(Tabella2[[#This Row],[New_Recovered_fit]]-CId,0)</f>
        <v>0</v>
      </c>
      <c r="W8" s="10">
        <f>'dpc-covid19-ita-andamento-naz'!K2</f>
        <v>7</v>
      </c>
      <c r="X8" s="63"/>
      <c r="Y8" s="65">
        <f>Tabella2[[#This Row],[New deaths]]*NOT(ISBLANK(Tabella2[[#This Row],[New deaths]]))</f>
        <v>0</v>
      </c>
      <c r="Z8" s="50">
        <f>kt*t0t*_xlfn.GAMMA.DIST(Tabella2[[#This Row],[Day]]/t0t,wt+1,1,1)*_xlfn.GAMMA(wt+1)</f>
        <v>0</v>
      </c>
      <c r="AA8" s="10">
        <f>kt*((Tabella2[[#This Row],[Day]]/t0t)^wt)*EXP(-(Tabella2[[#This Row],[Day]]/t0t))</f>
        <v>0</v>
      </c>
      <c r="AB8" s="65">
        <f>Tabella2[[#This Row],[New_Deaths_fit]]*NOT(ISBLANK(Tabella2[[#This Row],[New deaths]]))</f>
        <v>0</v>
      </c>
      <c r="AC8" s="10">
        <f>Tabella2[[#This Row],[New_Deaths_fit]]+CIt</f>
        <v>136.05627482887513</v>
      </c>
      <c r="AD8" s="10">
        <f>MAX(Tabella2[[#This Row],[New_Deaths_fit]]-CIt,0)</f>
        <v>0</v>
      </c>
      <c r="AE8" s="8"/>
      <c r="AF8" s="91" t="s">
        <v>108</v>
      </c>
      <c r="AG8" s="92">
        <v>292.46950525847791</v>
      </c>
      <c r="AH8" s="3"/>
      <c r="AT8" s="39">
        <f>MAX($AG$14)</f>
        <v>0.96557083932820797</v>
      </c>
    </row>
    <row r="9" spans="2:46" ht="15.6" x14ac:dyDescent="0.35">
      <c r="B9" s="9">
        <v>43886</v>
      </c>
      <c r="C9" s="4">
        <f>C8+1</f>
        <v>1</v>
      </c>
      <c r="D9" s="10">
        <f>'dpc-covid19-ita-andamento-naz'!L3</f>
        <v>322</v>
      </c>
      <c r="E9" s="30">
        <f>'dpc-covid19-ita-andamento-naz'!I3</f>
        <v>93</v>
      </c>
      <c r="F9" s="56">
        <f>Tabella2[[#This Row],[New cases]]*NOT(ISBLANK(Tabella2[[#This Row],[New cases]]))</f>
        <v>93</v>
      </c>
      <c r="G9" s="50">
        <f>Kn*t0n*_xlfn.GAMMA.DIST(Tabella2[[#This Row],[Day]]/t0n,wn+1,1,1)*_xlfn.GAMMA(wn+1)</f>
        <v>5.119566311204856E-3</v>
      </c>
      <c r="H9" s="10">
        <f>Kn*((Tabella2[[#This Row],[Day]]/t0n)^wn)*EXP(-(Tabella2[[#This Row],[Day]]/t0n))</f>
        <v>2.9635064625462445E-2</v>
      </c>
      <c r="I9" s="56">
        <f>Tabella2[[#This Row],[New_cases_fit]]*NOT(ISBLANK(Tabella2[[#This Row],[New cases]]))</f>
        <v>2.9635064625462445E-2</v>
      </c>
      <c r="J9" s="10">
        <f>Tabella2[[#This Row],[New_cases_fit]]+CIn</f>
        <v>1152.3384191664745</v>
      </c>
      <c r="K9" s="10">
        <f>MAX(Tabella2[[#This Row],[New_cases_fit]]-CIn,0)</f>
        <v>0</v>
      </c>
      <c r="L9" s="54">
        <f>'dpc-covid19-ita-andamento-naz'!G3</f>
        <v>311</v>
      </c>
      <c r="M9" s="54">
        <f>'dpc-covid19-ita-andamento-naz'!H3</f>
        <v>90</v>
      </c>
      <c r="N9" s="54">
        <f>Tabella2[[#This Row],[New_cases_fit]]-Tabella2[[#This Row],[New_Recovered_fit]]-Tabella2[[#This Row],[New_Deaths_fit]]</f>
        <v>-1.3304442666514824</v>
      </c>
      <c r="O9" s="10">
        <f>'dpc-covid19-ita-andamento-naz'!J3</f>
        <v>1</v>
      </c>
      <c r="P9" s="48">
        <f>Tabella2[[#This Row],[Cum_recov]]-O8</f>
        <v>0</v>
      </c>
      <c r="Q9" s="60">
        <f>Tabella2[[#This Row],[New recovered]]*NOT(ISBLANK(Tabella2[[#This Row],[New recovered]]))</f>
        <v>0</v>
      </c>
      <c r="R9" s="50">
        <f>Kd*t0d*_xlfn.GAMMA.DIST(Tabella2[[#This Row],[Day]]/t0d,wd+1,1,1)*_xlfn.GAMMA(wd+1)</f>
        <v>0.46931142351148036</v>
      </c>
      <c r="S9" s="10">
        <f>Kd*((Tabella2[[#This Row],[Day]]/t0d)^wd)*EXP(-(Tabella2[[#This Row],[Day]]/t0d))</f>
        <v>1.3600744944773195</v>
      </c>
      <c r="T9" s="60">
        <f>Tabella2[[#This Row],[New_Recovered_fit]]*NOT(ISBLANK(Tabella2[[#This Row],[New recovered]]))</f>
        <v>1.3600744944773195</v>
      </c>
      <c r="U9" s="10">
        <f>Tabella2[[#This Row],[New_Recovered_fit]]+CId</f>
        <v>501.1798068845444</v>
      </c>
      <c r="V9" s="10">
        <f>MAX(Tabella2[[#This Row],[New_Recovered_fit]]-CId,0)</f>
        <v>0</v>
      </c>
      <c r="W9" s="10">
        <f>'dpc-covid19-ita-andamento-naz'!K3</f>
        <v>10</v>
      </c>
      <c r="X9" s="26">
        <f>Tabella2[[#This Row],[Cum_deaths]]-W8</f>
        <v>3</v>
      </c>
      <c r="Y9" s="65">
        <f>Tabella2[[#This Row],[New deaths]]*NOT(ISBLANK(Tabella2[[#This Row],[New deaths]]))</f>
        <v>3</v>
      </c>
      <c r="Z9" s="50">
        <f>kt*t0t*_xlfn.GAMMA.DIST(Tabella2[[#This Row],[Day]]/t0t,wt+1,1,1)*_xlfn.GAMMA(wt+1)</f>
        <v>5.893084448677439E-7</v>
      </c>
      <c r="AA9" s="10">
        <f>kt*((Tabella2[[#This Row],[Day]]/t0t)^wt)*EXP(-(Tabella2[[#This Row],[Day]]/t0t))</f>
        <v>4.8367996252178042E-6</v>
      </c>
      <c r="AB9" s="65">
        <f>Tabella2[[#This Row],[New_Deaths_fit]]*NOT(ISBLANK(Tabella2[[#This Row],[New deaths]]))</f>
        <v>4.8367996252178042E-6</v>
      </c>
      <c r="AC9" s="10">
        <f>Tabella2[[#This Row],[New_Deaths_fit]]+CIt</f>
        <v>136.05627966567477</v>
      </c>
      <c r="AD9" s="10">
        <f>MAX(Tabella2[[#This Row],[New_Deaths_fit]]-CIt,0)</f>
        <v>0</v>
      </c>
      <c r="AE9" s="8"/>
      <c r="AF9" s="91" t="s">
        <v>106</v>
      </c>
      <c r="AG9" s="92">
        <v>6.2660041792830974</v>
      </c>
      <c r="AH9" s="3"/>
      <c r="AT9" s="40">
        <f>COUNT($AG$8,$AG$9,$AG$10)</f>
        <v>3</v>
      </c>
    </row>
    <row r="10" spans="2:46" x14ac:dyDescent="0.3">
      <c r="B10" s="9">
        <v>43887</v>
      </c>
      <c r="C10" s="4">
        <f t="shared" ref="C10:C73" si="0">C9+1</f>
        <v>2</v>
      </c>
      <c r="D10" s="10">
        <f>'dpc-covid19-ita-andamento-naz'!L4</f>
        <v>400</v>
      </c>
      <c r="E10" s="30">
        <f>'dpc-covid19-ita-andamento-naz'!I4</f>
        <v>78</v>
      </c>
      <c r="F10" s="56">
        <f>Tabella2[[#This Row],[New cases]]*NOT(ISBLANK(Tabella2[[#This Row],[New cases]]))</f>
        <v>78</v>
      </c>
      <c r="G10" s="50">
        <f>Kn*t0n*_xlfn.GAMMA.DIST(Tabella2[[#This Row],[Day]]/t0n,wn+1,1,1)*_xlfn.GAMMA(wn+1)</f>
        <v>0.27146777969793007</v>
      </c>
      <c r="H10" s="10">
        <f>Kn*((Tabella2[[#This Row],[Day]]/t0n)^wn)*EXP(-(Tabella2[[#This Row],[Day]]/t0n))</f>
        <v>0.76734051582345641</v>
      </c>
      <c r="I10" s="56">
        <f>Tabella2[[#This Row],[New_cases_fit]]*NOT(ISBLANK(Tabella2[[#This Row],[New cases]]))</f>
        <v>0.76734051582345641</v>
      </c>
      <c r="J10" s="10">
        <f>Tabella2[[#This Row],[New_cases_fit]]+CIn</f>
        <v>1153.0761246176726</v>
      </c>
      <c r="K10" s="10">
        <f>MAX(Tabella2[[#This Row],[New_cases_fit]]-CIn,0)</f>
        <v>0</v>
      </c>
      <c r="L10" s="54">
        <f>'dpc-covid19-ita-andamento-naz'!G4</f>
        <v>385</v>
      </c>
      <c r="M10" s="54">
        <f>'dpc-covid19-ita-andamento-naz'!H4</f>
        <v>74</v>
      </c>
      <c r="N10" s="54">
        <f>Tabella2[[#This Row],[New_cases_fit]]-Tabella2[[#This Row],[New_Recovered_fit]]-Tabella2[[#This Row],[New_Deaths_fit]]</f>
        <v>-4.2995251158514849</v>
      </c>
      <c r="O10" s="10">
        <f>'dpc-covid19-ita-andamento-naz'!J4</f>
        <v>3</v>
      </c>
      <c r="P10" s="48">
        <f>Tabella2[[#This Row],[Cum_recov]]-O9</f>
        <v>2</v>
      </c>
      <c r="Q10" s="60">
        <f>Tabella2[[#This Row],[New recovered]]*NOT(ISBLANK(Tabella2[[#This Row],[New recovered]]))</f>
        <v>2</v>
      </c>
      <c r="R10" s="50">
        <f>Kd*t0d*_xlfn.GAMMA.DIST(Tabella2[[#This Row],[Day]]/t0d,wd+1,1,1)*_xlfn.GAMMA(wd+1)</f>
        <v>3.4973493294039151</v>
      </c>
      <c r="S10" s="10">
        <f>Kd*((Tabella2[[#This Row],[Day]]/t0d)^wd)*EXP(-(Tabella2[[#This Row],[Day]]/t0d))</f>
        <v>5.0662078024516903</v>
      </c>
      <c r="T10" s="60">
        <f>Tabella2[[#This Row],[New_Recovered_fit]]*NOT(ISBLANK(Tabella2[[#This Row],[New recovered]]))</f>
        <v>5.0662078024516903</v>
      </c>
      <c r="U10" s="10">
        <f>Tabella2[[#This Row],[New_Recovered_fit]]+CId</f>
        <v>504.88594019251877</v>
      </c>
      <c r="V10" s="10">
        <f>MAX(Tabella2[[#This Row],[New_Recovered_fit]]-CId,0)</f>
        <v>0</v>
      </c>
      <c r="W10" s="10">
        <f>'dpc-covid19-ita-andamento-naz'!K4</f>
        <v>12</v>
      </c>
      <c r="X10" s="26">
        <f>Tabella2[[#This Row],[Cum_deaths]]-W9</f>
        <v>2</v>
      </c>
      <c r="Y10" s="65">
        <f>Tabella2[[#This Row],[New deaths]]*NOT(ISBLANK(Tabella2[[#This Row],[New deaths]]))</f>
        <v>2</v>
      </c>
      <c r="Z10" s="50">
        <f>kt*t0t*_xlfn.GAMMA.DIST(Tabella2[[#This Row],[Day]]/t0t,wt+1,1,1)*_xlfn.GAMMA(wt+1)</f>
        <v>1.6416534637078353E-4</v>
      </c>
      <c r="AA10" s="10">
        <f>kt*((Tabella2[[#This Row],[Day]]/t0t)^wt)*EXP(-(Tabella2[[#This Row],[Day]]/t0t))</f>
        <v>6.5782922325141688E-4</v>
      </c>
      <c r="AB10" s="65">
        <f>Tabella2[[#This Row],[New_Deaths_fit]]*NOT(ISBLANK(Tabella2[[#This Row],[New deaths]]))</f>
        <v>6.5782922325141688E-4</v>
      </c>
      <c r="AC10" s="10">
        <f>Tabella2[[#This Row],[New_Deaths_fit]]+CIt</f>
        <v>136.05693265809839</v>
      </c>
      <c r="AD10" s="10">
        <f>MAX(Tabella2[[#This Row],[New_Deaths_fit]]-CIt,0)</f>
        <v>0</v>
      </c>
      <c r="AE10" s="8"/>
      <c r="AF10" s="91" t="s">
        <v>1</v>
      </c>
      <c r="AG10" s="92">
        <v>4.9247314569488436</v>
      </c>
      <c r="AH10" s="3"/>
      <c r="AT10" s="40">
        <f>{32767;32767;0.000001;0;FALSE;FALSE;TRUE;1;1;1;0.0001;TRUE}</f>
        <v>32767</v>
      </c>
    </row>
    <row r="11" spans="2:46" x14ac:dyDescent="0.3">
      <c r="B11" s="9">
        <v>43888</v>
      </c>
      <c r="C11" s="4">
        <f t="shared" si="0"/>
        <v>3</v>
      </c>
      <c r="D11" s="10">
        <f>'dpc-covid19-ita-andamento-naz'!L5</f>
        <v>650</v>
      </c>
      <c r="E11" s="30">
        <f>'dpc-covid19-ita-andamento-naz'!I5</f>
        <v>250</v>
      </c>
      <c r="F11" s="56">
        <f>Tabella2[[#This Row],[New cases]]*NOT(ISBLANK(Tabella2[[#This Row],[New cases]]))</f>
        <v>250</v>
      </c>
      <c r="G11" s="50">
        <f>Kn*t0n*_xlfn.GAMMA.DIST(Tabella2[[#This Row],[Day]]/t0n,wn+1,1,1)*_xlfn.GAMMA(wn+1)</f>
        <v>2.6191260751090919</v>
      </c>
      <c r="H11" s="10">
        <f>Kn*((Tabella2[[#This Row],[Day]]/t0n)^wn)*EXP(-(Tabella2[[#This Row],[Day]]/t0n))</f>
        <v>4.8181537489856829</v>
      </c>
      <c r="I11" s="56">
        <f>Tabella2[[#This Row],[New_cases_fit]]*NOT(ISBLANK(Tabella2[[#This Row],[New cases]]))</f>
        <v>4.8181537489856829</v>
      </c>
      <c r="J11" s="10">
        <f>Tabella2[[#This Row],[New_cases_fit]]+CIn</f>
        <v>1157.1269378508348</v>
      </c>
      <c r="K11" s="10">
        <f>MAX(Tabella2[[#This Row],[New_cases_fit]]-CIn,0)</f>
        <v>0</v>
      </c>
      <c r="L11" s="54">
        <f>'dpc-covid19-ita-andamento-naz'!G5</f>
        <v>588</v>
      </c>
      <c r="M11" s="54">
        <f>'dpc-covid19-ita-andamento-naz'!H5</f>
        <v>203</v>
      </c>
      <c r="N11" s="54">
        <f>Tabella2[[#This Row],[New_cases_fit]]-Tabella2[[#This Row],[New_Recovered_fit]]-Tabella2[[#This Row],[New_Deaths_fit]]</f>
        <v>-6.1209848675932994</v>
      </c>
      <c r="O11" s="10">
        <f>'dpc-covid19-ita-andamento-naz'!J5</f>
        <v>45</v>
      </c>
      <c r="P11" s="48">
        <f>Tabella2[[#This Row],[Cum_recov]]-O10</f>
        <v>42</v>
      </c>
      <c r="Q11" s="60">
        <f>Tabella2[[#This Row],[New recovered]]*NOT(ISBLANK(Tabella2[[#This Row],[New recovered]]))</f>
        <v>42</v>
      </c>
      <c r="R11" s="50">
        <f>Kd*t0d*_xlfn.GAMMA.DIST(Tabella2[[#This Row],[Day]]/t0d,wd+1,1,1)*_xlfn.GAMMA(wd+1)</f>
        <v>11.319713533706052</v>
      </c>
      <c r="S11" s="10">
        <f>Kd*((Tabella2[[#This Row],[Day]]/t0d)^wd)*EXP(-(Tabella2[[#This Row],[Day]]/t0d))</f>
        <v>10.928499876116037</v>
      </c>
      <c r="T11" s="60">
        <f>Tabella2[[#This Row],[New_Recovered_fit]]*NOT(ISBLANK(Tabella2[[#This Row],[New recovered]]))</f>
        <v>10.928499876116037</v>
      </c>
      <c r="U11" s="10">
        <f>Tabella2[[#This Row],[New_Recovered_fit]]+CId</f>
        <v>510.74823226618315</v>
      </c>
      <c r="V11" s="10">
        <f>MAX(Tabella2[[#This Row],[New_Recovered_fit]]-CId,0)</f>
        <v>0</v>
      </c>
      <c r="W11" s="10">
        <f>'dpc-covid19-ita-andamento-naz'!K5</f>
        <v>17</v>
      </c>
      <c r="X11" s="26">
        <f>Tabella2[[#This Row],[Cum_deaths]]-W10</f>
        <v>5</v>
      </c>
      <c r="Y11" s="65">
        <f>Tabella2[[#This Row],[New deaths]]*NOT(ISBLANK(Tabella2[[#This Row],[New deaths]]))</f>
        <v>5</v>
      </c>
      <c r="Z11" s="50">
        <f>kt*t0t*_xlfn.GAMMA.DIST(Tabella2[[#This Row],[Day]]/t0t,wt+1,1,1)*_xlfn.GAMMA(wt+1)</f>
        <v>4.0804090484227555E-3</v>
      </c>
      <c r="AA11" s="10">
        <f>kt*((Tabella2[[#This Row],[Day]]/t0t)^wt)*EXP(-(Tabella2[[#This Row],[Day]]/t0t))</f>
        <v>1.0638740462945358E-2</v>
      </c>
      <c r="AB11" s="65">
        <f>Tabella2[[#This Row],[New_Deaths_fit]]*NOT(ISBLANK(Tabella2[[#This Row],[New deaths]]))</f>
        <v>1.0638740462945358E-2</v>
      </c>
      <c r="AC11" s="10">
        <f>Tabella2[[#This Row],[New_Deaths_fit]]+CIt</f>
        <v>136.06691356933808</v>
      </c>
      <c r="AD11" s="10">
        <f>MAX(Tabella2[[#This Row],[New_Deaths_fit]]-CIt,0)</f>
        <v>0</v>
      </c>
      <c r="AE11" s="8"/>
      <c r="AF11" s="93" t="s">
        <v>2</v>
      </c>
      <c r="AG11" s="94">
        <f>AVERAGE(Tabella2[New cases])</f>
        <v>3172.1458333333335</v>
      </c>
      <c r="AH11" s="3"/>
      <c r="AT11" s="40">
        <f>{0;0;1;100;0;FALSE;TRUE;0.075;0;0;FALSE;30}</f>
        <v>0</v>
      </c>
    </row>
    <row r="12" spans="2:46" x14ac:dyDescent="0.3">
      <c r="B12" s="9">
        <v>43889</v>
      </c>
      <c r="C12" s="4">
        <f t="shared" si="0"/>
        <v>4</v>
      </c>
      <c r="D12" s="10">
        <f>'dpc-covid19-ita-andamento-naz'!L6</f>
        <v>888</v>
      </c>
      <c r="E12" s="30">
        <f>'dpc-covid19-ita-andamento-naz'!I6</f>
        <v>238</v>
      </c>
      <c r="F12" s="56">
        <f>Tabella2[[#This Row],[New cases]]*NOT(ISBLANK(Tabella2[[#This Row],[New cases]]))</f>
        <v>238</v>
      </c>
      <c r="G12" s="50">
        <f>Kn*t0n*_xlfn.GAMMA.DIST(Tabella2[[#This Row],[Day]]/t0n,wn+1,1,1)*_xlfn.GAMMA(wn+1)</f>
        <v>12.581014922400039</v>
      </c>
      <c r="H12" s="10">
        <f>Kn*((Tabella2[[#This Row],[Day]]/t0n)^wn)*EXP(-(Tabella2[[#This Row],[Day]]/t0n))</f>
        <v>16.937945949303295</v>
      </c>
      <c r="I12" s="56">
        <f>Tabella2[[#This Row],[New_cases_fit]]*NOT(ISBLANK(Tabella2[[#This Row],[New cases]]))</f>
        <v>16.937945949303295</v>
      </c>
      <c r="J12" s="10">
        <f>Tabella2[[#This Row],[New_cases_fit]]+CIn</f>
        <v>1169.2467300511523</v>
      </c>
      <c r="K12" s="10">
        <f>MAX(Tabella2[[#This Row],[New_cases_fit]]-CIn,0)</f>
        <v>0</v>
      </c>
      <c r="L12" s="54">
        <f>'dpc-covid19-ita-andamento-naz'!G6</f>
        <v>821</v>
      </c>
      <c r="M12" s="54">
        <f>'dpc-covid19-ita-andamento-naz'!H6</f>
        <v>233</v>
      </c>
      <c r="N12" s="54">
        <f>Tabella2[[#This Row],[New_cases_fit]]-Tabella2[[#This Row],[New_Recovered_fit]]-Tabella2[[#This Row],[New_Deaths_fit]]</f>
        <v>-1.9837728428410408</v>
      </c>
      <c r="O12" s="10">
        <f>'dpc-covid19-ita-andamento-naz'!J6</f>
        <v>46</v>
      </c>
      <c r="P12" s="48">
        <f>Tabella2[[#This Row],[Cum_recov]]-O11</f>
        <v>1</v>
      </c>
      <c r="Q12" s="60">
        <f>Tabella2[[#This Row],[New recovered]]*NOT(ISBLANK(Tabella2[[#This Row],[New recovered]]))</f>
        <v>1</v>
      </c>
      <c r="R12" s="50">
        <f>Kd*t0d*_xlfn.GAMMA.DIST(Tabella2[[#This Row],[Day]]/t0d,wd+1,1,1)*_xlfn.GAMMA(wd+1)</f>
        <v>26.040374913750011</v>
      </c>
      <c r="S12" s="10">
        <f>Kd*((Tabella2[[#This Row],[Day]]/t0d)^wd)*EXP(-(Tabella2[[#This Row],[Day]]/t0d))</f>
        <v>18.849766625753858</v>
      </c>
      <c r="T12" s="60">
        <f>Tabella2[[#This Row],[New_Recovered_fit]]*NOT(ISBLANK(Tabella2[[#This Row],[New recovered]]))</f>
        <v>18.849766625753858</v>
      </c>
      <c r="U12" s="10">
        <f>Tabella2[[#This Row],[New_Recovered_fit]]+CId</f>
        <v>518.66949901582097</v>
      </c>
      <c r="V12" s="10">
        <f>MAX(Tabella2[[#This Row],[New_Recovered_fit]]-CId,0)</f>
        <v>0</v>
      </c>
      <c r="W12" s="10">
        <f>'dpc-covid19-ita-andamento-naz'!K6</f>
        <v>21</v>
      </c>
      <c r="X12" s="26">
        <f>Tabella2[[#This Row],[Cum_deaths]]-W11</f>
        <v>4</v>
      </c>
      <c r="Y12" s="65">
        <f>Tabella2[[#This Row],[New deaths]]*NOT(ISBLANK(Tabella2[[#This Row],[New deaths]]))</f>
        <v>4</v>
      </c>
      <c r="Z12" s="50">
        <f>kt*t0t*_xlfn.GAMMA.DIST(Tabella2[[#This Row],[Day]]/t0t,wt+1,1,1)*_xlfn.GAMMA(wt+1)</f>
        <v>3.7718665748983332E-2</v>
      </c>
      <c r="AA12" s="10">
        <f>kt*((Tabella2[[#This Row],[Day]]/t0t)^wt)*EXP(-(Tabella2[[#This Row],[Day]]/t0t))</f>
        <v>7.1952166390477107E-2</v>
      </c>
      <c r="AB12" s="65">
        <f>Tabella2[[#This Row],[New_Deaths_fit]]*NOT(ISBLANK(Tabella2[[#This Row],[New deaths]]))</f>
        <v>7.1952166390477107E-2</v>
      </c>
      <c r="AC12" s="10">
        <f>Tabella2[[#This Row],[New_Deaths_fit]]+CIt</f>
        <v>136.12822699526561</v>
      </c>
      <c r="AD12" s="10">
        <f>MAX(Tabella2[[#This Row],[New_Deaths_fit]]-CIt,0)</f>
        <v>0</v>
      </c>
      <c r="AE12" s="1"/>
      <c r="AF12" s="93" t="s">
        <v>3</v>
      </c>
      <c r="AG12" s="94">
        <f>COUNT(Tabella2[New cases])-COUNT(AG8:AG10)</f>
        <v>45</v>
      </c>
      <c r="AT12" s="40">
        <f>{32767;32767;0.000001;0;FALSE;FALSE;FALSE;1;2;1;0.0001;TRUE}</f>
        <v>32767</v>
      </c>
    </row>
    <row r="13" spans="2:46" x14ac:dyDescent="0.3">
      <c r="B13" s="9">
        <v>43890</v>
      </c>
      <c r="C13" s="4">
        <f t="shared" si="0"/>
        <v>5</v>
      </c>
      <c r="D13" s="10">
        <f>'dpc-covid19-ita-andamento-naz'!L7</f>
        <v>1128</v>
      </c>
      <c r="E13" s="30">
        <f>'dpc-covid19-ita-andamento-naz'!I7</f>
        <v>240</v>
      </c>
      <c r="F13" s="56">
        <f>Tabella2[[#This Row],[New cases]]*NOT(ISBLANK(Tabella2[[#This Row],[New cases]]))</f>
        <v>240</v>
      </c>
      <c r="G13" s="50">
        <f>Kn*t0n*_xlfn.GAMMA.DIST(Tabella2[[#This Row],[Day]]/t0n,wn+1,1,1)*_xlfn.GAMMA(wn+1)</f>
        <v>41.248026972281814</v>
      </c>
      <c r="H13" s="10">
        <f>Kn*((Tabella2[[#This Row],[Day]]/t0n)^wn)*EXP(-(Tabella2[[#This Row],[Day]]/t0n))</f>
        <v>43.331816378348321</v>
      </c>
      <c r="I13" s="56">
        <f>Tabella2[[#This Row],[New_cases_fit]]*NOT(ISBLANK(Tabella2[[#This Row],[New cases]]))</f>
        <v>43.331816378348321</v>
      </c>
      <c r="J13" s="10">
        <f>Tabella2[[#This Row],[New_cases_fit]]+CIn</f>
        <v>1195.6406004801975</v>
      </c>
      <c r="K13" s="10">
        <f>MAX(Tabella2[[#This Row],[New_cases_fit]]-CIn,0)</f>
        <v>0</v>
      </c>
      <c r="L13" s="54">
        <f>'dpc-covid19-ita-andamento-naz'!G7</f>
        <v>1049</v>
      </c>
      <c r="M13" s="54">
        <f>'dpc-covid19-ita-andamento-naz'!H7</f>
        <v>228</v>
      </c>
      <c r="N13" s="54">
        <f>Tabella2[[#This Row],[New_cases_fit]]-Tabella2[[#This Row],[New_Recovered_fit]]-Tabella2[[#This Row],[New_Deaths_fit]]</f>
        <v>14.267387871349211</v>
      </c>
      <c r="O13" s="10">
        <f>'dpc-covid19-ita-andamento-naz'!J7</f>
        <v>50</v>
      </c>
      <c r="P13" s="48">
        <f>Tabella2[[#This Row],[Cum_recov]]-O12</f>
        <v>4</v>
      </c>
      <c r="Q13" s="60">
        <f>Tabella2[[#This Row],[New recovered]]*NOT(ISBLANK(Tabella2[[#This Row],[New recovered]]))</f>
        <v>4</v>
      </c>
      <c r="R13" s="50">
        <f>Kd*t0d*_xlfn.GAMMA.DIST(Tabella2[[#This Row],[Day]]/t0d,wd+1,1,1)*_xlfn.GAMMA(wd+1)</f>
        <v>49.682947234899764</v>
      </c>
      <c r="S13" s="10">
        <f>Kd*((Tabella2[[#This Row],[Day]]/t0d)^wd)*EXP(-(Tabella2[[#This Row],[Day]]/t0d))</f>
        <v>28.762618888675107</v>
      </c>
      <c r="T13" s="60">
        <f>Tabella2[[#This Row],[New_Recovered_fit]]*NOT(ISBLANK(Tabella2[[#This Row],[New recovered]]))</f>
        <v>28.762618888675107</v>
      </c>
      <c r="U13" s="10">
        <f>Tabella2[[#This Row],[New_Recovered_fit]]+CId</f>
        <v>528.58235127874218</v>
      </c>
      <c r="V13" s="10">
        <f>MAX(Tabella2[[#This Row],[New_Recovered_fit]]-CId,0)</f>
        <v>0</v>
      </c>
      <c r="W13" s="10">
        <f>'dpc-covid19-ita-andamento-naz'!K7</f>
        <v>29</v>
      </c>
      <c r="X13" s="26">
        <f>Tabella2[[#This Row],[Cum_deaths]]-W12</f>
        <v>8</v>
      </c>
      <c r="Y13" s="65">
        <f>Tabella2[[#This Row],[New deaths]]*NOT(ISBLANK(Tabella2[[#This Row],[New deaths]]))</f>
        <v>8</v>
      </c>
      <c r="Z13" s="50">
        <f>kt*t0t*_xlfn.GAMMA.DIST(Tabella2[[#This Row],[Day]]/t0t,wt+1,1,1)*_xlfn.GAMMA(wt+1)</f>
        <v>0.20282826028345446</v>
      </c>
      <c r="AA13" s="10">
        <f>kt*((Tabella2[[#This Row],[Day]]/t0t)^wt)*EXP(-(Tabella2[[#This Row],[Day]]/t0t))</f>
        <v>0.30180961832400338</v>
      </c>
      <c r="AB13" s="65">
        <f>Tabella2[[#This Row],[New_Deaths_fit]]*NOT(ISBLANK(Tabella2[[#This Row],[New deaths]]))</f>
        <v>0.30180961832400338</v>
      </c>
      <c r="AC13" s="10">
        <f>Tabella2[[#This Row],[New_Deaths_fit]]+CIt</f>
        <v>136.35808444719913</v>
      </c>
      <c r="AD13" s="10">
        <f>MAX(Tabella2[[#This Row],[New_Deaths_fit]]-CIt,0)</f>
        <v>0</v>
      </c>
      <c r="AE13" s="1"/>
      <c r="AF13" s="93" t="s">
        <v>4</v>
      </c>
      <c r="AG13" s="95" cm="1">
        <f t="array" ref="AG13">SQRT(SUM((Tabella2[Colonna1]-Tabella2[Colonna2])^2)/dfn)</f>
        <v>572.11997679133026</v>
      </c>
      <c r="AT13" s="41">
        <f>{0;0;1;100;0;FALSE;FALSE;0.075;0;0;FALSE;30}</f>
        <v>0</v>
      </c>
    </row>
    <row r="14" spans="2:46" ht="16.2" x14ac:dyDescent="0.3">
      <c r="B14" s="22">
        <v>43891</v>
      </c>
      <c r="C14" s="4">
        <f t="shared" si="0"/>
        <v>6</v>
      </c>
      <c r="D14" s="10">
        <f>'dpc-covid19-ita-andamento-naz'!L8</f>
        <v>1694</v>
      </c>
      <c r="E14" s="30">
        <f>'dpc-covid19-ita-andamento-naz'!I8</f>
        <v>566</v>
      </c>
      <c r="F14" s="56">
        <f>Tabella2[[#This Row],[New cases]]*NOT(ISBLANK(Tabella2[[#This Row],[New cases]]))</f>
        <v>566</v>
      </c>
      <c r="G14" s="50">
        <f>Kn*t0n*_xlfn.GAMMA.DIST(Tabella2[[#This Row],[Day]]/t0n,wn+1,1,1)*_xlfn.GAMMA(wn+1)</f>
        <v>106.23026588567843</v>
      </c>
      <c r="H14" s="10">
        <f>Kn*((Tabella2[[#This Row],[Day]]/t0n)^wn)*EXP(-(Tabella2[[#This Row],[Day]]/t0n))</f>
        <v>90.66582741108725</v>
      </c>
      <c r="I14" s="56">
        <f>Tabella2[[#This Row],[New_cases_fit]]*NOT(ISBLANK(Tabella2[[#This Row],[New cases]]))</f>
        <v>90.66582741108725</v>
      </c>
      <c r="J14" s="10">
        <f>Tabella2[[#This Row],[New_cases_fit]]+CIn</f>
        <v>1242.9746115129365</v>
      </c>
      <c r="K14" s="10">
        <f>MAX(Tabella2[[#This Row],[New_cases_fit]]-CIn,0)</f>
        <v>0</v>
      </c>
      <c r="L14" s="54">
        <f>'dpc-covid19-ita-andamento-naz'!G8</f>
        <v>1577</v>
      </c>
      <c r="M14" s="54">
        <f>'dpc-covid19-ita-andamento-naz'!H8</f>
        <v>528</v>
      </c>
      <c r="N14" s="54">
        <f>Tabella2[[#This Row],[New_cases_fit]]-Tabella2[[#This Row],[New_Recovered_fit]]-Tabella2[[#This Row],[New_Deaths_fit]]</f>
        <v>49.11502186521578</v>
      </c>
      <c r="O14" s="10">
        <f>'dpc-covid19-ita-andamento-naz'!J8</f>
        <v>83</v>
      </c>
      <c r="P14" s="48">
        <f>Tabella2[[#This Row],[Cum_recov]]-O13</f>
        <v>33</v>
      </c>
      <c r="Q14" s="60">
        <f>Tabella2[[#This Row],[New recovered]]*NOT(ISBLANK(Tabella2[[#This Row],[New recovered]]))</f>
        <v>33</v>
      </c>
      <c r="R14" s="50">
        <f>Kd*t0d*_xlfn.GAMMA.DIST(Tabella2[[#This Row],[Day]]/t0d,wd+1,1,1)*_xlfn.GAMMA(wd+1)</f>
        <v>84.21201381689967</v>
      </c>
      <c r="S14" s="10">
        <f>Kd*((Tabella2[[#This Row],[Day]]/t0d)^wd)*EXP(-(Tabella2[[#This Row],[Day]]/t0d))</f>
        <v>40.614976389611151</v>
      </c>
      <c r="T14" s="60">
        <f>Tabella2[[#This Row],[New_Recovered_fit]]*NOT(ISBLANK(Tabella2[[#This Row],[New recovered]]))</f>
        <v>40.614976389611151</v>
      </c>
      <c r="U14" s="10">
        <f>Tabella2[[#This Row],[New_Recovered_fit]]+CId</f>
        <v>540.4347087796782</v>
      </c>
      <c r="V14" s="10">
        <f>MAX(Tabella2[[#This Row],[New_Recovered_fit]]-CId,0)</f>
        <v>0</v>
      </c>
      <c r="W14" s="10">
        <f>'dpc-covid19-ita-andamento-naz'!K8</f>
        <v>34</v>
      </c>
      <c r="X14" s="26">
        <f>Tabella2[[#This Row],[Cum_deaths]]-W13</f>
        <v>5</v>
      </c>
      <c r="Y14" s="65">
        <f>Tabella2[[#This Row],[New deaths]]*NOT(ISBLANK(Tabella2[[#This Row],[New deaths]]))</f>
        <v>5</v>
      </c>
      <c r="Z14" s="50">
        <f>kt*t0t*_xlfn.GAMMA.DIST(Tabella2[[#This Row],[Day]]/t0t,wt+1,1,1)*_xlfn.GAMMA(wt+1)</f>
        <v>0.77440018477729922</v>
      </c>
      <c r="AA14" s="10">
        <f>kt*((Tabella2[[#This Row],[Day]]/t0t)^wt)*EXP(-(Tabella2[[#This Row],[Day]]/t0t))</f>
        <v>0.93582915626031693</v>
      </c>
      <c r="AB14" s="65">
        <f>Tabella2[[#This Row],[New_Deaths_fit]]*NOT(ISBLANK(Tabella2[[#This Row],[New deaths]]))</f>
        <v>0.93582915626031693</v>
      </c>
      <c r="AC14" s="10">
        <f>Tabella2[[#This Row],[New_Deaths_fit]]+CIt</f>
        <v>136.99210398513546</v>
      </c>
      <c r="AD14" s="10">
        <f>MAX(Tabella2[[#This Row],[New_Deaths_fit]]-CIt,0)</f>
        <v>0</v>
      </c>
      <c r="AE14" s="1"/>
      <c r="AF14" s="93" t="s">
        <v>107</v>
      </c>
      <c r="AG14" s="96" cm="1">
        <f t="array" ref="AG14">1-SUM((Tabella2[Colonna1]-Tabella2[Colonna2])^2)/SUM((Tabella2[Colonna1]-Mean_of_yn)^2)</f>
        <v>0.96557083932820797</v>
      </c>
      <c r="AT14" s="42"/>
    </row>
    <row r="15" spans="2:46" x14ac:dyDescent="0.3">
      <c r="B15" s="9">
        <v>43892</v>
      </c>
      <c r="C15" s="4">
        <f t="shared" si="0"/>
        <v>7</v>
      </c>
      <c r="D15" s="10">
        <f>'dpc-covid19-ita-andamento-naz'!L9</f>
        <v>2036</v>
      </c>
      <c r="E15" s="30">
        <f>'dpc-covid19-ita-andamento-naz'!I9</f>
        <v>342</v>
      </c>
      <c r="F15" s="56">
        <f>Tabella2[[#This Row],[New cases]]*NOT(ISBLANK(Tabella2[[#This Row],[New cases]]))</f>
        <v>342</v>
      </c>
      <c r="G15" s="50">
        <f>Kn*t0n*_xlfn.GAMMA.DIST(Tabella2[[#This Row],[Day]]/t0n,wn+1,1,1)*_xlfn.GAMMA(wn+1)</f>
        <v>231.63716887138511</v>
      </c>
      <c r="H15" s="10">
        <f>Kn*((Tabella2[[#This Row],[Day]]/t0n)^wn)*EXP(-(Tabella2[[#This Row],[Day]]/t0n))</f>
        <v>165.13112969378341</v>
      </c>
      <c r="I15" s="56">
        <f>Tabella2[[#This Row],[New_cases_fit]]*NOT(ISBLANK(Tabella2[[#This Row],[New cases]]))</f>
        <v>165.13112969378341</v>
      </c>
      <c r="J15" s="10">
        <f>Tabella2[[#This Row],[New_cases_fit]]+CIn</f>
        <v>1317.4399137956325</v>
      </c>
      <c r="K15" s="10">
        <f>MAX(Tabella2[[#This Row],[New_cases_fit]]-CIn,0)</f>
        <v>0</v>
      </c>
      <c r="L15" s="54">
        <f>'dpc-covid19-ita-andamento-naz'!G9</f>
        <v>1835</v>
      </c>
      <c r="M15" s="54">
        <f>'dpc-covid19-ita-andamento-naz'!H9</f>
        <v>258</v>
      </c>
      <c r="N15" s="54">
        <f>Tabella2[[#This Row],[New_cases_fit]]-Tabella2[[#This Row],[New_Recovered_fit]]-Tabella2[[#This Row],[New_Deaths_fit]]</f>
        <v>108.41141161175948</v>
      </c>
      <c r="O15" s="10">
        <f>'dpc-covid19-ita-andamento-naz'!J9</f>
        <v>149</v>
      </c>
      <c r="P15" s="48">
        <f>Tabella2[[#This Row],[Cum_recov]]-O14</f>
        <v>66</v>
      </c>
      <c r="Q15" s="60">
        <f>Tabella2[[#This Row],[New recovered]]*NOT(ISBLANK(Tabella2[[#This Row],[New recovered]]))</f>
        <v>66</v>
      </c>
      <c r="R15" s="50">
        <f>Kd*t0d*_xlfn.GAMMA.DIST(Tabella2[[#This Row],[Day]]/t0d,wd+1,1,1)*_xlfn.GAMMA(wd+1)</f>
        <v>131.5450912190376</v>
      </c>
      <c r="S15" s="10">
        <f>Kd*((Tabella2[[#This Row],[Day]]/t0d)^wd)*EXP(-(Tabella2[[#This Row],[Day]]/t0d))</f>
        <v>54.364113264229466</v>
      </c>
      <c r="T15" s="60">
        <f>Tabella2[[#This Row],[New_Recovered_fit]]*NOT(ISBLANK(Tabella2[[#This Row],[New recovered]]))</f>
        <v>54.364113264229466</v>
      </c>
      <c r="U15" s="10">
        <f>Tabella2[[#This Row],[New_Recovered_fit]]+CId</f>
        <v>554.18384565429653</v>
      </c>
      <c r="V15" s="10">
        <f>MAX(Tabella2[[#This Row],[New_Recovered_fit]]-CId,0)</f>
        <v>0</v>
      </c>
      <c r="W15" s="10">
        <f>'dpc-covid19-ita-andamento-naz'!K9</f>
        <v>52</v>
      </c>
      <c r="X15" s="26">
        <f>Tabella2[[#This Row],[Cum_deaths]]-W14</f>
        <v>18</v>
      </c>
      <c r="Y15" s="65">
        <f>Tabella2[[#This Row],[New deaths]]*NOT(ISBLANK(Tabella2[[#This Row],[New deaths]]))</f>
        <v>18</v>
      </c>
      <c r="Z15" s="50">
        <f>kt*t0t*_xlfn.GAMMA.DIST(Tabella2[[#This Row],[Day]]/t0t,wt+1,1,1)*_xlfn.GAMMA(wt+1)</f>
        <v>2.3347290053196765</v>
      </c>
      <c r="AA15" s="10">
        <f>kt*((Tabella2[[#This Row],[Day]]/t0t)^wt)*EXP(-(Tabella2[[#This Row],[Day]]/t0t))</f>
        <v>2.355604817794454</v>
      </c>
      <c r="AB15" s="65">
        <f>Tabella2[[#This Row],[New_Deaths_fit]]*NOT(ISBLANK(Tabella2[[#This Row],[New deaths]]))</f>
        <v>2.355604817794454</v>
      </c>
      <c r="AC15" s="10">
        <f>Tabella2[[#This Row],[New_Deaths_fit]]+CIt</f>
        <v>138.41187964666958</v>
      </c>
      <c r="AD15" s="10">
        <f>MAX(Tabella2[[#This Row],[New_Deaths_fit]]-CIt,0)</f>
        <v>0</v>
      </c>
      <c r="AE15" s="1"/>
      <c r="AF15" s="93" t="s">
        <v>6</v>
      </c>
      <c r="AG15" s="96">
        <f>TINV(0.05,dfn)</f>
        <v>2.0141033888808457</v>
      </c>
      <c r="AT15" s="43"/>
    </row>
    <row r="16" spans="2:46" x14ac:dyDescent="0.3">
      <c r="B16" s="9">
        <v>43893</v>
      </c>
      <c r="C16" s="4">
        <f t="shared" si="0"/>
        <v>8</v>
      </c>
      <c r="D16" s="10">
        <f>'dpc-covid19-ita-andamento-naz'!L10</f>
        <v>2502</v>
      </c>
      <c r="E16" s="30">
        <f>'dpc-covid19-ita-andamento-naz'!I10</f>
        <v>466</v>
      </c>
      <c r="F16" s="56">
        <f>Tabella2[[#This Row],[New cases]]*NOT(ISBLANK(Tabella2[[#This Row],[New cases]]))</f>
        <v>466</v>
      </c>
      <c r="G16" s="50">
        <f>Kn*t0n*_xlfn.GAMMA.DIST(Tabella2[[#This Row],[Day]]/t0n,wn+1,1,1)*_xlfn.GAMMA(wn+1)</f>
        <v>447.21776605621812</v>
      </c>
      <c r="H16" s="10">
        <f>Kn*((Tabella2[[#This Row],[Day]]/t0n)^wn)*EXP(-(Tabella2[[#This Row],[Day]]/t0n))</f>
        <v>271.71529104105747</v>
      </c>
      <c r="I16" s="56">
        <f>Tabella2[[#This Row],[New_cases_fit]]*NOT(ISBLANK(Tabella2[[#This Row],[New cases]]))</f>
        <v>271.71529104105747</v>
      </c>
      <c r="J16" s="10">
        <f>Tabella2[[#This Row],[New_cases_fit]]+CIn</f>
        <v>1424.0240751429067</v>
      </c>
      <c r="K16" s="10">
        <f>MAX(Tabella2[[#This Row],[New_cases_fit]]-CIn,0)</f>
        <v>0</v>
      </c>
      <c r="L16" s="54">
        <f>'dpc-covid19-ita-andamento-naz'!G10</f>
        <v>2263</v>
      </c>
      <c r="M16" s="54">
        <f>'dpc-covid19-ita-andamento-naz'!H10</f>
        <v>428</v>
      </c>
      <c r="N16" s="54">
        <f>Tabella2[[#This Row],[New_cases_fit]]-Tabella2[[#This Row],[New_Recovered_fit]]-Tabella2[[#This Row],[New_Deaths_fit]]</f>
        <v>196.65158194740727</v>
      </c>
      <c r="O16" s="10">
        <f>'dpc-covid19-ita-andamento-naz'!J10</f>
        <v>160</v>
      </c>
      <c r="P16" s="48">
        <f>Tabella2[[#This Row],[Cum_recov]]-O15</f>
        <v>11</v>
      </c>
      <c r="Q16" s="60">
        <f>Tabella2[[#This Row],[New recovered]]*NOT(ISBLANK(Tabella2[[#This Row],[New recovered]]))</f>
        <v>11</v>
      </c>
      <c r="R16" s="50">
        <f>Kd*t0d*_xlfn.GAMMA.DIST(Tabella2[[#This Row],[Day]]/t0d,wd+1,1,1)*_xlfn.GAMMA(wd+1)</f>
        <v>193.56031202013432</v>
      </c>
      <c r="S16" s="10">
        <f>Kd*((Tabella2[[#This Row],[Day]]/t0d)^wd)*EXP(-(Tabella2[[#This Row],[Day]]/t0d))</f>
        <v>69.97361421433358</v>
      </c>
      <c r="T16" s="60">
        <f>Tabella2[[#This Row],[New_Recovered_fit]]*NOT(ISBLANK(Tabella2[[#This Row],[New recovered]]))</f>
        <v>69.97361421433358</v>
      </c>
      <c r="U16" s="10">
        <f>Tabella2[[#This Row],[New_Recovered_fit]]+CId</f>
        <v>569.79334660440065</v>
      </c>
      <c r="V16" s="10">
        <f>MAX(Tabella2[[#This Row],[New_Recovered_fit]]-CId,0)</f>
        <v>0</v>
      </c>
      <c r="W16" s="10">
        <f>'dpc-covid19-ita-andamento-naz'!K10</f>
        <v>79</v>
      </c>
      <c r="X16" s="26">
        <f>Tabella2[[#This Row],[Cum_deaths]]-W15</f>
        <v>27</v>
      </c>
      <c r="Y16" s="65">
        <f>Tabella2[[#This Row],[New deaths]]*NOT(ISBLANK(Tabella2[[#This Row],[New deaths]]))</f>
        <v>27</v>
      </c>
      <c r="Z16" s="50">
        <f>kt*t0t*_xlfn.GAMMA.DIST(Tabella2[[#This Row],[Day]]/t0t,wt+1,1,1)*_xlfn.GAMMA(wt+1)</f>
        <v>5.9224777924487073</v>
      </c>
      <c r="AA16" s="10">
        <f>kt*((Tabella2[[#This Row],[Day]]/t0t)^wt)*EXP(-(Tabella2[[#This Row],[Day]]/t0t))</f>
        <v>5.0900948793166476</v>
      </c>
      <c r="AB16" s="65">
        <f>Tabella2[[#This Row],[New_Deaths_fit]]*NOT(ISBLANK(Tabella2[[#This Row],[New deaths]]))</f>
        <v>5.0900948793166476</v>
      </c>
      <c r="AC16" s="10">
        <f>Tabella2[[#This Row],[New_Deaths_fit]]+CIt</f>
        <v>141.14636970819177</v>
      </c>
      <c r="AD16" s="10">
        <f>MAX(Tabella2[[#This Row],[New_Deaths_fit]]-CIt,0)</f>
        <v>0</v>
      </c>
      <c r="AE16" s="1"/>
      <c r="AF16" s="93" t="s">
        <v>7</v>
      </c>
      <c r="AG16" s="94">
        <f>Critical_tn*SE_of_yn</f>
        <v>1152.3087841018491</v>
      </c>
      <c r="AT16" s="43"/>
    </row>
    <row r="17" spans="2:46" ht="15" thickBot="1" x14ac:dyDescent="0.35">
      <c r="B17" s="9">
        <v>43894</v>
      </c>
      <c r="C17" s="4">
        <f t="shared" si="0"/>
        <v>9</v>
      </c>
      <c r="D17" s="10">
        <f>'dpc-covid19-ita-andamento-naz'!L11</f>
        <v>3089</v>
      </c>
      <c r="E17" s="30">
        <f>'dpc-covid19-ita-andamento-naz'!I11</f>
        <v>587</v>
      </c>
      <c r="F17" s="56">
        <f>Tabella2[[#This Row],[New cases]]*NOT(ISBLANK(Tabella2[[#This Row],[New cases]]))</f>
        <v>587</v>
      </c>
      <c r="G17" s="50">
        <f>Kn*t0n*_xlfn.GAMMA.DIST(Tabella2[[#This Row],[Day]]/t0n,wn+1,1,1)*_xlfn.GAMMA(wn+1)</f>
        <v>786.89929630176505</v>
      </c>
      <c r="H17" s="10">
        <f>Kn*((Tabella2[[#This Row],[Day]]/t0n)^wn)*EXP(-(Tabella2[[#This Row],[Day]]/t0n))</f>
        <v>413.72987098532269</v>
      </c>
      <c r="I17" s="56">
        <f>Tabella2[[#This Row],[New_cases_fit]]*NOT(ISBLANK(Tabella2[[#This Row],[New cases]]))</f>
        <v>413.72987098532269</v>
      </c>
      <c r="J17" s="10">
        <f>Tabella2[[#This Row],[New_cases_fit]]+CIn</f>
        <v>1566.0386550871717</v>
      </c>
      <c r="K17" s="10">
        <f>MAX(Tabella2[[#This Row],[New_cases_fit]]-CIn,0)</f>
        <v>0</v>
      </c>
      <c r="L17" s="54">
        <f>'dpc-covid19-ita-andamento-naz'!G11</f>
        <v>2706</v>
      </c>
      <c r="M17" s="54">
        <f>'dpc-covid19-ita-andamento-naz'!H11</f>
        <v>443</v>
      </c>
      <c r="N17" s="54">
        <f>Tabella2[[#This Row],[New_cases_fit]]-Tabella2[[#This Row],[New_Recovered_fit]]-Tabella2[[#This Row],[New_Deaths_fit]]</f>
        <v>316.52956568859275</v>
      </c>
      <c r="O17" s="10">
        <f>'dpc-covid19-ita-andamento-naz'!J11</f>
        <v>276</v>
      </c>
      <c r="P17" s="48">
        <f>Tabella2[[#This Row],[Cum_recov]]-O16</f>
        <v>116</v>
      </c>
      <c r="Q17" s="60">
        <f>Tabella2[[#This Row],[New recovered]]*NOT(ISBLANK(Tabella2[[#This Row],[New recovered]]))</f>
        <v>116</v>
      </c>
      <c r="R17" s="50">
        <f>Kd*t0d*_xlfn.GAMMA.DIST(Tabella2[[#This Row],[Day]]/t0d,wd+1,1,1)*_xlfn.GAMMA(wd+1)</f>
        <v>272.10177952159859</v>
      </c>
      <c r="S17" s="10">
        <f>Kd*((Tabella2[[#This Row],[Day]]/t0d)^wd)*EXP(-(Tabella2[[#This Row],[Day]]/t0d))</f>
        <v>87.411607643212605</v>
      </c>
      <c r="T17" s="60">
        <f>Tabella2[[#This Row],[New_Recovered_fit]]*NOT(ISBLANK(Tabella2[[#This Row],[New recovered]]))</f>
        <v>87.411607643212605</v>
      </c>
      <c r="U17" s="10">
        <f>Tabella2[[#This Row],[New_Recovered_fit]]+CId</f>
        <v>587.23134003327971</v>
      </c>
      <c r="V17" s="10">
        <f>MAX(Tabella2[[#This Row],[New_Recovered_fit]]-CId,0)</f>
        <v>0</v>
      </c>
      <c r="W17" s="10">
        <f>'dpc-covid19-ita-andamento-naz'!K11</f>
        <v>107</v>
      </c>
      <c r="X17" s="26">
        <f>Tabella2[[#This Row],[Cum_deaths]]-W16</f>
        <v>28</v>
      </c>
      <c r="Y17" s="65">
        <f>Tabella2[[#This Row],[New deaths]]*NOT(ISBLANK(Tabella2[[#This Row],[New deaths]]))</f>
        <v>28</v>
      </c>
      <c r="Z17" s="50">
        <f>kt*t0t*_xlfn.GAMMA.DIST(Tabella2[[#This Row],[Day]]/t0t,wt+1,1,1)*_xlfn.GAMMA(wt+1)</f>
        <v>13.168825689405452</v>
      </c>
      <c r="AA17" s="10">
        <f>kt*((Tabella2[[#This Row],[Day]]/t0t)^wt)*EXP(-(Tabella2[[#This Row],[Day]]/t0t))</f>
        <v>9.7886976535173353</v>
      </c>
      <c r="AB17" s="65">
        <f>Tabella2[[#This Row],[New_Deaths_fit]]*NOT(ISBLANK(Tabella2[[#This Row],[New deaths]]))</f>
        <v>9.7886976535173353</v>
      </c>
      <c r="AC17" s="10">
        <f>Tabella2[[#This Row],[New_Deaths_fit]]+CIt</f>
        <v>145.84497248239248</v>
      </c>
      <c r="AD17" s="10">
        <f>MAX(Tabella2[[#This Row],[New_Deaths_fit]]-CIt,0)</f>
        <v>0</v>
      </c>
      <c r="AE17" s="1"/>
      <c r="AF17" s="93" t="s">
        <v>69</v>
      </c>
      <c r="AG17" s="94">
        <f>Kn*(wn^wn)*EXP(-wn)</f>
        <v>5458.7730144130437</v>
      </c>
      <c r="AT17" s="44"/>
    </row>
    <row r="18" spans="2:46" ht="15" thickTop="1" x14ac:dyDescent="0.3">
      <c r="B18" s="22">
        <v>43895</v>
      </c>
      <c r="C18" s="4">
        <f t="shared" si="0"/>
        <v>10</v>
      </c>
      <c r="D18" s="10">
        <f>'dpc-covid19-ita-andamento-naz'!L12</f>
        <v>3858</v>
      </c>
      <c r="E18" s="30">
        <f>'dpc-covid19-ita-andamento-naz'!I12</f>
        <v>769</v>
      </c>
      <c r="F18" s="56">
        <f>Tabella2[[#This Row],[New cases]]*NOT(ISBLANK(Tabella2[[#This Row],[New cases]]))</f>
        <v>769</v>
      </c>
      <c r="G18" s="50">
        <f>Kn*t0n*_xlfn.GAMMA.DIST(Tabella2[[#This Row],[Day]]/t0n,wn+1,1,1)*_xlfn.GAMMA(wn+1)</f>
        <v>1286.9791896371814</v>
      </c>
      <c r="H18" s="10">
        <f>Kn*((Tabella2[[#This Row],[Day]]/t0n)^wn)*EXP(-(Tabella2[[#This Row],[Day]]/t0n))</f>
        <v>592.58491645239997</v>
      </c>
      <c r="I18" s="56">
        <f>Tabella2[[#This Row],[New_cases_fit]]*NOT(ISBLANK(Tabella2[[#This Row],[New cases]]))</f>
        <v>592.58491645239997</v>
      </c>
      <c r="J18" s="10">
        <f>Tabella2[[#This Row],[New_cases_fit]]+CIn</f>
        <v>1744.8937005542491</v>
      </c>
      <c r="K18" s="10">
        <f>MAX(Tabella2[[#This Row],[New_cases_fit]]-CIn,0)</f>
        <v>0</v>
      </c>
      <c r="L18" s="54">
        <f>'dpc-covid19-ita-andamento-naz'!G12</f>
        <v>3296</v>
      </c>
      <c r="M18" s="54">
        <f>'dpc-covid19-ita-andamento-naz'!H12</f>
        <v>590</v>
      </c>
      <c r="N18" s="54">
        <f>Tabella2[[#This Row],[New_cases_fit]]-Tabella2[[#This Row],[New_Recovered_fit]]-Tabella2[[#This Row],[New_Deaths_fit]]</f>
        <v>468.76445970908071</v>
      </c>
      <c r="O18" s="10">
        <f>'dpc-covid19-ita-andamento-naz'!J12</f>
        <v>414</v>
      </c>
      <c r="P18" s="48">
        <f>Tabella2[[#This Row],[Cum_recov]]-O17</f>
        <v>138</v>
      </c>
      <c r="Q18" s="60">
        <f>Tabella2[[#This Row],[New recovered]]*NOT(ISBLANK(Tabella2[[#This Row],[New recovered]]))</f>
        <v>138</v>
      </c>
      <c r="R18" s="50">
        <f>Kd*t0d*_xlfn.GAMMA.DIST(Tabella2[[#This Row],[Day]]/t0d,wd+1,1,1)*_xlfn.GAMMA(wd+1)</f>
        <v>368.9835138331477</v>
      </c>
      <c r="S18" s="10">
        <f>Kd*((Tabella2[[#This Row],[Day]]/t0d)^wd)*EXP(-(Tabella2[[#This Row],[Day]]/t0d))</f>
        <v>106.64964902987565</v>
      </c>
      <c r="T18" s="60">
        <f>Tabella2[[#This Row],[New_Recovered_fit]]*NOT(ISBLANK(Tabella2[[#This Row],[New recovered]]))</f>
        <v>106.64964902987565</v>
      </c>
      <c r="U18" s="10">
        <f>Tabella2[[#This Row],[New_Recovered_fit]]+CId</f>
        <v>606.46938141994269</v>
      </c>
      <c r="V18" s="10">
        <f>MAX(Tabella2[[#This Row],[New_Recovered_fit]]-CId,0)</f>
        <v>0</v>
      </c>
      <c r="W18" s="10">
        <f>'dpc-covid19-ita-andamento-naz'!K12</f>
        <v>148</v>
      </c>
      <c r="X18" s="26">
        <f>Tabella2[[#This Row],[Cum_deaths]]-W17</f>
        <v>41</v>
      </c>
      <c r="Y18" s="65">
        <f>Tabella2[[#This Row],[New deaths]]*NOT(ISBLANK(Tabella2[[#This Row],[New deaths]]))</f>
        <v>41</v>
      </c>
      <c r="Z18" s="50">
        <f>kt*t0t*_xlfn.GAMMA.DIST(Tabella2[[#This Row],[Day]]/t0t,wt+1,1,1)*_xlfn.GAMMA(wt+1)</f>
        <v>26.394315070578429</v>
      </c>
      <c r="AA18" s="10">
        <f>kt*((Tabella2[[#This Row],[Day]]/t0t)^wt)*EXP(-(Tabella2[[#This Row],[Day]]/t0t))</f>
        <v>17.170807713443576</v>
      </c>
      <c r="AB18" s="65">
        <f>Tabella2[[#This Row],[New_Deaths_fit]]*NOT(ISBLANK(Tabella2[[#This Row],[New deaths]]))</f>
        <v>17.170807713443576</v>
      </c>
      <c r="AC18" s="10">
        <f>Tabella2[[#This Row],[New_Deaths_fit]]+CIt</f>
        <v>153.2270825423187</v>
      </c>
      <c r="AD18" s="10">
        <f>MAX(Tabella2[[#This Row],[New_Deaths_fit]]-CIt,0)</f>
        <v>0</v>
      </c>
      <c r="AE18" s="1"/>
      <c r="AF18" s="93" t="s">
        <v>70</v>
      </c>
      <c r="AG18" s="97">
        <f>_xlfn.XLOOKUP(ROUND(wn*t0n,0),Tabella2[Day],Tabella2[Date])</f>
        <v>43916</v>
      </c>
      <c r="AT18" s="75">
        <f>MAX($AG$26)</f>
        <v>0.91213357683276775</v>
      </c>
    </row>
    <row r="19" spans="2:46" x14ac:dyDescent="0.3">
      <c r="B19" s="9">
        <v>43896</v>
      </c>
      <c r="C19" s="4">
        <f t="shared" si="0"/>
        <v>11</v>
      </c>
      <c r="D19" s="10">
        <f>'dpc-covid19-ita-andamento-naz'!L13</f>
        <v>4636</v>
      </c>
      <c r="E19" s="30">
        <f>'dpc-covid19-ita-andamento-naz'!I13</f>
        <v>778</v>
      </c>
      <c r="F19" s="56">
        <f>Tabella2[[#This Row],[New cases]]*NOT(ISBLANK(Tabella2[[#This Row],[New cases]]))</f>
        <v>778</v>
      </c>
      <c r="G19" s="50">
        <f>Kn*t0n*_xlfn.GAMMA.DIST(Tabella2[[#This Row],[Day]]/t0n,wn+1,1,1)*_xlfn.GAMMA(wn+1)</f>
        <v>1984.1996991950944</v>
      </c>
      <c r="H19" s="10">
        <f>Kn*((Tabella2[[#This Row],[Day]]/t0n)^wn)*EXP(-(Tabella2[[#This Row],[Day]]/t0n))</f>
        <v>807.77203421625541</v>
      </c>
      <c r="I19" s="56">
        <f>Tabella2[[#This Row],[New_cases_fit]]*NOT(ISBLANK(Tabella2[[#This Row],[New cases]]))</f>
        <v>807.77203421625541</v>
      </c>
      <c r="J19" s="10">
        <f>Tabella2[[#This Row],[New_cases_fit]]+CIn</f>
        <v>1960.0808183181045</v>
      </c>
      <c r="K19" s="10">
        <f>MAX(Tabella2[[#This Row],[New_cases_fit]]-CIn,0)</f>
        <v>0</v>
      </c>
      <c r="L19" s="54">
        <f>'dpc-covid19-ita-andamento-naz'!G13</f>
        <v>3916</v>
      </c>
      <c r="M19" s="54">
        <f>'dpc-covid19-ita-andamento-naz'!H13</f>
        <v>620</v>
      </c>
      <c r="N19" s="54">
        <f>Tabella2[[#This Row],[New_cases_fit]]-Tabella2[[#This Row],[New_Recovered_fit]]-Tabella2[[#This Row],[New_Deaths_fit]]</f>
        <v>652.14930876775622</v>
      </c>
      <c r="O19" s="10">
        <f>'dpc-covid19-ita-andamento-naz'!J13</f>
        <v>523</v>
      </c>
      <c r="P19" s="48">
        <f>Tabella2[[#This Row],[Cum_recov]]-O18</f>
        <v>109</v>
      </c>
      <c r="Q19" s="60">
        <f>Tabella2[[#This Row],[New recovered]]*NOT(ISBLANK(Tabella2[[#This Row],[New recovered]]))</f>
        <v>109</v>
      </c>
      <c r="R19" s="50">
        <f>Kd*t0d*_xlfn.GAMMA.DIST(Tabella2[[#This Row],[Day]]/t0d,wd+1,1,1)*_xlfn.GAMMA(wd+1)</f>
        <v>485.9924806083979</v>
      </c>
      <c r="S19" s="10">
        <f>Kd*((Tabella2[[#This Row],[Day]]/t0d)^wd)*EXP(-(Tabella2[[#This Row],[Day]]/t0d))</f>
        <v>127.66197056463038</v>
      </c>
      <c r="T19" s="60">
        <f>Tabella2[[#This Row],[New_Recovered_fit]]*NOT(ISBLANK(Tabella2[[#This Row],[New recovered]]))</f>
        <v>127.66197056463038</v>
      </c>
      <c r="U19" s="10">
        <f>Tabella2[[#This Row],[New_Recovered_fit]]+CId</f>
        <v>627.48170295469743</v>
      </c>
      <c r="V19" s="10">
        <f>MAX(Tabella2[[#This Row],[New_Recovered_fit]]-CId,0)</f>
        <v>0</v>
      </c>
      <c r="W19" s="10">
        <f>'dpc-covid19-ita-andamento-naz'!K13</f>
        <v>197</v>
      </c>
      <c r="X19" s="26">
        <f>Tabella2[[#This Row],[Cum_deaths]]-W18</f>
        <v>49</v>
      </c>
      <c r="Y19" s="65">
        <f>Tabella2[[#This Row],[New deaths]]*NOT(ISBLANK(Tabella2[[#This Row],[New deaths]]))</f>
        <v>49</v>
      </c>
      <c r="Z19" s="50">
        <f>kt*t0t*_xlfn.GAMMA.DIST(Tabella2[[#This Row],[Day]]/t0t,wt+1,1,1)*_xlfn.GAMMA(wt+1)</f>
        <v>48.64711083151856</v>
      </c>
      <c r="AA19" s="10">
        <f>kt*((Tabella2[[#This Row],[Day]]/t0t)^wt)*EXP(-(Tabella2[[#This Row],[Day]]/t0t))</f>
        <v>27.960754883868894</v>
      </c>
      <c r="AB19" s="65">
        <f>Tabella2[[#This Row],[New_Deaths_fit]]*NOT(ISBLANK(Tabella2[[#This Row],[New deaths]]))</f>
        <v>27.960754883868894</v>
      </c>
      <c r="AC19" s="10">
        <f>Tabella2[[#This Row],[New_Deaths_fit]]+CIt</f>
        <v>164.01702971274403</v>
      </c>
      <c r="AD19" s="10">
        <f>MAX(Tabella2[[#This Row],[New_Deaths_fit]]-CIt,0)</f>
        <v>0</v>
      </c>
      <c r="AE19" s="1"/>
      <c r="AF19" s="59" t="s">
        <v>81</v>
      </c>
      <c r="AG19" s="80" t="s">
        <v>95</v>
      </c>
      <c r="AT19" s="76">
        <f>COUNT($AG$20,$AG$21,$AG$22)</f>
        <v>3</v>
      </c>
    </row>
    <row r="20" spans="2:46" x14ac:dyDescent="0.3">
      <c r="B20" s="9">
        <v>43897</v>
      </c>
      <c r="C20" s="4">
        <f t="shared" si="0"/>
        <v>12</v>
      </c>
      <c r="D20" s="10">
        <f>'dpc-covid19-ita-andamento-naz'!L14</f>
        <v>5883</v>
      </c>
      <c r="E20" s="30">
        <f>'dpc-covid19-ita-andamento-naz'!I14</f>
        <v>1247</v>
      </c>
      <c r="F20" s="56">
        <f>Tabella2[[#This Row],[New cases]]*NOT(ISBLANK(Tabella2[[#This Row],[New cases]]))</f>
        <v>1247</v>
      </c>
      <c r="G20" s="50">
        <f>Kn*t0n*_xlfn.GAMMA.DIST(Tabella2[[#This Row],[Day]]/t0n,wn+1,1,1)*_xlfn.GAMMA(wn+1)</f>
        <v>2913.8894279465298</v>
      </c>
      <c r="H20" s="10">
        <f>Kn*((Tabella2[[#This Row],[Day]]/t0n)^wn)*EXP(-(Tabella2[[#This Row],[Day]]/t0n))</f>
        <v>1057.006577615962</v>
      </c>
      <c r="I20" s="56">
        <f>Tabella2[[#This Row],[New_cases_fit]]*NOT(ISBLANK(Tabella2[[#This Row],[New cases]]))</f>
        <v>1057.006577615962</v>
      </c>
      <c r="J20" s="10">
        <f>Tabella2[[#This Row],[New_cases_fit]]+CIn</f>
        <v>2209.3153617178114</v>
      </c>
      <c r="K20" s="10">
        <f>MAX(Tabella2[[#This Row],[New_cases_fit]]-CIn,0)</f>
        <v>0</v>
      </c>
      <c r="L20" s="54">
        <f>'dpc-covid19-ita-andamento-naz'!G14</f>
        <v>5061</v>
      </c>
      <c r="M20" s="54">
        <f>'dpc-covid19-ita-andamento-naz'!H14</f>
        <v>1145</v>
      </c>
      <c r="N20" s="54">
        <f>Tabella2[[#This Row],[New_cases_fit]]-Tabella2[[#This Row],[New_Recovered_fit]]-Tabella2[[#This Row],[New_Deaths_fit]]</f>
        <v>863.76328085322325</v>
      </c>
      <c r="O20" s="10">
        <f>'dpc-covid19-ita-andamento-naz'!J14</f>
        <v>589</v>
      </c>
      <c r="P20" s="48">
        <f>Tabella2[[#This Row],[Cum_recov]]-O19</f>
        <v>66</v>
      </c>
      <c r="Q20" s="60">
        <f>Tabella2[[#This Row],[New recovered]]*NOT(ISBLANK(Tabella2[[#This Row],[New recovered]]))</f>
        <v>66</v>
      </c>
      <c r="R20" s="50">
        <f>Kd*t0d*_xlfn.GAMMA.DIST(Tabella2[[#This Row],[Day]]/t0d,wd+1,1,1)*_xlfn.GAMMA(wd+1)</f>
        <v>624.89098908599715</v>
      </c>
      <c r="S20" s="10">
        <f>Kd*((Tabella2[[#This Row],[Day]]/t0d)^wd)*EXP(-(Tabella2[[#This Row],[Day]]/t0d))</f>
        <v>150.42495285354883</v>
      </c>
      <c r="T20" s="60">
        <f>Tabella2[[#This Row],[New_Recovered_fit]]*NOT(ISBLANK(Tabella2[[#This Row],[New recovered]]))</f>
        <v>150.42495285354883</v>
      </c>
      <c r="U20" s="10">
        <f>Tabella2[[#This Row],[New_Recovered_fit]]+CId</f>
        <v>650.24468524361589</v>
      </c>
      <c r="V20" s="10">
        <f>MAX(Tabella2[[#This Row],[New_Recovered_fit]]-CId,0)</f>
        <v>0</v>
      </c>
      <c r="W20" s="10">
        <f>'dpc-covid19-ita-andamento-naz'!K14</f>
        <v>233</v>
      </c>
      <c r="X20" s="26">
        <f>Tabella2[[#This Row],[Cum_deaths]]-W19</f>
        <v>36</v>
      </c>
      <c r="Y20" s="65">
        <f>Tabella2[[#This Row],[New deaths]]*NOT(ISBLANK(Tabella2[[#This Row],[New deaths]]))</f>
        <v>36</v>
      </c>
      <c r="Z20" s="50">
        <f>kt*t0t*_xlfn.GAMMA.DIST(Tabella2[[#This Row],[Day]]/t0t,wt+1,1,1)*_xlfn.GAMMA(wt+1)</f>
        <v>83.673155464807678</v>
      </c>
      <c r="AA20" s="10">
        <f>kt*((Tabella2[[#This Row],[Day]]/t0t)^wt)*EXP(-(Tabella2[[#This Row],[Day]]/t0t))</f>
        <v>42.818343909189899</v>
      </c>
      <c r="AB20" s="65">
        <f>Tabella2[[#This Row],[New_Deaths_fit]]*NOT(ISBLANK(Tabella2[[#This Row],[New deaths]]))</f>
        <v>42.818343909189899</v>
      </c>
      <c r="AC20" s="10">
        <f>Tabella2[[#This Row],[New_Deaths_fit]]+CIt</f>
        <v>178.87461873806504</v>
      </c>
      <c r="AD20" s="10">
        <f>MAX(Tabella2[[#This Row],[New_Deaths_fit]]-CIt,0)</f>
        <v>0</v>
      </c>
      <c r="AE20" s="1"/>
      <c r="AF20" s="83" t="s">
        <v>108</v>
      </c>
      <c r="AG20" s="84">
        <v>523501.90761184006</v>
      </c>
      <c r="AT20" s="76">
        <f>{32767;32767;0.000001;0;FALSE;FALSE;TRUE;1;1;1;0.0001;TRUE}</f>
        <v>32767</v>
      </c>
    </row>
    <row r="21" spans="2:46" ht="15.6" x14ac:dyDescent="0.35">
      <c r="B21" s="22">
        <v>43898</v>
      </c>
      <c r="C21" s="4">
        <f t="shared" si="0"/>
        <v>13</v>
      </c>
      <c r="D21" s="10">
        <f>'dpc-covid19-ita-andamento-naz'!L15</f>
        <v>7375</v>
      </c>
      <c r="E21" s="30">
        <f>'dpc-covid19-ita-andamento-naz'!I15</f>
        <v>1492</v>
      </c>
      <c r="F21" s="56">
        <f>Tabella2[[#This Row],[New cases]]*NOT(ISBLANK(Tabella2[[#This Row],[New cases]]))</f>
        <v>1492</v>
      </c>
      <c r="G21" s="50">
        <f>Kn*t0n*_xlfn.GAMMA.DIST(Tabella2[[#This Row],[Day]]/t0n,wn+1,1,1)*_xlfn.GAMMA(wn+1)</f>
        <v>4108.3055736474607</v>
      </c>
      <c r="H21" s="10">
        <f>Kn*((Tabella2[[#This Row],[Day]]/t0n)^wn)*EXP(-(Tabella2[[#This Row],[Day]]/t0n))</f>
        <v>1336.4788488608388</v>
      </c>
      <c r="I21" s="56">
        <f>Tabella2[[#This Row],[New_cases_fit]]*NOT(ISBLANK(Tabella2[[#This Row],[New cases]]))</f>
        <v>1336.4788488608388</v>
      </c>
      <c r="J21" s="10">
        <f>Tabella2[[#This Row],[New_cases_fit]]+CIn</f>
        <v>2488.7876329626879</v>
      </c>
      <c r="K21" s="10">
        <f>MAX(Tabella2[[#This Row],[New_cases_fit]]-CIn,0)</f>
        <v>184.17006475898961</v>
      </c>
      <c r="L21" s="54">
        <f>'dpc-covid19-ita-andamento-naz'!G15</f>
        <v>6387</v>
      </c>
      <c r="M21" s="54">
        <f>'dpc-covid19-ita-andamento-naz'!H15</f>
        <v>1326</v>
      </c>
      <c r="N21" s="54">
        <f>Tabella2[[#This Row],[New_cases_fit]]-Tabella2[[#This Row],[New_Recovered_fit]]-Tabella2[[#This Row],[New_Deaths_fit]]</f>
        <v>1099.2877213817239</v>
      </c>
      <c r="O21" s="10">
        <f>'dpc-covid19-ita-andamento-naz'!J15</f>
        <v>622</v>
      </c>
      <c r="P21" s="48">
        <f>Tabella2[[#This Row],[Cum_recov]]-O20</f>
        <v>33</v>
      </c>
      <c r="Q21" s="60">
        <f>Tabella2[[#This Row],[New recovered]]*NOT(ISBLANK(Tabella2[[#This Row],[New recovered]]))</f>
        <v>33</v>
      </c>
      <c r="R21" s="50">
        <f>Kd*t0d*_xlfn.GAMMA.DIST(Tabella2[[#This Row],[Day]]/t0d,wd+1,1,1)*_xlfn.GAMMA(wd+1)</f>
        <v>787.41863802055786</v>
      </c>
      <c r="S21" s="10">
        <f>Kd*((Tabella2[[#This Row],[Day]]/t0d)^wd)*EXP(-(Tabella2[[#This Row],[Day]]/t0d))</f>
        <v>174.91673907608347</v>
      </c>
      <c r="T21" s="60">
        <f>Tabella2[[#This Row],[New_Recovered_fit]]*NOT(ISBLANK(Tabella2[[#This Row],[New recovered]]))</f>
        <v>174.91673907608347</v>
      </c>
      <c r="U21" s="10">
        <f>Tabella2[[#This Row],[New_Recovered_fit]]+CId</f>
        <v>674.73647146615053</v>
      </c>
      <c r="V21" s="10">
        <f>MAX(Tabella2[[#This Row],[New_Recovered_fit]]-CId,0)</f>
        <v>0</v>
      </c>
      <c r="W21" s="10">
        <f>'dpc-covid19-ita-andamento-naz'!K15</f>
        <v>366</v>
      </c>
      <c r="X21" s="26">
        <f>Tabella2[[#This Row],[Cum_deaths]]-W20</f>
        <v>133</v>
      </c>
      <c r="Y21" s="65">
        <f>Tabella2[[#This Row],[New deaths]]*NOT(ISBLANK(Tabella2[[#This Row],[New deaths]]))</f>
        <v>133</v>
      </c>
      <c r="Z21" s="50">
        <f>kt*t0t*_xlfn.GAMMA.DIST(Tabella2[[#This Row],[Day]]/t0t,wt+1,1,1)*_xlfn.GAMMA(wt+1)</f>
        <v>135.81865332632171</v>
      </c>
      <c r="AA21" s="10">
        <f>kt*((Tabella2[[#This Row],[Day]]/t0t)^wt)*EXP(-(Tabella2[[#This Row],[Day]]/t0t))</f>
        <v>62.274388403031345</v>
      </c>
      <c r="AB21" s="65">
        <f>Tabella2[[#This Row],[New_Deaths_fit]]*NOT(ISBLANK(Tabella2[[#This Row],[New deaths]]))</f>
        <v>62.274388403031345</v>
      </c>
      <c r="AC21" s="10">
        <f>Tabella2[[#This Row],[New_Deaths_fit]]+CIt</f>
        <v>198.33066323190647</v>
      </c>
      <c r="AD21" s="10">
        <f>MAX(Tabella2[[#This Row],[New_Deaths_fit]]-CIt,0)</f>
        <v>0</v>
      </c>
      <c r="AE21" s="1"/>
      <c r="AF21" s="83" t="s">
        <v>100</v>
      </c>
      <c r="AG21" s="84">
        <v>873.26121200828402</v>
      </c>
      <c r="AT21" s="76">
        <f>{0;0;1;100;0;FALSE;TRUE;0.075;0;0;FALSE;30}</f>
        <v>0</v>
      </c>
    </row>
    <row r="22" spans="2:46" x14ac:dyDescent="0.3">
      <c r="B22" s="9">
        <v>43899</v>
      </c>
      <c r="C22" s="4">
        <f t="shared" si="0"/>
        <v>14</v>
      </c>
      <c r="D22" s="10">
        <f>'dpc-covid19-ita-andamento-naz'!L16</f>
        <v>9172</v>
      </c>
      <c r="E22" s="30">
        <f>'dpc-covid19-ita-andamento-naz'!I16</f>
        <v>1797</v>
      </c>
      <c r="F22" s="56">
        <f>Tabella2[[#This Row],[New cases]]*NOT(ISBLANK(Tabella2[[#This Row],[New cases]]))</f>
        <v>1797</v>
      </c>
      <c r="G22" s="50">
        <f>Kn*t0n*_xlfn.GAMMA.DIST(Tabella2[[#This Row],[Day]]/t0n,wn+1,1,1)*_xlfn.GAMMA(wn+1)</f>
        <v>5595.2628144807941</v>
      </c>
      <c r="H22" s="10">
        <f>Kn*((Tabella2[[#This Row],[Day]]/t0n)^wn)*EXP(-(Tabella2[[#This Row],[Day]]/t0n))</f>
        <v>1641.1692628094859</v>
      </c>
      <c r="I22" s="56">
        <f>Tabella2[[#This Row],[New_cases_fit]]*NOT(ISBLANK(Tabella2[[#This Row],[New cases]]))</f>
        <v>1641.1692628094859</v>
      </c>
      <c r="J22" s="10">
        <f>Tabella2[[#This Row],[New_cases_fit]]+CIn</f>
        <v>2793.4780469113348</v>
      </c>
      <c r="K22" s="10">
        <f>MAX(Tabella2[[#This Row],[New_cases_fit]]-CIn,0)</f>
        <v>488.86047870763673</v>
      </c>
      <c r="L22" s="54">
        <f>'dpc-covid19-ita-andamento-naz'!G16</f>
        <v>7985</v>
      </c>
      <c r="M22" s="54">
        <f>'dpc-covid19-ita-andamento-naz'!H16</f>
        <v>1598</v>
      </c>
      <c r="N22" s="54">
        <f>Tabella2[[#This Row],[New_cases_fit]]-Tabella2[[#This Row],[New_Recovered_fit]]-Tabella2[[#This Row],[New_Deaths_fit]]</f>
        <v>1353.3738207765671</v>
      </c>
      <c r="O22" s="10">
        <f>'dpc-covid19-ita-andamento-naz'!J16</f>
        <v>724</v>
      </c>
      <c r="P22" s="48">
        <f>Tabella2[[#This Row],[Cum_recov]]-O21</f>
        <v>102</v>
      </c>
      <c r="Q22" s="60">
        <f>Tabella2[[#This Row],[New recovered]]*NOT(ISBLANK(Tabella2[[#This Row],[New recovered]]))</f>
        <v>102</v>
      </c>
      <c r="R22" s="50">
        <f>Kd*t0d*_xlfn.GAMMA.DIST(Tabella2[[#This Row],[Day]]/t0d,wd+1,1,1)*_xlfn.GAMMA(wd+1)</f>
        <v>975.29392656201958</v>
      </c>
      <c r="S22" s="10">
        <f>Kd*((Tabella2[[#This Row],[Day]]/t0d)^wd)*EXP(-(Tabella2[[#This Row],[Day]]/t0d))</f>
        <v>201.11694470063057</v>
      </c>
      <c r="T22" s="60">
        <f>Tabella2[[#This Row],[New_Recovered_fit]]*NOT(ISBLANK(Tabella2[[#This Row],[New recovered]]))</f>
        <v>201.11694470063057</v>
      </c>
      <c r="U22" s="10">
        <f>Tabella2[[#This Row],[New_Recovered_fit]]+CId</f>
        <v>700.93667709069769</v>
      </c>
      <c r="V22" s="10">
        <f>MAX(Tabella2[[#This Row],[New_Recovered_fit]]-CId,0)</f>
        <v>0</v>
      </c>
      <c r="W22" s="10">
        <f>'dpc-covid19-ita-andamento-naz'!K16</f>
        <v>463</v>
      </c>
      <c r="X22" s="26">
        <f>Tabella2[[#This Row],[Cum_deaths]]-W21</f>
        <v>97</v>
      </c>
      <c r="Y22" s="65">
        <f>Tabella2[[#This Row],[New deaths]]*NOT(ISBLANK(Tabella2[[#This Row],[New deaths]]))</f>
        <v>97</v>
      </c>
      <c r="Z22" s="50">
        <f>kt*t0t*_xlfn.GAMMA.DIST(Tabella2[[#This Row],[Day]]/t0t,wt+1,1,1)*_xlfn.GAMMA(wt+1)</f>
        <v>209.87371896627786</v>
      </c>
      <c r="AA22" s="10">
        <f>kt*((Tabella2[[#This Row],[Day]]/t0t)^wt)*EXP(-(Tabella2[[#This Row],[Day]]/t0t))</f>
        <v>86.678497332288231</v>
      </c>
      <c r="AB22" s="65">
        <f>Tabella2[[#This Row],[New_Deaths_fit]]*NOT(ISBLANK(Tabella2[[#This Row],[New deaths]]))</f>
        <v>86.678497332288231</v>
      </c>
      <c r="AC22" s="10">
        <f>Tabella2[[#This Row],[New_Deaths_fit]]+CIt</f>
        <v>222.73477216116336</v>
      </c>
      <c r="AD22" s="10">
        <f>MAX(Tabella2[[#This Row],[New_Deaths_fit]]-CIt,0)</f>
        <v>0</v>
      </c>
      <c r="AE22" s="1"/>
      <c r="AF22" s="83" t="s">
        <v>1</v>
      </c>
      <c r="AG22" s="84">
        <v>1.8988726576801191</v>
      </c>
      <c r="AT22" s="76">
        <f>{32767;32767;0.000001;0;FALSE;FALSE;FALSE;1;2;1;0.0001;TRUE}</f>
        <v>32767</v>
      </c>
    </row>
    <row r="23" spans="2:46" ht="15" thickBot="1" x14ac:dyDescent="0.35">
      <c r="B23" s="22">
        <v>43900</v>
      </c>
      <c r="C23" s="4">
        <f t="shared" si="0"/>
        <v>15</v>
      </c>
      <c r="D23" s="10">
        <f>'dpc-covid19-ita-andamento-naz'!L17</f>
        <v>10149</v>
      </c>
      <c r="E23" s="30">
        <f>'dpc-covid19-ita-andamento-naz'!I17</f>
        <v>977</v>
      </c>
      <c r="F23" s="56">
        <f>Tabella2[[#This Row],[New cases]]*NOT(ISBLANK(Tabella2[[#This Row],[New cases]]))</f>
        <v>977</v>
      </c>
      <c r="G23" s="50">
        <f>Kn*t0n*_xlfn.GAMMA.DIST(Tabella2[[#This Row],[Day]]/t0n,wn+1,1,1)*_xlfn.GAMMA(wn+1)</f>
        <v>7397.0934131900312</v>
      </c>
      <c r="H23" s="10">
        <f>Kn*((Tabella2[[#This Row],[Day]]/t0n)^wn)*EXP(-(Tabella2[[#This Row],[Day]]/t0n))</f>
        <v>1965.1900888826895</v>
      </c>
      <c r="I23" s="56">
        <f>Tabella2[[#This Row],[New_cases_fit]]*NOT(ISBLANK(Tabella2[[#This Row],[New cases]]))</f>
        <v>1965.1900888826895</v>
      </c>
      <c r="J23" s="10">
        <f>Tabella2[[#This Row],[New_cases_fit]]+CIn</f>
        <v>3117.4988729845386</v>
      </c>
      <c r="K23" s="10">
        <f>MAX(Tabella2[[#This Row],[New_cases_fit]]-CIn,0)</f>
        <v>812.88130478084031</v>
      </c>
      <c r="L23" s="54">
        <f>'dpc-covid19-ita-andamento-naz'!G17</f>
        <v>8514</v>
      </c>
      <c r="M23" s="54">
        <f>'dpc-covid19-ita-andamento-naz'!H17</f>
        <v>529</v>
      </c>
      <c r="N23" s="54">
        <f>Tabella2[[#This Row],[New_cases_fit]]-Tabella2[[#This Row],[New_Recovered_fit]]-Tabella2[[#This Row],[New_Deaths_fit]]</f>
        <v>1620.019976016418</v>
      </c>
      <c r="O23" s="10">
        <f>'dpc-covid19-ita-andamento-naz'!J17</f>
        <v>1004</v>
      </c>
      <c r="P23" s="48">
        <f>Tabella2[[#This Row],[Cum_recov]]-O22</f>
        <v>280</v>
      </c>
      <c r="Q23" s="60">
        <f>Tabella2[[#This Row],[New recovered]]*NOT(ISBLANK(Tabella2[[#This Row],[New recovered]]))</f>
        <v>280</v>
      </c>
      <c r="R23" s="50">
        <f>Kd*t0d*_xlfn.GAMMA.DIST(Tabella2[[#This Row],[Day]]/t0d,wd+1,1,1)*_xlfn.GAMMA(wd+1)</f>
        <v>1190.2156100024374</v>
      </c>
      <c r="S23" s="10">
        <f>Kd*((Tabella2[[#This Row],[Day]]/t0d)^wd)*EXP(-(Tabella2[[#This Row],[Day]]/t0d))</f>
        <v>229.00643367452588</v>
      </c>
      <c r="T23" s="60">
        <f>Tabella2[[#This Row],[New_Recovered_fit]]*NOT(ISBLANK(Tabella2[[#This Row],[New recovered]]))</f>
        <v>229.00643367452588</v>
      </c>
      <c r="U23" s="10">
        <f>Tabella2[[#This Row],[New_Recovered_fit]]+CId</f>
        <v>728.82616606459294</v>
      </c>
      <c r="V23" s="10">
        <f>MAX(Tabella2[[#This Row],[New_Recovered_fit]]-CId,0)</f>
        <v>0</v>
      </c>
      <c r="W23" s="10">
        <f>'dpc-covid19-ita-andamento-naz'!K17</f>
        <v>631</v>
      </c>
      <c r="X23" s="26">
        <f>Tabella2[[#This Row],[Cum_deaths]]-W22</f>
        <v>168</v>
      </c>
      <c r="Y23" s="65">
        <f>Tabella2[[#This Row],[New deaths]]*NOT(ISBLANK(Tabella2[[#This Row],[New deaths]]))</f>
        <v>168</v>
      </c>
      <c r="Z23" s="50">
        <f>kt*t0t*_xlfn.GAMMA.DIST(Tabella2[[#This Row],[Day]]/t0t,wt+1,1,1)*_xlfn.GAMMA(wt+1)</f>
        <v>310.8719556626649</v>
      </c>
      <c r="AA23" s="10">
        <f>kt*((Tabella2[[#This Row],[Day]]/t0t)^wt)*EXP(-(Tabella2[[#This Row],[Day]]/t0t))</f>
        <v>116.16367919174552</v>
      </c>
      <c r="AB23" s="65">
        <f>Tabella2[[#This Row],[New_Deaths_fit]]*NOT(ISBLANK(Tabella2[[#This Row],[New deaths]]))</f>
        <v>116.16367919174552</v>
      </c>
      <c r="AC23" s="10">
        <f>Tabella2[[#This Row],[New_Deaths_fit]]+CIt</f>
        <v>252.21995402062066</v>
      </c>
      <c r="AD23" s="10">
        <f>MAX(Tabella2[[#This Row],[New_Deaths_fit]]-CIt,0)</f>
        <v>0</v>
      </c>
      <c r="AE23" s="1"/>
      <c r="AF23" s="85" t="s">
        <v>2</v>
      </c>
      <c r="AG23" s="86">
        <f>AVERAGE(Tabella2[New recovered])</f>
        <v>692.19148936170211</v>
      </c>
      <c r="AT23" s="77">
        <f>{0;0;1;100;0;FALSE;FALSE;0.075;0;0;FALSE;30}</f>
        <v>0</v>
      </c>
    </row>
    <row r="24" spans="2:46" x14ac:dyDescent="0.3">
      <c r="B24" s="9">
        <v>43901</v>
      </c>
      <c r="C24" s="4">
        <f t="shared" si="0"/>
        <v>16</v>
      </c>
      <c r="D24" s="10">
        <f>'dpc-covid19-ita-andamento-naz'!L18</f>
        <v>12462</v>
      </c>
      <c r="E24" s="30">
        <f>'dpc-covid19-ita-andamento-naz'!I18</f>
        <v>2313</v>
      </c>
      <c r="F24" s="56">
        <f>Tabella2[[#This Row],[New cases]]*NOT(ISBLANK(Tabella2[[#This Row],[New cases]]))</f>
        <v>2313</v>
      </c>
      <c r="G24" s="50">
        <f>Kn*t0n*_xlfn.GAMMA.DIST(Tabella2[[#This Row],[Day]]/t0n,wn+1,1,1)*_xlfn.GAMMA(wn+1)</f>
        <v>9529.9499350437127</v>
      </c>
      <c r="H24" s="10">
        <f>Kn*((Tabella2[[#This Row],[Day]]/t0n)^wn)*EXP(-(Tabella2[[#This Row],[Day]]/t0n))</f>
        <v>2302.1248027775509</v>
      </c>
      <c r="I24" s="56">
        <f>Tabella2[[#This Row],[New_cases_fit]]*NOT(ISBLANK(Tabella2[[#This Row],[New cases]]))</f>
        <v>2302.1248027775509</v>
      </c>
      <c r="J24" s="10">
        <f>Tabella2[[#This Row],[New_cases_fit]]+CIn</f>
        <v>3454.4335868794001</v>
      </c>
      <c r="K24" s="10">
        <f>MAX(Tabella2[[#This Row],[New_cases_fit]]-CIn,0)</f>
        <v>1149.8160186757018</v>
      </c>
      <c r="L24" s="54">
        <f>'dpc-covid19-ita-andamento-naz'!G18</f>
        <v>10590</v>
      </c>
      <c r="M24" s="54">
        <f>'dpc-covid19-ita-andamento-naz'!H18</f>
        <v>2076</v>
      </c>
      <c r="N24" s="54">
        <f>Tabella2[[#This Row],[New_cases_fit]]-Tabella2[[#This Row],[New_Recovered_fit]]-Tabella2[[#This Row],[New_Deaths_fit]]</f>
        <v>1892.9280118537467</v>
      </c>
      <c r="O24" s="10">
        <f>'dpc-covid19-ita-andamento-naz'!J18</f>
        <v>1045</v>
      </c>
      <c r="P24" s="48">
        <f>Tabella2[[#This Row],[Cum_recov]]-O23</f>
        <v>41</v>
      </c>
      <c r="Q24" s="60">
        <f>Tabella2[[#This Row],[New recovered]]*NOT(ISBLANK(Tabella2[[#This Row],[New recovered]]))</f>
        <v>41</v>
      </c>
      <c r="R24" s="50">
        <f>Kd*t0d*_xlfn.GAMMA.DIST(Tabella2[[#This Row],[Day]]/t0d,wd+1,1,1)*_xlfn.GAMMA(wd+1)</f>
        <v>1433.8638568071019</v>
      </c>
      <c r="S24" s="10">
        <f>Kd*((Tabella2[[#This Row],[Day]]/t0d)^wd)*EXP(-(Tabella2[[#This Row],[Day]]/t0d))</f>
        <v>258.56714227457701</v>
      </c>
      <c r="T24" s="60">
        <f>Tabella2[[#This Row],[New_Recovered_fit]]*NOT(ISBLANK(Tabella2[[#This Row],[New recovered]]))</f>
        <v>258.56714227457701</v>
      </c>
      <c r="U24" s="10">
        <f>Tabella2[[#This Row],[New_Recovered_fit]]+CId</f>
        <v>758.3868746646441</v>
      </c>
      <c r="V24" s="10">
        <f>MAX(Tabella2[[#This Row],[New_Recovered_fit]]-CId,0)</f>
        <v>0</v>
      </c>
      <c r="W24" s="10">
        <f>'dpc-covid19-ita-andamento-naz'!K18</f>
        <v>827</v>
      </c>
      <c r="X24" s="26">
        <f>Tabella2[[#This Row],[Cum_deaths]]-W23</f>
        <v>196</v>
      </c>
      <c r="Y24" s="65">
        <f>Tabella2[[#This Row],[New deaths]]*NOT(ISBLANK(Tabella2[[#This Row],[New deaths]]))</f>
        <v>196</v>
      </c>
      <c r="Z24" s="50">
        <f>kt*t0t*_xlfn.GAMMA.DIST(Tabella2[[#This Row],[Day]]/t0t,wt+1,1,1)*_xlfn.GAMMA(wt+1)</f>
        <v>443.86393590570839</v>
      </c>
      <c r="AA24" s="10">
        <f>kt*((Tabella2[[#This Row],[Day]]/t0t)^wt)*EXP(-(Tabella2[[#This Row],[Day]]/t0t))</f>
        <v>150.62964864922716</v>
      </c>
      <c r="AB24" s="65">
        <f>Tabella2[[#This Row],[New_Deaths_fit]]*NOT(ISBLANK(Tabella2[[#This Row],[New deaths]]))</f>
        <v>150.62964864922716</v>
      </c>
      <c r="AC24" s="10">
        <f>Tabella2[[#This Row],[New_Deaths_fit]]+CIt</f>
        <v>286.68592347810227</v>
      </c>
      <c r="AD24" s="10">
        <f>MAX(Tabella2[[#This Row],[New_Deaths_fit]]-CIt,0)</f>
        <v>14.573373820352032</v>
      </c>
      <c r="AE24" s="1"/>
      <c r="AF24" s="85" t="s">
        <v>3</v>
      </c>
      <c r="AG24" s="86">
        <f>COUNT(Tabella2[New recovered])-COUNT(AG20:AG22)</f>
        <v>44</v>
      </c>
      <c r="AT24" s="42"/>
    </row>
    <row r="25" spans="2:46" x14ac:dyDescent="0.3">
      <c r="B25" s="22">
        <v>43902</v>
      </c>
      <c r="C25" s="4">
        <f t="shared" si="0"/>
        <v>17</v>
      </c>
      <c r="D25" s="10">
        <f>'dpc-covid19-ita-andamento-naz'!L19</f>
        <v>15113</v>
      </c>
      <c r="E25" s="30">
        <f>'dpc-covid19-ita-andamento-naz'!I19</f>
        <v>2651</v>
      </c>
      <c r="F25" s="56">
        <f>Tabella2[[#This Row],[New cases]]*NOT(ISBLANK(Tabella2[[#This Row],[New cases]]))</f>
        <v>2651</v>
      </c>
      <c r="G25" s="50">
        <f>Kn*t0n*_xlfn.GAMMA.DIST(Tabella2[[#This Row],[Day]]/t0n,wn+1,1,1)*_xlfn.GAMMA(wn+1)</f>
        <v>12003.43709687599</v>
      </c>
      <c r="H25" s="10">
        <f>Kn*((Tabella2[[#This Row],[Day]]/t0n)^wn)*EXP(-(Tabella2[[#This Row],[Day]]/t0n))</f>
        <v>2645.3441398590858</v>
      </c>
      <c r="I25" s="56">
        <f>Tabella2[[#This Row],[New_cases_fit]]*NOT(ISBLANK(Tabella2[[#This Row],[New cases]]))</f>
        <v>2645.3441398590858</v>
      </c>
      <c r="J25" s="10">
        <f>Tabella2[[#This Row],[New_cases_fit]]+CIn</f>
        <v>3797.6529239609349</v>
      </c>
      <c r="K25" s="10">
        <f>MAX(Tabella2[[#This Row],[New_cases_fit]]-CIn,0)</f>
        <v>1493.0353557572366</v>
      </c>
      <c r="L25" s="54">
        <f>'dpc-covid19-ita-andamento-naz'!G19</f>
        <v>12839</v>
      </c>
      <c r="M25" s="54">
        <f>'dpc-covid19-ita-andamento-naz'!H19</f>
        <v>2249</v>
      </c>
      <c r="N25" s="54">
        <f>Tabella2[[#This Row],[New_cases_fit]]-Tabella2[[#This Row],[New_Recovered_fit]]-Tabella2[[#This Row],[New_Deaths_fit]]</f>
        <v>2165.8177824645895</v>
      </c>
      <c r="O25" s="10">
        <f>'dpc-covid19-ita-andamento-naz'!J19</f>
        <v>1258</v>
      </c>
      <c r="P25" s="48">
        <f>Tabella2[[#This Row],[Cum_recov]]-O24</f>
        <v>213</v>
      </c>
      <c r="Q25" s="60">
        <f>Tabella2[[#This Row],[New recovered]]*NOT(ISBLANK(Tabella2[[#This Row],[New recovered]]))</f>
        <v>213</v>
      </c>
      <c r="R25" s="50">
        <f>Kd*t0d*_xlfn.GAMMA.DIST(Tabella2[[#This Row],[Day]]/t0d,wd+1,1,1)*_xlfn.GAMMA(wd+1)</f>
        <v>1707.9012478848977</v>
      </c>
      <c r="S25" s="10">
        <f>Kd*((Tabella2[[#This Row],[Day]]/t0d)^wd)*EXP(-(Tabella2[[#This Row],[Day]]/t0d))</f>
        <v>289.78193801178293</v>
      </c>
      <c r="T25" s="60">
        <f>Tabella2[[#This Row],[New_Recovered_fit]]*NOT(ISBLANK(Tabella2[[#This Row],[New recovered]]))</f>
        <v>289.78193801178293</v>
      </c>
      <c r="U25" s="10">
        <f>Tabella2[[#This Row],[New_Recovered_fit]]+CId</f>
        <v>789.60167040185001</v>
      </c>
      <c r="V25" s="10">
        <f>MAX(Tabella2[[#This Row],[New_Recovered_fit]]-CId,0)</f>
        <v>0</v>
      </c>
      <c r="W25" s="10">
        <f>'dpc-covid19-ita-andamento-naz'!K19</f>
        <v>1016</v>
      </c>
      <c r="X25" s="26">
        <f>Tabella2[[#This Row],[Cum_deaths]]-W24</f>
        <v>189</v>
      </c>
      <c r="Y25" s="65">
        <f>Tabella2[[#This Row],[New deaths]]*NOT(ISBLANK(Tabella2[[#This Row],[New deaths]]))</f>
        <v>189</v>
      </c>
      <c r="Z25" s="50">
        <f>kt*t0t*_xlfn.GAMMA.DIST(Tabella2[[#This Row],[Day]]/t0t,wt+1,1,1)*_xlfn.GAMMA(wt+1)</f>
        <v>613.68324798994377</v>
      </c>
      <c r="AA25" s="10">
        <f>kt*((Tabella2[[#This Row],[Day]]/t0t)^wt)*EXP(-(Tabella2[[#This Row],[Day]]/t0t))</f>
        <v>189.74441938271323</v>
      </c>
      <c r="AB25" s="65">
        <f>Tabella2[[#This Row],[New_Deaths_fit]]*NOT(ISBLANK(Tabella2[[#This Row],[New deaths]]))</f>
        <v>189.74441938271323</v>
      </c>
      <c r="AC25" s="10">
        <f>Tabella2[[#This Row],[New_Deaths_fit]]+CIt</f>
        <v>325.80069421158839</v>
      </c>
      <c r="AD25" s="10">
        <f>MAX(Tabella2[[#This Row],[New_Deaths_fit]]-CIt,0)</f>
        <v>53.6881445538381</v>
      </c>
      <c r="AE25" s="1"/>
      <c r="AF25" s="85" t="s">
        <v>4</v>
      </c>
      <c r="AG25" s="87" cm="1">
        <f t="array" ref="AG25">SQRT(SUM((Tabella2[Colonna3]-Tabella2[Colonna4])^2)/dfd)</f>
        <v>248.00425427506232</v>
      </c>
      <c r="AT25" s="43"/>
    </row>
    <row r="26" spans="2:46" ht="16.2" x14ac:dyDescent="0.3">
      <c r="B26" s="9">
        <v>43903</v>
      </c>
      <c r="C26" s="4">
        <f t="shared" si="0"/>
        <v>18</v>
      </c>
      <c r="D26" s="10">
        <f>'dpc-covid19-ita-andamento-naz'!L20</f>
        <v>17660</v>
      </c>
      <c r="E26" s="30">
        <f>'dpc-covid19-ita-andamento-naz'!I20</f>
        <v>2547</v>
      </c>
      <c r="F26" s="56">
        <f>Tabella2[[#This Row],[New cases]]*NOT(ISBLANK(Tabella2[[#This Row],[New cases]]))</f>
        <v>2547</v>
      </c>
      <c r="G26" s="50">
        <f>Kn*t0n*_xlfn.GAMMA.DIST(Tabella2[[#This Row],[Day]]/t0n,wn+1,1,1)*_xlfn.GAMMA(wn+1)</f>
        <v>14820.542009897721</v>
      </c>
      <c r="H26" s="10">
        <f>Kn*((Tabella2[[#This Row],[Day]]/t0n)^wn)*EXP(-(Tabella2[[#This Row],[Day]]/t0n))</f>
        <v>2988.2850639446206</v>
      </c>
      <c r="I26" s="56">
        <f>Tabella2[[#This Row],[New_cases_fit]]*NOT(ISBLANK(Tabella2[[#This Row],[New cases]]))</f>
        <v>2988.2850639446206</v>
      </c>
      <c r="J26" s="10">
        <f>Tabella2[[#This Row],[New_cases_fit]]+CIn</f>
        <v>4140.5938480464702</v>
      </c>
      <c r="K26" s="10">
        <f>MAX(Tabella2[[#This Row],[New_cases_fit]]-CIn,0)</f>
        <v>1835.9762798427714</v>
      </c>
      <c r="L26" s="54">
        <f>'dpc-covid19-ita-andamento-naz'!G20</f>
        <v>14955</v>
      </c>
      <c r="M26" s="54">
        <f>'dpc-covid19-ita-andamento-naz'!H20</f>
        <v>2116</v>
      </c>
      <c r="N26" s="54">
        <f>Tabella2[[#This Row],[New_cases_fit]]-Tabella2[[#This Row],[New_Recovered_fit]]-Tabella2[[#This Row],[New_Deaths_fit]]</f>
        <v>2432.6885271807996</v>
      </c>
      <c r="O26" s="10">
        <f>'dpc-covid19-ita-andamento-naz'!J20</f>
        <v>1439</v>
      </c>
      <c r="P26" s="48">
        <f>Tabella2[[#This Row],[Cum_recov]]-O25</f>
        <v>181</v>
      </c>
      <c r="Q26" s="60">
        <f>Tabella2[[#This Row],[New recovered]]*NOT(ISBLANK(Tabella2[[#This Row],[New recovered]]))</f>
        <v>181</v>
      </c>
      <c r="R26" s="50">
        <f>Kd*t0d*_xlfn.GAMMA.DIST(Tabella2[[#This Row],[Day]]/t0d,wd+1,1,1)*_xlfn.GAMMA(wd+1)</f>
        <v>2013.9736485425854</v>
      </c>
      <c r="S26" s="10">
        <f>Kd*((Tabella2[[#This Row],[Day]]/t0d)^wd)*EXP(-(Tabella2[[#This Row],[Day]]/t0d))</f>
        <v>322.63450488749885</v>
      </c>
      <c r="T26" s="60">
        <f>Tabella2[[#This Row],[New_Recovered_fit]]*NOT(ISBLANK(Tabella2[[#This Row],[New recovered]]))</f>
        <v>322.63450488749885</v>
      </c>
      <c r="U26" s="10">
        <f>Tabella2[[#This Row],[New_Recovered_fit]]+CId</f>
        <v>822.45423727756588</v>
      </c>
      <c r="V26" s="10">
        <f>MAX(Tabella2[[#This Row],[New_Recovered_fit]]-CId,0)</f>
        <v>0</v>
      </c>
      <c r="W26" s="10">
        <f>'dpc-covid19-ita-andamento-naz'!K20</f>
        <v>1266</v>
      </c>
      <c r="X26" s="26">
        <f>Tabella2[[#This Row],[Cum_deaths]]-W25</f>
        <v>250</v>
      </c>
      <c r="Y26" s="65">
        <f>Tabella2[[#This Row],[New deaths]]*NOT(ISBLANK(Tabella2[[#This Row],[New deaths]]))</f>
        <v>250</v>
      </c>
      <c r="Z26" s="50">
        <f>kt*t0t*_xlfn.GAMMA.DIST(Tabella2[[#This Row],[Day]]/t0t,wt+1,1,1)*_xlfn.GAMMA(wt+1)</f>
        <v>824.72243813600039</v>
      </c>
      <c r="AA26" s="10">
        <f>kt*((Tabella2[[#This Row],[Day]]/t0t)^wt)*EXP(-(Tabella2[[#This Row],[Day]]/t0t))</f>
        <v>232.96203187632224</v>
      </c>
      <c r="AB26" s="65">
        <f>Tabella2[[#This Row],[New_Deaths_fit]]*NOT(ISBLANK(Tabella2[[#This Row],[New deaths]]))</f>
        <v>232.96203187632224</v>
      </c>
      <c r="AC26" s="10">
        <f>Tabella2[[#This Row],[New_Deaths_fit]]+CIt</f>
        <v>369.01830670519735</v>
      </c>
      <c r="AD26" s="10">
        <f>MAX(Tabella2[[#This Row],[New_Deaths_fit]]-CIt,0)</f>
        <v>96.905757047447111</v>
      </c>
      <c r="AE26" s="1"/>
      <c r="AF26" s="85" t="s">
        <v>101</v>
      </c>
      <c r="AG26" s="88" cm="1">
        <f t="array" ref="AG26">1-SUM((Tabella2[Colonna3]-Tabella2[Colonna4])^2)/SUM((Tabella2[Colonna3]-Mean_of_yd)^2)</f>
        <v>0.91213357683276775</v>
      </c>
      <c r="AT26" s="43"/>
    </row>
    <row r="27" spans="2:46" ht="15" thickBot="1" x14ac:dyDescent="0.35">
      <c r="B27" s="9">
        <v>43904</v>
      </c>
      <c r="C27" s="4">
        <f t="shared" si="0"/>
        <v>19</v>
      </c>
      <c r="D27" s="10">
        <f>'dpc-covid19-ita-andamento-naz'!L21</f>
        <v>21157</v>
      </c>
      <c r="E27" s="30">
        <f>'dpc-covid19-ita-andamento-naz'!I21</f>
        <v>3497</v>
      </c>
      <c r="F27" s="56">
        <f>Tabella2[[#This Row],[New cases]]*NOT(ISBLANK(Tabella2[[#This Row],[New cases]]))</f>
        <v>3497</v>
      </c>
      <c r="G27" s="50">
        <f>Kn*t0n*_xlfn.GAMMA.DIST(Tabella2[[#This Row],[Day]]/t0n,wn+1,1,1)*_xlfn.GAMMA(wn+1)</f>
        <v>17977.821361882288</v>
      </c>
      <c r="H27" s="10">
        <f>Kn*((Tabella2[[#This Row],[Day]]/t0n)^wn)*EXP(-(Tabella2[[#This Row],[Day]]/t0n))</f>
        <v>3324.6847965080492</v>
      </c>
      <c r="I27" s="56">
        <f>Tabella2[[#This Row],[New_cases_fit]]*NOT(ISBLANK(Tabella2[[#This Row],[New cases]]))</f>
        <v>3324.6847965080492</v>
      </c>
      <c r="J27" s="10">
        <f>Tabella2[[#This Row],[New_cases_fit]]+CIn</f>
        <v>4476.9935806098983</v>
      </c>
      <c r="K27" s="10">
        <f>MAX(Tabella2[[#This Row],[New_cases_fit]]-CIn,0)</f>
        <v>2172.3760124062001</v>
      </c>
      <c r="L27" s="54">
        <f>'dpc-covid19-ita-andamento-naz'!G21</f>
        <v>17750</v>
      </c>
      <c r="M27" s="54">
        <f>'dpc-covid19-ita-andamento-naz'!H21</f>
        <v>2795</v>
      </c>
      <c r="N27" s="54">
        <f>Tabella2[[#This Row],[New_cases_fit]]-Tabella2[[#This Row],[New_Recovered_fit]]-Tabella2[[#This Row],[New_Deaths_fit]]</f>
        <v>2688.0224022564807</v>
      </c>
      <c r="O27" s="10">
        <f>'dpc-covid19-ita-andamento-naz'!J21</f>
        <v>1966</v>
      </c>
      <c r="P27" s="48">
        <f>Tabella2[[#This Row],[Cum_recov]]-O26</f>
        <v>527</v>
      </c>
      <c r="Q27" s="60">
        <f>Tabella2[[#This Row],[New recovered]]*NOT(ISBLANK(Tabella2[[#This Row],[New recovered]]))</f>
        <v>527</v>
      </c>
      <c r="R27" s="50">
        <f>Kd*t0d*_xlfn.GAMMA.DIST(Tabella2[[#This Row],[Day]]/t0d,wd+1,1,1)*_xlfn.GAMMA(wd+1)</f>
        <v>2353.7109762219202</v>
      </c>
      <c r="S27" s="10">
        <f>Kd*((Tabella2[[#This Row],[Day]]/t0d)^wd)*EXP(-(Tabella2[[#This Row],[Day]]/t0d))</f>
        <v>357.10924883718519</v>
      </c>
      <c r="T27" s="60">
        <f>Tabella2[[#This Row],[New_Recovered_fit]]*NOT(ISBLANK(Tabella2[[#This Row],[New recovered]]))</f>
        <v>357.10924883718519</v>
      </c>
      <c r="U27" s="10">
        <f>Tabella2[[#This Row],[New_Recovered_fit]]+CId</f>
        <v>856.92898122725228</v>
      </c>
      <c r="V27" s="10">
        <f>MAX(Tabella2[[#This Row],[New_Recovered_fit]]-CId,0)</f>
        <v>0</v>
      </c>
      <c r="W27" s="10">
        <f>'dpc-covid19-ita-andamento-naz'!K21</f>
        <v>1441</v>
      </c>
      <c r="X27" s="26">
        <f>Tabella2[[#This Row],[Cum_deaths]]-W26</f>
        <v>175</v>
      </c>
      <c r="Y27" s="65">
        <f>Tabella2[[#This Row],[New deaths]]*NOT(ISBLANK(Tabella2[[#This Row],[New deaths]]))</f>
        <v>175</v>
      </c>
      <c r="Z27" s="50">
        <f>kt*t0t*_xlfn.GAMMA.DIST(Tabella2[[#This Row],[Day]]/t0t,wt+1,1,1)*_xlfn.GAMMA(wt+1)</f>
        <v>1080.7334159948655</v>
      </c>
      <c r="AA27" s="10">
        <f>kt*((Tabella2[[#This Row],[Day]]/t0t)^wt)*EXP(-(Tabella2[[#This Row],[Day]]/t0t))</f>
        <v>279.55314541438361</v>
      </c>
      <c r="AB27" s="65">
        <f>Tabella2[[#This Row],[New_Deaths_fit]]*NOT(ISBLANK(Tabella2[[#This Row],[New deaths]]))</f>
        <v>279.55314541438361</v>
      </c>
      <c r="AC27" s="10">
        <f>Tabella2[[#This Row],[New_Deaths_fit]]+CIt</f>
        <v>415.60942024325874</v>
      </c>
      <c r="AD27" s="10">
        <f>MAX(Tabella2[[#This Row],[New_Deaths_fit]]-CIt,0)</f>
        <v>143.49687058550847</v>
      </c>
      <c r="AE27" s="1"/>
      <c r="AF27" s="85" t="s">
        <v>6</v>
      </c>
      <c r="AG27" s="88">
        <f>TINV(0.05,dfd)</f>
        <v>2.0153675744437649</v>
      </c>
      <c r="AT27" s="44"/>
    </row>
    <row r="28" spans="2:46" ht="15" thickTop="1" x14ac:dyDescent="0.3">
      <c r="B28" s="9">
        <v>43905</v>
      </c>
      <c r="C28" s="4">
        <f t="shared" si="0"/>
        <v>20</v>
      </c>
      <c r="D28" s="10">
        <f>'dpc-covid19-ita-andamento-naz'!L22</f>
        <v>24747</v>
      </c>
      <c r="E28" s="30">
        <f>'dpc-covid19-ita-andamento-naz'!I22</f>
        <v>3590</v>
      </c>
      <c r="F28" s="56">
        <f>Tabella2[[#This Row],[New cases]]*NOT(ISBLANK(Tabella2[[#This Row],[New cases]]))</f>
        <v>3590</v>
      </c>
      <c r="G28" s="50">
        <f>Kn*t0n*_xlfn.GAMMA.DIST(Tabella2[[#This Row],[Day]]/t0n,wn+1,1,1)*_xlfn.GAMMA(wn+1)</f>
        <v>21465.798677750488</v>
      </c>
      <c r="H28" s="10">
        <f>Kn*((Tabella2[[#This Row],[Day]]/t0n)^wn)*EXP(-(Tabella2[[#This Row],[Day]]/t0n))</f>
        <v>3648.7667453621507</v>
      </c>
      <c r="I28" s="56">
        <f>Tabella2[[#This Row],[New_cases_fit]]*NOT(ISBLANK(Tabella2[[#This Row],[New cases]]))</f>
        <v>3648.7667453621507</v>
      </c>
      <c r="J28" s="10">
        <f>Tabella2[[#This Row],[New_cases_fit]]+CIn</f>
        <v>4801.0755294640003</v>
      </c>
      <c r="K28" s="10">
        <f>MAX(Tabella2[[#This Row],[New_cases_fit]]-CIn,0)</f>
        <v>2496.4579612603015</v>
      </c>
      <c r="L28" s="54">
        <f>'dpc-covid19-ita-andamento-naz'!G22</f>
        <v>20603</v>
      </c>
      <c r="M28" s="54">
        <f>'dpc-covid19-ita-andamento-naz'!H22</f>
        <v>2853</v>
      </c>
      <c r="N28" s="54">
        <f>Tabella2[[#This Row],[New_cases_fit]]-Tabella2[[#This Row],[New_Recovered_fit]]-Tabella2[[#This Row],[New_Deaths_fit]]</f>
        <v>2926.930850284135</v>
      </c>
      <c r="O28" s="10">
        <f>'dpc-covid19-ita-andamento-naz'!J22</f>
        <v>2335</v>
      </c>
      <c r="P28" s="48">
        <f>Tabella2[[#This Row],[Cum_recov]]-O27</f>
        <v>369</v>
      </c>
      <c r="Q28" s="60">
        <f>Tabella2[[#This Row],[New recovered]]*NOT(ISBLANK(Tabella2[[#This Row],[New recovered]]))</f>
        <v>369</v>
      </c>
      <c r="R28" s="50">
        <f>Kd*t0d*_xlfn.GAMMA.DIST(Tabella2[[#This Row],[Day]]/t0d,wd+1,1,1)*_xlfn.GAMMA(wd+1)</f>
        <v>2728.7278818592195</v>
      </c>
      <c r="S28" s="10">
        <f>Kd*((Tabella2[[#This Row],[Day]]/t0d)^wd)*EXP(-(Tabella2[[#This Row],[Day]]/t0d))</f>
        <v>393.19121889772975</v>
      </c>
      <c r="T28" s="60">
        <f>Tabella2[[#This Row],[New_Recovered_fit]]*NOT(ISBLANK(Tabella2[[#This Row],[New recovered]]))</f>
        <v>393.19121889772975</v>
      </c>
      <c r="U28" s="10">
        <f>Tabella2[[#This Row],[New_Recovered_fit]]+CId</f>
        <v>893.01095128779684</v>
      </c>
      <c r="V28" s="10">
        <f>MAX(Tabella2[[#This Row],[New_Recovered_fit]]-CId,0)</f>
        <v>0</v>
      </c>
      <c r="W28" s="10">
        <f>'dpc-covid19-ita-andamento-naz'!K22</f>
        <v>1809</v>
      </c>
      <c r="X28" s="26">
        <f>Tabella2[[#This Row],[Cum_deaths]]-W27</f>
        <v>368</v>
      </c>
      <c r="Y28" s="65">
        <f>Tabella2[[#This Row],[New deaths]]*NOT(ISBLANK(Tabella2[[#This Row],[New deaths]]))</f>
        <v>368</v>
      </c>
      <c r="Z28" s="50">
        <f>kt*t0t*_xlfn.GAMMA.DIST(Tabella2[[#This Row],[Day]]/t0t,wt+1,1,1)*_xlfn.GAMMA(wt+1)</f>
        <v>1384.6633027455402</v>
      </c>
      <c r="AA28" s="10">
        <f>kt*((Tabella2[[#This Row],[Day]]/t0t)^wt)*EXP(-(Tabella2[[#This Row],[Day]]/t0t))</f>
        <v>328.6446761802859</v>
      </c>
      <c r="AB28" s="65">
        <f>Tabella2[[#This Row],[New_Deaths_fit]]*NOT(ISBLANK(Tabella2[[#This Row],[New deaths]]))</f>
        <v>328.6446761802859</v>
      </c>
      <c r="AC28" s="10">
        <f>Tabella2[[#This Row],[New_Deaths_fit]]+CIt</f>
        <v>464.70095100916103</v>
      </c>
      <c r="AD28" s="10">
        <f>MAX(Tabella2[[#This Row],[New_Deaths_fit]]-CIt,0)</f>
        <v>192.58840135141077</v>
      </c>
      <c r="AE28" s="1"/>
      <c r="AF28" s="85" t="s">
        <v>7</v>
      </c>
      <c r="AG28" s="86">
        <f>Critical_td*SE_of_yd</f>
        <v>499.81973239006709</v>
      </c>
      <c r="AT28" s="45">
        <f>MAX($AG$38)</f>
        <v>0.97660307669138768</v>
      </c>
    </row>
    <row r="29" spans="2:46" x14ac:dyDescent="0.3">
      <c r="B29" s="9">
        <v>43906</v>
      </c>
      <c r="C29" s="4">
        <f t="shared" si="0"/>
        <v>21</v>
      </c>
      <c r="D29" s="10">
        <f>'dpc-covid19-ita-andamento-naz'!L23</f>
        <v>27980</v>
      </c>
      <c r="E29" s="30">
        <f>'dpc-covid19-ita-andamento-naz'!I23</f>
        <v>3233</v>
      </c>
      <c r="F29" s="56">
        <f>Tabella2[[#This Row],[New cases]]*NOT(ISBLANK(Tabella2[[#This Row],[New cases]]))</f>
        <v>3233</v>
      </c>
      <c r="G29" s="50">
        <f>Kn*t0n*_xlfn.GAMMA.DIST(Tabella2[[#This Row],[Day]]/t0n,wn+1,1,1)*_xlfn.GAMMA(wn+1)</f>
        <v>25269.523493608795</v>
      </c>
      <c r="H29" s="10">
        <f>Kn*((Tabella2[[#This Row],[Day]]/t0n)^wn)*EXP(-(Tabella2[[#This Row],[Day]]/t0n))</f>
        <v>3955.3787019382548</v>
      </c>
      <c r="I29" s="56">
        <f>Tabella2[[#This Row],[New_cases_fit]]*NOT(ISBLANK(Tabella2[[#This Row],[New cases]]))</f>
        <v>3955.3787019382548</v>
      </c>
      <c r="J29" s="10">
        <f>Tabella2[[#This Row],[New_cases_fit]]+CIn</f>
        <v>5107.687486040104</v>
      </c>
      <c r="K29" s="10">
        <f>MAX(Tabella2[[#This Row],[New_cases_fit]]-CIn,0)</f>
        <v>2803.0699178364057</v>
      </c>
      <c r="L29" s="54">
        <f>'dpc-covid19-ita-andamento-naz'!G23</f>
        <v>23073</v>
      </c>
      <c r="M29" s="54">
        <f>'dpc-covid19-ita-andamento-naz'!H23</f>
        <v>2470</v>
      </c>
      <c r="N29" s="54">
        <f>Tabella2[[#This Row],[New_cases_fit]]-Tabella2[[#This Row],[New_Recovered_fit]]-Tabella2[[#This Row],[New_Deaths_fit]]</f>
        <v>3145.2480693091402</v>
      </c>
      <c r="O29" s="10">
        <f>'dpc-covid19-ita-andamento-naz'!J23</f>
        <v>2749</v>
      </c>
      <c r="P29" s="48">
        <f>Tabella2[[#This Row],[Cum_recov]]-O28</f>
        <v>414</v>
      </c>
      <c r="Q29" s="60">
        <f>Tabella2[[#This Row],[New recovered]]*NOT(ISBLANK(Tabella2[[#This Row],[New recovered]]))</f>
        <v>414</v>
      </c>
      <c r="R29" s="50">
        <f>Kd*t0d*_xlfn.GAMMA.DIST(Tabella2[[#This Row],[Day]]/t0d,wd+1,1,1)*_xlfn.GAMMA(wd+1)</f>
        <v>3140.6243588619695</v>
      </c>
      <c r="S29" s="10">
        <f>Kd*((Tabella2[[#This Row],[Day]]/t0d)^wd)*EXP(-(Tabella2[[#This Row],[Day]]/t0d))</f>
        <v>430.86604080162493</v>
      </c>
      <c r="T29" s="60">
        <f>Tabella2[[#This Row],[New_Recovered_fit]]*NOT(ISBLANK(Tabella2[[#This Row],[New recovered]]))</f>
        <v>430.86604080162493</v>
      </c>
      <c r="U29" s="10">
        <f>Tabella2[[#This Row],[New_Recovered_fit]]+CId</f>
        <v>930.68577319169208</v>
      </c>
      <c r="V29" s="10">
        <f>MAX(Tabella2[[#This Row],[New_Recovered_fit]]-CId,0)</f>
        <v>0</v>
      </c>
      <c r="W29" s="10">
        <f>'dpc-covid19-ita-andamento-naz'!K23</f>
        <v>2158</v>
      </c>
      <c r="X29" s="26">
        <f>Tabella2[[#This Row],[Cum_deaths]]-W28</f>
        <v>349</v>
      </c>
      <c r="Y29" s="65">
        <f>Tabella2[[#This Row],[New deaths]]*NOT(ISBLANK(Tabella2[[#This Row],[New deaths]]))</f>
        <v>349</v>
      </c>
      <c r="Z29" s="50">
        <f>kt*t0t*_xlfn.GAMMA.DIST(Tabella2[[#This Row],[Day]]/t0t,wt+1,1,1)*_xlfn.GAMMA(wt+1)</f>
        <v>1738.5328122879873</v>
      </c>
      <c r="AA29" s="10">
        <f>kt*((Tabella2[[#This Row],[Day]]/t0t)^wt)*EXP(-(Tabella2[[#This Row],[Day]]/t0t))</f>
        <v>379.26459182748982</v>
      </c>
      <c r="AB29" s="65">
        <f>Tabella2[[#This Row],[New_Deaths_fit]]*NOT(ISBLANK(Tabella2[[#This Row],[New deaths]]))</f>
        <v>379.26459182748982</v>
      </c>
      <c r="AC29" s="10">
        <f>Tabella2[[#This Row],[New_Deaths_fit]]+CIt</f>
        <v>515.32086665636496</v>
      </c>
      <c r="AD29" s="10">
        <f>MAX(Tabella2[[#This Row],[New_Deaths_fit]]-CIt,0)</f>
        <v>243.20831699861469</v>
      </c>
      <c r="AE29" s="1"/>
      <c r="AF29" s="89" t="s">
        <v>69</v>
      </c>
      <c r="AG29" s="86">
        <f>Kd*(wd^wd)*EXP(-wd)</f>
        <v>264896.66418187489</v>
      </c>
      <c r="AT29" s="46">
        <f>COUNT($AG$32,$AG$33,$AG$34)</f>
        <v>3</v>
      </c>
    </row>
    <row r="30" spans="2:46" x14ac:dyDescent="0.3">
      <c r="B30" s="9">
        <v>43907</v>
      </c>
      <c r="C30" s="4">
        <f t="shared" si="0"/>
        <v>22</v>
      </c>
      <c r="D30" s="10">
        <f>'dpc-covid19-ita-andamento-naz'!L24</f>
        <v>31506</v>
      </c>
      <c r="E30" s="30">
        <f>'dpc-covid19-ita-andamento-naz'!I24</f>
        <v>3526</v>
      </c>
      <c r="F30" s="56">
        <f>Tabella2[[#This Row],[New cases]]*NOT(ISBLANK(Tabella2[[#This Row],[New cases]]))</f>
        <v>3526</v>
      </c>
      <c r="G30" s="50">
        <f>Kn*t0n*_xlfn.GAMMA.DIST(Tabella2[[#This Row],[Day]]/t0n,wn+1,1,1)*_xlfn.GAMMA(wn+1)</f>
        <v>29369.245978759023</v>
      </c>
      <c r="H30" s="10">
        <f>Kn*((Tabella2[[#This Row],[Day]]/t0n)^wn)*EXP(-(Tabella2[[#This Row],[Day]]/t0n))</f>
        <v>4240.0861789373339</v>
      </c>
      <c r="I30" s="56">
        <f>Tabella2[[#This Row],[New_cases_fit]]*NOT(ISBLANK(Tabella2[[#This Row],[New cases]]))</f>
        <v>4240.0861789373339</v>
      </c>
      <c r="J30" s="10">
        <f>Tabella2[[#This Row],[New_cases_fit]]+CIn</f>
        <v>5392.3949630391835</v>
      </c>
      <c r="K30" s="10">
        <f>MAX(Tabella2[[#This Row],[New_cases_fit]]-CIn,0)</f>
        <v>3087.7773948354848</v>
      </c>
      <c r="L30" s="54">
        <f>'dpc-covid19-ita-andamento-naz'!G24</f>
        <v>26062</v>
      </c>
      <c r="M30" s="54">
        <f>'dpc-covid19-ita-andamento-naz'!H24</f>
        <v>2989</v>
      </c>
      <c r="N30" s="54">
        <f>Tabella2[[#This Row],[New_cases_fit]]-Tabella2[[#This Row],[New_Recovered_fit]]-Tabella2[[#This Row],[New_Deaths_fit]]</f>
        <v>3339.5780602064501</v>
      </c>
      <c r="O30" s="10">
        <f>'dpc-covid19-ita-andamento-naz'!J24</f>
        <v>2941</v>
      </c>
      <c r="P30" s="48">
        <f>Tabella2[[#This Row],[Cum_recov]]-O29</f>
        <v>192</v>
      </c>
      <c r="Q30" s="60">
        <f>Tabella2[[#This Row],[New recovered]]*NOT(ISBLANK(Tabella2[[#This Row],[New recovered]]))</f>
        <v>192</v>
      </c>
      <c r="R30" s="50">
        <f>Kd*t0d*_xlfn.GAMMA.DIST(Tabella2[[#This Row],[Day]]/t0d,wd+1,1,1)*_xlfn.GAMMA(wd+1)</f>
        <v>3590.9862908335485</v>
      </c>
      <c r="S30" s="10">
        <f>Kd*((Tabella2[[#This Row],[Day]]/t0d)^wd)*EXP(-(Tabella2[[#This Row],[Day]]/t0d))</f>
        <v>470.11986052086201</v>
      </c>
      <c r="T30" s="60">
        <f>Tabella2[[#This Row],[New_Recovered_fit]]*NOT(ISBLANK(Tabella2[[#This Row],[New recovered]]))</f>
        <v>470.11986052086201</v>
      </c>
      <c r="U30" s="10">
        <f>Tabella2[[#This Row],[New_Recovered_fit]]+CId</f>
        <v>969.93959291092915</v>
      </c>
      <c r="V30" s="10">
        <f>MAX(Tabella2[[#This Row],[New_Recovered_fit]]-CId,0)</f>
        <v>0</v>
      </c>
      <c r="W30" s="10">
        <f>'dpc-covid19-ita-andamento-naz'!K24</f>
        <v>2503</v>
      </c>
      <c r="X30" s="26">
        <f>Tabella2[[#This Row],[Cum_deaths]]-W29</f>
        <v>345</v>
      </c>
      <c r="Y30" s="65">
        <f>Tabella2[[#This Row],[New deaths]]*NOT(ISBLANK(Tabella2[[#This Row],[New deaths]]))</f>
        <v>345</v>
      </c>
      <c r="Z30" s="50">
        <f>kt*t0t*_xlfn.GAMMA.DIST(Tabella2[[#This Row],[Day]]/t0t,wt+1,1,1)*_xlfn.GAMMA(wt+1)</f>
        <v>2143.3604844308065</v>
      </c>
      <c r="AA30" s="10">
        <f>kt*((Tabella2[[#This Row],[Day]]/t0t)^wt)*EXP(-(Tabella2[[#This Row],[Day]]/t0t))</f>
        <v>430.38825821002183</v>
      </c>
      <c r="AB30" s="65">
        <f>Tabella2[[#This Row],[New_Deaths_fit]]*NOT(ISBLANK(Tabella2[[#This Row],[New deaths]]))</f>
        <v>430.38825821002183</v>
      </c>
      <c r="AC30" s="10">
        <f>Tabella2[[#This Row],[New_Deaths_fit]]+CIt</f>
        <v>566.44453303889691</v>
      </c>
      <c r="AD30" s="10">
        <f>MAX(Tabella2[[#This Row],[New_Deaths_fit]]-CIt,0)</f>
        <v>294.3319833811467</v>
      </c>
      <c r="AE30" s="1"/>
      <c r="AF30" s="89" t="s">
        <v>70</v>
      </c>
      <c r="AG30" s="90" t="e">
        <f>_xlfn.XLOOKUP(ROUND(wd*t0d,0),Tabella2[Day],Tabella2[Date])</f>
        <v>#N/A</v>
      </c>
      <c r="AT30" s="46">
        <f>{32767;32767;0.000001;0;FALSE;FALSE;TRUE;1;1;1;0.0001;TRUE}</f>
        <v>32767</v>
      </c>
    </row>
    <row r="31" spans="2:46" x14ac:dyDescent="0.3">
      <c r="B31" s="9">
        <v>43908</v>
      </c>
      <c r="C31" s="4">
        <f t="shared" si="0"/>
        <v>23</v>
      </c>
      <c r="D31" s="10">
        <f>'dpc-covid19-ita-andamento-naz'!L25</f>
        <v>35713</v>
      </c>
      <c r="E31" s="30">
        <f>'dpc-covid19-ita-andamento-naz'!I25</f>
        <v>4207</v>
      </c>
      <c r="F31" s="56">
        <f>Tabella2[[#This Row],[New cases]]*NOT(ISBLANK(Tabella2[[#This Row],[New cases]]))</f>
        <v>4207</v>
      </c>
      <c r="G31" s="50">
        <f>Kn*t0n*_xlfn.GAMMA.DIST(Tabella2[[#This Row],[Day]]/t0n,wn+1,1,1)*_xlfn.GAMMA(wn+1)</f>
        <v>33741.1642961045</v>
      </c>
      <c r="H31" s="10">
        <f>Kn*((Tabella2[[#This Row],[Day]]/t0n)^wn)*EXP(-(Tabella2[[#This Row],[Day]]/t0n))</f>
        <v>4499.2253983212295</v>
      </c>
      <c r="I31" s="56">
        <f>Tabella2[[#This Row],[New_cases_fit]]*NOT(ISBLANK(Tabella2[[#This Row],[New cases]]))</f>
        <v>4499.2253983212295</v>
      </c>
      <c r="J31" s="10">
        <f>Tabella2[[#This Row],[New_cases_fit]]+CIn</f>
        <v>5651.5341824230782</v>
      </c>
      <c r="K31" s="10">
        <f>MAX(Tabella2[[#This Row],[New_cases_fit]]-CIn,0)</f>
        <v>3346.9166142193803</v>
      </c>
      <c r="L31" s="54">
        <f>'dpc-covid19-ita-andamento-naz'!G25</f>
        <v>28710</v>
      </c>
      <c r="M31" s="54">
        <f>'dpc-covid19-ita-andamento-naz'!H25</f>
        <v>2648</v>
      </c>
      <c r="N31" s="54">
        <f>Tabella2[[#This Row],[New_cases_fit]]-Tabella2[[#This Row],[New_Recovered_fit]]-Tabella2[[#This Row],[New_Deaths_fit]]</f>
        <v>3507.3028462755315</v>
      </c>
      <c r="O31" s="10">
        <f>'dpc-covid19-ita-andamento-naz'!J25</f>
        <v>4025</v>
      </c>
      <c r="P31" s="48">
        <f>Tabella2[[#This Row],[Cum_recov]]-O30</f>
        <v>1084</v>
      </c>
      <c r="Q31" s="60">
        <f>Tabella2[[#This Row],[New recovered]]*NOT(ISBLANK(Tabella2[[#This Row],[New recovered]]))</f>
        <v>1084</v>
      </c>
      <c r="R31" s="50">
        <f>Kd*t0d*_xlfn.GAMMA.DIST(Tabella2[[#This Row],[Day]]/t0d,wd+1,1,1)*_xlfn.GAMMA(wd+1)</f>
        <v>4081.385947009343</v>
      </c>
      <c r="S31" s="10">
        <f>Kd*((Tabella2[[#This Row],[Day]]/t0d)^wd)*EXP(-(Tabella2[[#This Row],[Day]]/t0d))</f>
        <v>510.93929587034415</v>
      </c>
      <c r="T31" s="60">
        <f>Tabella2[[#This Row],[New_Recovered_fit]]*NOT(ISBLANK(Tabella2[[#This Row],[New recovered]]))</f>
        <v>510.93929587034415</v>
      </c>
      <c r="U31" s="10">
        <f>Tabella2[[#This Row],[New_Recovered_fit]]+CId</f>
        <v>1010.7590282604112</v>
      </c>
      <c r="V31" s="10">
        <f>MAX(Tabella2[[#This Row],[New_Recovered_fit]]-CId,0)</f>
        <v>11.119563480277066</v>
      </c>
      <c r="W31" s="10">
        <f>'dpc-covid19-ita-andamento-naz'!K25</f>
        <v>2978</v>
      </c>
      <c r="X31" s="26">
        <f>Tabella2[[#This Row],[Cum_deaths]]-W30</f>
        <v>475</v>
      </c>
      <c r="Y31" s="65">
        <f>Tabella2[[#This Row],[New deaths]]*NOT(ISBLANK(Tabella2[[#This Row],[New deaths]]))</f>
        <v>475</v>
      </c>
      <c r="Z31" s="50">
        <f>kt*t0t*_xlfn.GAMMA.DIST(Tabella2[[#This Row],[Day]]/t0t,wt+1,1,1)*_xlfn.GAMMA(wt+1)</f>
        <v>2599.1327307689835</v>
      </c>
      <c r="AA31" s="10">
        <f>kt*((Tabella2[[#This Row],[Day]]/t0t)^wt)*EXP(-(Tabella2[[#This Row],[Day]]/t0t))</f>
        <v>480.98325617535363</v>
      </c>
      <c r="AB31" s="65">
        <f>Tabella2[[#This Row],[New_Deaths_fit]]*NOT(ISBLANK(Tabella2[[#This Row],[New deaths]]))</f>
        <v>480.98325617535363</v>
      </c>
      <c r="AC31" s="10">
        <f>Tabella2[[#This Row],[New_Deaths_fit]]+CIt</f>
        <v>617.03953100422882</v>
      </c>
      <c r="AD31" s="10">
        <f>MAX(Tabella2[[#This Row],[New_Deaths_fit]]-CIt,0)</f>
        <v>344.9269813464785</v>
      </c>
      <c r="AE31" s="1"/>
      <c r="AF31" s="23" t="s">
        <v>53</v>
      </c>
      <c r="AG31" s="69" t="s">
        <v>96</v>
      </c>
      <c r="AT31" s="46">
        <f>{0;0;1;100;0;FALSE;TRUE;0.075;0;0;FALSE;30}</f>
        <v>0</v>
      </c>
    </row>
    <row r="32" spans="2:46" x14ac:dyDescent="0.3">
      <c r="B32" s="9">
        <v>43909</v>
      </c>
      <c r="C32" s="4">
        <f t="shared" si="0"/>
        <v>24</v>
      </c>
      <c r="D32" s="10">
        <f>'dpc-covid19-ita-andamento-naz'!L26</f>
        <v>41035</v>
      </c>
      <c r="E32" s="30">
        <f>'dpc-covid19-ita-andamento-naz'!I26</f>
        <v>5322</v>
      </c>
      <c r="F32" s="56">
        <f>Tabella2[[#This Row],[New cases]]*NOT(ISBLANK(Tabella2[[#This Row],[New cases]]))</f>
        <v>5322</v>
      </c>
      <c r="G32" s="50">
        <f>Kn*t0n*_xlfn.GAMMA.DIST(Tabella2[[#This Row],[Day]]/t0n,wn+1,1,1)*_xlfn.GAMMA(wn+1)</f>
        <v>38358.207022803355</v>
      </c>
      <c r="H32" s="10">
        <f>Kn*((Tabella2[[#This Row],[Day]]/t0n)^wn)*EXP(-(Tabella2[[#This Row],[Day]]/t0n))</f>
        <v>4729.9213796272743</v>
      </c>
      <c r="I32" s="56">
        <f>Tabella2[[#This Row],[New_cases_fit]]*NOT(ISBLANK(Tabella2[[#This Row],[New cases]]))</f>
        <v>4729.9213796272743</v>
      </c>
      <c r="J32" s="10">
        <f>Tabella2[[#This Row],[New_cases_fit]]+CIn</f>
        <v>5882.2301637291239</v>
      </c>
      <c r="K32" s="10">
        <f>MAX(Tabella2[[#This Row],[New_cases_fit]]-CIn,0)</f>
        <v>3577.6125955254251</v>
      </c>
      <c r="L32" s="54">
        <f>'dpc-covid19-ita-andamento-naz'!G26</f>
        <v>33190</v>
      </c>
      <c r="M32" s="54">
        <f>'dpc-covid19-ita-andamento-naz'!H26</f>
        <v>4480</v>
      </c>
      <c r="N32" s="54">
        <f>Tabella2[[#This Row],[New_cases_fit]]-Tabella2[[#This Row],[New_Recovered_fit]]-Tabella2[[#This Row],[New_Deaths_fit]]</f>
        <v>3646.5597470412408</v>
      </c>
      <c r="O32" s="10">
        <f>'dpc-covid19-ita-andamento-naz'!J26</f>
        <v>4440</v>
      </c>
      <c r="P32" s="48">
        <f>Tabella2[[#This Row],[Cum_recov]]-O31</f>
        <v>415</v>
      </c>
      <c r="Q32" s="60">
        <f>Tabella2[[#This Row],[New recovered]]*NOT(ISBLANK(Tabella2[[#This Row],[New recovered]]))</f>
        <v>415</v>
      </c>
      <c r="R32" s="50">
        <f>Kd*t0d*_xlfn.GAMMA.DIST(Tabella2[[#This Row],[Day]]/t0d,wd+1,1,1)*_xlfn.GAMMA(wd+1)</f>
        <v>4613.382432702012</v>
      </c>
      <c r="S32" s="10">
        <f>Kd*((Tabella2[[#This Row],[Day]]/t0d)^wd)*EXP(-(Tabella2[[#This Row],[Day]]/t0d))</f>
        <v>553.31139470839673</v>
      </c>
      <c r="T32" s="60">
        <f>Tabella2[[#This Row],[New_Recovered_fit]]*NOT(ISBLANK(Tabella2[[#This Row],[New recovered]]))</f>
        <v>553.31139470839673</v>
      </c>
      <c r="U32" s="10">
        <f>Tabella2[[#This Row],[New_Recovered_fit]]+CId</f>
        <v>1053.1311270984638</v>
      </c>
      <c r="V32" s="10">
        <f>MAX(Tabella2[[#This Row],[New_Recovered_fit]]-CId,0)</f>
        <v>53.491662318329645</v>
      </c>
      <c r="W32" s="10">
        <f>'dpc-covid19-ita-andamento-naz'!K26</f>
        <v>3405</v>
      </c>
      <c r="X32" s="26">
        <f>Tabella2[[#This Row],[Cum_deaths]]-W31</f>
        <v>427</v>
      </c>
      <c r="Y32" s="65">
        <f>Tabella2[[#This Row],[New deaths]]*NOT(ISBLANK(Tabella2[[#This Row],[New deaths]]))</f>
        <v>427</v>
      </c>
      <c r="Z32" s="50">
        <f>kt*t0t*_xlfn.GAMMA.DIST(Tabella2[[#This Row],[Day]]/t0t,wt+1,1,1)*_xlfn.GAMMA(wt+1)</f>
        <v>3104.8168908481084</v>
      </c>
      <c r="AA32" s="10">
        <f>kt*((Tabella2[[#This Row],[Day]]/t0t)^wt)*EXP(-(Tabella2[[#This Row],[Day]]/t0t))</f>
        <v>530.05023787763673</v>
      </c>
      <c r="AB32" s="65">
        <f>Tabella2[[#This Row],[New_Deaths_fit]]*NOT(ISBLANK(Tabella2[[#This Row],[New deaths]]))</f>
        <v>530.05023787763673</v>
      </c>
      <c r="AC32" s="10">
        <f>Tabella2[[#This Row],[New_Deaths_fit]]+CIt</f>
        <v>666.10651270651192</v>
      </c>
      <c r="AD32" s="10">
        <f>MAX(Tabella2[[#This Row],[New_Deaths_fit]]-CIt,0)</f>
        <v>393.9939630487616</v>
      </c>
      <c r="AE32" s="1"/>
      <c r="AF32" s="70" t="s">
        <v>108</v>
      </c>
      <c r="AG32" s="71">
        <v>0.47598161106866466</v>
      </c>
      <c r="AT32" s="46"/>
    </row>
    <row r="33" spans="2:46" ht="16.2" thickBot="1" x14ac:dyDescent="0.4">
      <c r="B33" s="9">
        <v>43910</v>
      </c>
      <c r="C33" s="4">
        <f t="shared" si="0"/>
        <v>25</v>
      </c>
      <c r="D33" s="10">
        <f>'dpc-covid19-ita-andamento-naz'!L27</f>
        <v>47021</v>
      </c>
      <c r="E33" s="30">
        <f>'dpc-covid19-ita-andamento-naz'!I27</f>
        <v>5986</v>
      </c>
      <c r="F33" s="56">
        <f>Tabella2[[#This Row],[New cases]]*NOT(ISBLANK(Tabella2[[#This Row],[New cases]]))</f>
        <v>5986</v>
      </c>
      <c r="G33" s="50">
        <f>Kn*t0n*_xlfn.GAMMA.DIST(Tabella2[[#This Row],[Day]]/t0n,wn+1,1,1)*_xlfn.GAMMA(wn+1)</f>
        <v>43190.818641041711</v>
      </c>
      <c r="H33" s="10">
        <f>Kn*((Tabella2[[#This Row],[Day]]/t0n)^wn)*EXP(-(Tabella2[[#This Row],[Day]]/t0n))</f>
        <v>4930.0769764500619</v>
      </c>
      <c r="I33" s="56">
        <f>Tabella2[[#This Row],[New_cases_fit]]*NOT(ISBLANK(Tabella2[[#This Row],[New cases]]))</f>
        <v>4930.0769764500619</v>
      </c>
      <c r="J33" s="10">
        <f>Tabella2[[#This Row],[New_cases_fit]]+CIn</f>
        <v>6082.3857605519115</v>
      </c>
      <c r="K33" s="10">
        <f>MAX(Tabella2[[#This Row],[New_cases_fit]]-CIn,0)</f>
        <v>3777.7681923482128</v>
      </c>
      <c r="L33" s="54">
        <f>'dpc-covid19-ita-andamento-naz'!G27</f>
        <v>37860</v>
      </c>
      <c r="M33" s="54">
        <f>'dpc-covid19-ita-andamento-naz'!H27</f>
        <v>4670</v>
      </c>
      <c r="N33" s="54">
        <f>Tabella2[[#This Row],[New_cases_fit]]-Tabella2[[#This Row],[New_Recovered_fit]]-Tabella2[[#This Row],[New_Deaths_fit]]</f>
        <v>3756.1952930139678</v>
      </c>
      <c r="O33" s="10">
        <f>'dpc-covid19-ita-andamento-naz'!J27</f>
        <v>5129</v>
      </c>
      <c r="P33" s="48">
        <f>Tabella2[[#This Row],[Cum_recov]]-O32</f>
        <v>689</v>
      </c>
      <c r="Q33" s="60">
        <f>Tabella2[[#This Row],[New recovered]]*NOT(ISBLANK(Tabella2[[#This Row],[New recovered]]))</f>
        <v>689</v>
      </c>
      <c r="R33" s="50">
        <f>Kd*t0d*_xlfn.GAMMA.DIST(Tabella2[[#This Row],[Day]]/t0d,wd+1,1,1)*_xlfn.GAMMA(wd+1)</f>
        <v>5188.5221007575692</v>
      </c>
      <c r="S33" s="10">
        <f>Kd*((Tabella2[[#This Row],[Day]]/t0d)^wd)*EXP(-(Tabella2[[#This Row],[Day]]/t0d))</f>
        <v>597.22359858873426</v>
      </c>
      <c r="T33" s="60">
        <f>Tabella2[[#This Row],[New_Recovered_fit]]*NOT(ISBLANK(Tabella2[[#This Row],[New recovered]]))</f>
        <v>597.22359858873426</v>
      </c>
      <c r="U33" s="10">
        <f>Tabella2[[#This Row],[New_Recovered_fit]]+CId</f>
        <v>1097.0433309788014</v>
      </c>
      <c r="V33" s="10">
        <f>MAX(Tabella2[[#This Row],[New_Recovered_fit]]-CId,0)</f>
        <v>97.403866198667174</v>
      </c>
      <c r="W33" s="10">
        <f>'dpc-covid19-ita-andamento-naz'!K27</f>
        <v>4032</v>
      </c>
      <c r="X33" s="26">
        <f>Tabella2[[#This Row],[Cum_deaths]]-W32</f>
        <v>627</v>
      </c>
      <c r="Y33" s="65">
        <f>Tabella2[[#This Row],[New deaths]]*NOT(ISBLANK(Tabella2[[#This Row],[New deaths]]))</f>
        <v>627</v>
      </c>
      <c r="Z33" s="50">
        <f>kt*t0t*_xlfn.GAMMA.DIST(Tabella2[[#This Row],[Day]]/t0t,wt+1,1,1)*_xlfn.GAMMA(wt+1)</f>
        <v>3658.4124117209003</v>
      </c>
      <c r="AA33" s="10">
        <f>kt*((Tabella2[[#This Row],[Day]]/t0t)^wt)*EXP(-(Tabella2[[#This Row],[Day]]/t0t))</f>
        <v>576.65808484735953</v>
      </c>
      <c r="AB33" s="65">
        <f>Tabella2[[#This Row],[New_Deaths_fit]]*NOT(ISBLANK(Tabella2[[#This Row],[New deaths]]))</f>
        <v>576.65808484735953</v>
      </c>
      <c r="AC33" s="10">
        <f>Tabella2[[#This Row],[New_Deaths_fit]]+CIt</f>
        <v>712.71435967623461</v>
      </c>
      <c r="AD33" s="10">
        <f>MAX(Tabella2[[#This Row],[New_Deaths_fit]]-CIt,0)</f>
        <v>440.6018100184844</v>
      </c>
      <c r="AE33" s="1"/>
      <c r="AF33" s="70" t="s">
        <v>86</v>
      </c>
      <c r="AG33" s="71">
        <v>4.589669166567492</v>
      </c>
      <c r="AT33" s="47"/>
    </row>
    <row r="34" spans="2:46" x14ac:dyDescent="0.3">
      <c r="B34" s="9">
        <v>43911</v>
      </c>
      <c r="C34" s="4">
        <f t="shared" si="0"/>
        <v>26</v>
      </c>
      <c r="D34" s="10">
        <f>'dpc-covid19-ita-andamento-naz'!L28</f>
        <v>53578</v>
      </c>
      <c r="E34" s="30">
        <f>'dpc-covid19-ita-andamento-naz'!I28</f>
        <v>6557</v>
      </c>
      <c r="F34" s="56">
        <f>Tabella2[[#This Row],[New cases]]*NOT(ISBLANK(Tabella2[[#This Row],[New cases]]))</f>
        <v>6557</v>
      </c>
      <c r="G34" s="50">
        <f>Kn*t0n*_xlfn.GAMMA.DIST(Tabella2[[#This Row],[Day]]/t0n,wn+1,1,1)*_xlfn.GAMMA(wn+1)</f>
        <v>48207.721982163923</v>
      </c>
      <c r="H34" s="10">
        <f>Kn*((Tabella2[[#This Row],[Day]]/t0n)^wn)*EXP(-(Tabella2[[#This Row],[Day]]/t0n))</f>
        <v>5098.3387031947823</v>
      </c>
      <c r="I34" s="56">
        <f>Tabella2[[#This Row],[New_cases_fit]]*NOT(ISBLANK(Tabella2[[#This Row],[New cases]]))</f>
        <v>5098.3387031947823</v>
      </c>
      <c r="J34" s="10">
        <f>Tabella2[[#This Row],[New_cases_fit]]+CIn</f>
        <v>6250.6474872966319</v>
      </c>
      <c r="K34" s="10">
        <f>MAX(Tabella2[[#This Row],[New_cases_fit]]-CIn,0)</f>
        <v>3946.0299190929331</v>
      </c>
      <c r="L34" s="54">
        <f>'dpc-covid19-ita-andamento-naz'!G28</f>
        <v>42681</v>
      </c>
      <c r="M34" s="54">
        <f>'dpc-covid19-ita-andamento-naz'!H28</f>
        <v>4821</v>
      </c>
      <c r="N34" s="54">
        <f>Tabella2[[#This Row],[New_cases_fit]]-Tabella2[[#This Row],[New_Recovered_fit]]-Tabella2[[#This Row],[New_Deaths_fit]]</f>
        <v>3835.7026944898957</v>
      </c>
      <c r="O34" s="10">
        <f>'dpc-covid19-ita-andamento-naz'!J28</f>
        <v>6072</v>
      </c>
      <c r="P34" s="48">
        <f>Tabella2[[#This Row],[Cum_recov]]-O33</f>
        <v>943</v>
      </c>
      <c r="Q34" s="60">
        <f>Tabella2[[#This Row],[New recovered]]*NOT(ISBLANK(Tabella2[[#This Row],[New recovered]]))</f>
        <v>943</v>
      </c>
      <c r="R34" s="50">
        <f>Kd*t0d*_xlfn.GAMMA.DIST(Tabella2[[#This Row],[Day]]/t0d,wd+1,1,1)*_xlfn.GAMMA(wd+1)</f>
        <v>5808.3389290027235</v>
      </c>
      <c r="S34" s="10">
        <f>Kd*((Tabella2[[#This Row],[Day]]/t0d)^wd)*EXP(-(Tabella2[[#This Row],[Day]]/t0d))</f>
        <v>642.66371095619377</v>
      </c>
      <c r="T34" s="60">
        <f>Tabella2[[#This Row],[New_Recovered_fit]]*NOT(ISBLANK(Tabella2[[#This Row],[New recovered]]))</f>
        <v>642.66371095619377</v>
      </c>
      <c r="U34" s="10">
        <f>Tabella2[[#This Row],[New_Recovered_fit]]+CId</f>
        <v>1142.4834433462609</v>
      </c>
      <c r="V34" s="10">
        <f>MAX(Tabella2[[#This Row],[New_Recovered_fit]]-CId,0)</f>
        <v>142.84397856612668</v>
      </c>
      <c r="W34" s="10">
        <f>'dpc-covid19-ita-andamento-naz'!K28</f>
        <v>4825</v>
      </c>
      <c r="X34" s="26">
        <f>Tabella2[[#This Row],[Cum_deaths]]-W33</f>
        <v>793</v>
      </c>
      <c r="Y34" s="65">
        <f>Tabella2[[#This Row],[New deaths]]*NOT(ISBLANK(Tabella2[[#This Row],[New deaths]]))</f>
        <v>793</v>
      </c>
      <c r="Z34" s="50">
        <f>kt*t0t*_xlfn.GAMMA.DIST(Tabella2[[#This Row],[Day]]/t0t,wt+1,1,1)*_xlfn.GAMMA(wt+1)</f>
        <v>4257.0338643669902</v>
      </c>
      <c r="AA34" s="10">
        <f>kt*((Tabella2[[#This Row],[Day]]/t0t)^wt)*EXP(-(Tabella2[[#This Row],[Day]]/t0t))</f>
        <v>619.97229774869299</v>
      </c>
      <c r="AB34" s="65">
        <f>Tabella2[[#This Row],[New_Deaths_fit]]*NOT(ISBLANK(Tabella2[[#This Row],[New deaths]]))</f>
        <v>619.97229774869299</v>
      </c>
      <c r="AC34" s="10">
        <f>Tabella2[[#This Row],[New_Deaths_fit]]+CIt</f>
        <v>756.02857257756818</v>
      </c>
      <c r="AD34" s="10">
        <f>MAX(Tabella2[[#This Row],[New_Deaths_fit]]-CIt,0)</f>
        <v>483.91602291981786</v>
      </c>
      <c r="AE34" s="1"/>
      <c r="AF34" s="70" t="s">
        <v>1</v>
      </c>
      <c r="AG34" s="71">
        <v>7.4018518184477351</v>
      </c>
    </row>
    <row r="35" spans="2:46" x14ac:dyDescent="0.3">
      <c r="B35" s="9">
        <v>43912</v>
      </c>
      <c r="C35" s="4">
        <f t="shared" si="0"/>
        <v>27</v>
      </c>
      <c r="D35" s="10">
        <f>'dpc-covid19-ita-andamento-naz'!L29</f>
        <v>59138</v>
      </c>
      <c r="E35" s="30">
        <f>'dpc-covid19-ita-andamento-naz'!I29</f>
        <v>5560</v>
      </c>
      <c r="F35" s="56">
        <f>Tabella2[[#This Row],[New cases]]*NOT(ISBLANK(Tabella2[[#This Row],[New cases]]))</f>
        <v>5560</v>
      </c>
      <c r="G35" s="50">
        <f>Kn*t0n*_xlfn.GAMMA.DIST(Tabella2[[#This Row],[Day]]/t0n,wn+1,1,1)*_xlfn.GAMMA(wn+1)</f>
        <v>53376.63722328622</v>
      </c>
      <c r="H35" s="10">
        <f>Kn*((Tabella2[[#This Row],[Day]]/t0n)^wn)*EXP(-(Tabella2[[#This Row],[Day]]/t0n))</f>
        <v>5234.0449029012634</v>
      </c>
      <c r="I35" s="56">
        <f>Tabella2[[#This Row],[New_cases_fit]]*NOT(ISBLANK(Tabella2[[#This Row],[New cases]]))</f>
        <v>5234.0449029012634</v>
      </c>
      <c r="J35" s="10">
        <f>Tabella2[[#This Row],[New_cases_fit]]+CIn</f>
        <v>6386.353687003113</v>
      </c>
      <c r="K35" s="10">
        <f>MAX(Tabella2[[#This Row],[New_cases_fit]]-CIn,0)</f>
        <v>4081.7361187994143</v>
      </c>
      <c r="L35" s="54">
        <f>'dpc-covid19-ita-andamento-naz'!G29</f>
        <v>46638</v>
      </c>
      <c r="M35" s="54">
        <f>'dpc-covid19-ita-andamento-naz'!H29</f>
        <v>3957</v>
      </c>
      <c r="N35" s="54">
        <f>Tabella2[[#This Row],[New_cases_fit]]-Tabella2[[#This Row],[New_Recovered_fit]]-Tabella2[[#This Row],[New_Deaths_fit]]</f>
        <v>3885.1488885969006</v>
      </c>
      <c r="O35" s="10">
        <f>'dpc-covid19-ita-andamento-naz'!J29</f>
        <v>7024</v>
      </c>
      <c r="P35" s="48">
        <f>Tabella2[[#This Row],[Cum_recov]]-O34</f>
        <v>952</v>
      </c>
      <c r="Q35" s="60">
        <f>Tabella2[[#This Row],[New recovered]]*NOT(ISBLANK(Tabella2[[#This Row],[New recovered]]))</f>
        <v>952</v>
      </c>
      <c r="R35" s="50">
        <f>Kd*t0d*_xlfn.GAMMA.DIST(Tabella2[[#This Row],[Day]]/t0d,wd+1,1,1)*_xlfn.GAMMA(wd+1)</f>
        <v>6474.3548678505977</v>
      </c>
      <c r="S35" s="10">
        <f>Kd*((Tabella2[[#This Row],[Day]]/t0d)^wd)*EXP(-(Tabella2[[#This Row],[Day]]/t0d))</f>
        <v>689.61986915960824</v>
      </c>
      <c r="T35" s="60">
        <f>Tabella2[[#This Row],[New_Recovered_fit]]*NOT(ISBLANK(Tabella2[[#This Row],[New recovered]]))</f>
        <v>689.61986915960824</v>
      </c>
      <c r="U35" s="10">
        <f>Tabella2[[#This Row],[New_Recovered_fit]]+CId</f>
        <v>1189.4396015496754</v>
      </c>
      <c r="V35" s="10">
        <f>MAX(Tabella2[[#This Row],[New_Recovered_fit]]-CId,0)</f>
        <v>189.80013676954115</v>
      </c>
      <c r="W35" s="10">
        <f>'dpc-covid19-ita-andamento-naz'!K29</f>
        <v>5476</v>
      </c>
      <c r="X35" s="26">
        <f>Tabella2[[#This Row],[Cum_deaths]]-W34</f>
        <v>651</v>
      </c>
      <c r="Y35" s="65">
        <f>Tabella2[[#This Row],[New deaths]]*NOT(ISBLANK(Tabella2[[#This Row],[New deaths]]))</f>
        <v>651</v>
      </c>
      <c r="Z35" s="50">
        <f>kt*t0t*_xlfn.GAMMA.DIST(Tabella2[[#This Row],[Day]]/t0t,wt+1,1,1)*_xlfn.GAMMA(wt+1)</f>
        <v>4897.0187463020611</v>
      </c>
      <c r="AA35" s="10">
        <f>kt*((Tabella2[[#This Row],[Day]]/t0t)^wt)*EXP(-(Tabella2[[#This Row],[Day]]/t0t))</f>
        <v>659.27614514475454</v>
      </c>
      <c r="AB35" s="65">
        <f>Tabella2[[#This Row],[New_Deaths_fit]]*NOT(ISBLANK(Tabella2[[#This Row],[New deaths]]))</f>
        <v>659.27614514475454</v>
      </c>
      <c r="AC35" s="10">
        <f>Tabella2[[#This Row],[New_Deaths_fit]]+CIt</f>
        <v>795.33241997362961</v>
      </c>
      <c r="AD35" s="10">
        <f>MAX(Tabella2[[#This Row],[New_Deaths_fit]]-CIt,0)</f>
        <v>523.21987031587946</v>
      </c>
      <c r="AF35" s="72" t="s">
        <v>2</v>
      </c>
      <c r="AG35" s="35">
        <f>AVERAGE(Tabella2[New deaths])</f>
        <v>414.06382978723406</v>
      </c>
      <c r="AJ35" s="1"/>
    </row>
    <row r="36" spans="2:46" x14ac:dyDescent="0.3">
      <c r="B36" s="22">
        <v>43913</v>
      </c>
      <c r="C36" s="4">
        <f t="shared" si="0"/>
        <v>28</v>
      </c>
      <c r="D36" s="10">
        <f>'dpc-covid19-ita-andamento-naz'!L30</f>
        <v>63927</v>
      </c>
      <c r="E36" s="30">
        <f>'dpc-covid19-ita-andamento-naz'!I30</f>
        <v>4789</v>
      </c>
      <c r="F36" s="56">
        <f>Tabella2[[#This Row],[New cases]]*NOT(ISBLANK(Tabella2[[#This Row],[New cases]]))</f>
        <v>4789</v>
      </c>
      <c r="G36" s="50">
        <f>Kn*t0n*_xlfn.GAMMA.DIST(Tabella2[[#This Row],[Day]]/t0n,wn+1,1,1)*_xlfn.GAMMA(wn+1)</f>
        <v>58664.942358632987</v>
      </c>
      <c r="H36" s="10">
        <f>Kn*((Tabella2[[#This Row],[Day]]/t0n)^wn)*EXP(-(Tabella2[[#This Row],[Day]]/t0n))</f>
        <v>5337.1613271794922</v>
      </c>
      <c r="I36" s="56">
        <f>Tabella2[[#This Row],[New_cases_fit]]*NOT(ISBLANK(Tabella2[[#This Row],[New cases]]))</f>
        <v>5337.1613271794922</v>
      </c>
      <c r="J36" s="10">
        <f>Tabella2[[#This Row],[New_cases_fit]]+CIn</f>
        <v>6489.4701112813418</v>
      </c>
      <c r="K36" s="10">
        <f>MAX(Tabella2[[#This Row],[New_cases_fit]]-CIn,0)</f>
        <v>4184.8525430776426</v>
      </c>
      <c r="L36" s="54">
        <f>'dpc-covid19-ita-andamento-naz'!G30</f>
        <v>50418</v>
      </c>
      <c r="M36" s="54">
        <f>'dpc-covid19-ita-andamento-naz'!H30</f>
        <v>3780</v>
      </c>
      <c r="N36" s="54">
        <f>Tabella2[[#This Row],[New_cases_fit]]-Tabella2[[#This Row],[New_Recovered_fit]]-Tabella2[[#This Row],[New_Deaths_fit]]</f>
        <v>3905.0962085117753</v>
      </c>
      <c r="O36" s="10">
        <f>'dpc-covid19-ita-andamento-naz'!J30</f>
        <v>7432</v>
      </c>
      <c r="P36" s="48">
        <f>Tabella2[[#This Row],[Cum_recov]]-O35</f>
        <v>408</v>
      </c>
      <c r="Q36" s="60">
        <f>Tabella2[[#This Row],[New recovered]]*NOT(ISBLANK(Tabella2[[#This Row],[New recovered]]))</f>
        <v>408</v>
      </c>
      <c r="R36" s="50">
        <f>Kd*t0d*_xlfn.GAMMA.DIST(Tabella2[[#This Row],[Day]]/t0d,wd+1,1,1)*_xlfn.GAMMA(wd+1)</f>
        <v>7188.0801615784694</v>
      </c>
      <c r="S36" s="10">
        <f>Kd*((Tabella2[[#This Row],[Day]]/t0d)^wd)*EXP(-(Tabella2[[#This Row],[Day]]/t0d))</f>
        <v>738.08051969466567</v>
      </c>
      <c r="T36" s="60">
        <f>Tabella2[[#This Row],[New_Recovered_fit]]*NOT(ISBLANK(Tabella2[[#This Row],[New recovered]]))</f>
        <v>738.08051969466567</v>
      </c>
      <c r="U36" s="10">
        <f>Tabella2[[#This Row],[New_Recovered_fit]]+CId</f>
        <v>1237.9002520847328</v>
      </c>
      <c r="V36" s="10">
        <f>MAX(Tabella2[[#This Row],[New_Recovered_fit]]-CId,0)</f>
        <v>238.26078730459858</v>
      </c>
      <c r="W36" s="10">
        <f>'dpc-covid19-ita-andamento-naz'!K30</f>
        <v>6077</v>
      </c>
      <c r="X36" s="26">
        <f>Tabella2[[#This Row],[Cum_deaths]]-W35</f>
        <v>601</v>
      </c>
      <c r="Y36" s="65">
        <f>Tabella2[[#This Row],[New deaths]]*NOT(ISBLANK(Tabella2[[#This Row],[New deaths]]))</f>
        <v>601</v>
      </c>
      <c r="Z36" s="50">
        <f>kt*t0t*_xlfn.GAMMA.DIST(Tabella2[[#This Row],[Day]]/t0t,wt+1,1,1)*_xlfn.GAMMA(wt+1)</f>
        <v>5574.0528059842582</v>
      </c>
      <c r="AA36" s="10">
        <f>kt*((Tabella2[[#This Row],[Day]]/t0t)^wt)*EXP(-(Tabella2[[#This Row],[Day]]/t0t))</f>
        <v>693.98459897305122</v>
      </c>
      <c r="AB36" s="65">
        <f>Tabella2[[#This Row],[New_Deaths_fit]]*NOT(ISBLANK(Tabella2[[#This Row],[New deaths]]))</f>
        <v>693.98459897305122</v>
      </c>
      <c r="AC36" s="10">
        <f>Tabella2[[#This Row],[New_Deaths_fit]]+CIt</f>
        <v>830.04087380192641</v>
      </c>
      <c r="AD36" s="10">
        <f>MAX(Tabella2[[#This Row],[New_Deaths_fit]]-CIt,0)</f>
        <v>557.92832414417603</v>
      </c>
      <c r="AF36" s="72" t="s">
        <v>3</v>
      </c>
      <c r="AG36" s="35">
        <f>COUNT(Tabella2[New deaths])-COUNT(AG32:AG34)</f>
        <v>44</v>
      </c>
    </row>
    <row r="37" spans="2:46" x14ac:dyDescent="0.3">
      <c r="B37" s="9">
        <v>43914</v>
      </c>
      <c r="C37" s="4">
        <f t="shared" si="0"/>
        <v>29</v>
      </c>
      <c r="D37" s="10">
        <f>'dpc-covid19-ita-andamento-naz'!L31</f>
        <v>69176</v>
      </c>
      <c r="E37" s="30">
        <f>'dpc-covid19-ita-andamento-naz'!I31</f>
        <v>5249</v>
      </c>
      <c r="F37" s="56">
        <f>Tabella2[[#This Row],[New cases]]*NOT(ISBLANK(Tabella2[[#This Row],[New cases]]))</f>
        <v>5249</v>
      </c>
      <c r="G37" s="50">
        <f>Kn*t0n*_xlfn.GAMMA.DIST(Tabella2[[#This Row],[Day]]/t0n,wn+1,1,1)*_xlfn.GAMMA(wn+1)</f>
        <v>64040.264849971296</v>
      </c>
      <c r="H37" s="10">
        <f>Kn*((Tabella2[[#This Row],[Day]]/t0n)^wn)*EXP(-(Tabella2[[#This Row],[Day]]/t0n))</f>
        <v>5408.2086084537777</v>
      </c>
      <c r="I37" s="56">
        <f>Tabella2[[#This Row],[New_cases_fit]]*NOT(ISBLANK(Tabella2[[#This Row],[New cases]]))</f>
        <v>5408.2086084537777</v>
      </c>
      <c r="J37" s="10">
        <f>Tabella2[[#This Row],[New_cases_fit]]+CIn</f>
        <v>6560.5173925556264</v>
      </c>
      <c r="K37" s="10">
        <f>MAX(Tabella2[[#This Row],[New_cases_fit]]-CIn,0)</f>
        <v>4255.8998243519291</v>
      </c>
      <c r="L37" s="54">
        <f>'dpc-covid19-ita-andamento-naz'!G31</f>
        <v>54030</v>
      </c>
      <c r="M37" s="54">
        <f>'dpc-covid19-ita-andamento-naz'!H31</f>
        <v>3612</v>
      </c>
      <c r="N37" s="54">
        <f>Tabella2[[#This Row],[New_cases_fit]]-Tabella2[[#This Row],[New_Recovered_fit]]-Tabella2[[#This Row],[New_Deaths_fit]]</f>
        <v>3896.5227360639865</v>
      </c>
      <c r="O37" s="10">
        <f>'dpc-covid19-ita-andamento-naz'!J31</f>
        <v>8326</v>
      </c>
      <c r="P37" s="48">
        <f>Tabella2[[#This Row],[Cum_recov]]-O36</f>
        <v>894</v>
      </c>
      <c r="Q37" s="60">
        <f>Tabella2[[#This Row],[New recovered]]*NOT(ISBLANK(Tabella2[[#This Row],[New recovered]]))</f>
        <v>894</v>
      </c>
      <c r="R37" s="50">
        <f>Kd*t0d*_xlfn.GAMMA.DIST(Tabella2[[#This Row],[Day]]/t0d,wd+1,1,1)*_xlfn.GAMMA(wd+1)</f>
        <v>7951.0136462599348</v>
      </c>
      <c r="S37" s="10">
        <f>Kd*((Tabella2[[#This Row],[Day]]/t0d)^wd)*EXP(-(Tabella2[[#This Row],[Day]]/t0d))</f>
        <v>788.03439619812502</v>
      </c>
      <c r="T37" s="60">
        <f>Tabella2[[#This Row],[New_Recovered_fit]]*NOT(ISBLANK(Tabella2[[#This Row],[New recovered]]))</f>
        <v>788.03439619812502</v>
      </c>
      <c r="U37" s="10">
        <f>Tabella2[[#This Row],[New_Recovered_fit]]+CId</f>
        <v>1287.854128588192</v>
      </c>
      <c r="V37" s="10">
        <f>MAX(Tabella2[[#This Row],[New_Recovered_fit]]-CId,0)</f>
        <v>288.21466380805794</v>
      </c>
      <c r="W37" s="10">
        <f>'dpc-covid19-ita-andamento-naz'!K31</f>
        <v>6820</v>
      </c>
      <c r="X37" s="26">
        <f>Tabella2[[#This Row],[Cum_deaths]]-W36</f>
        <v>743</v>
      </c>
      <c r="Y37" s="65">
        <f>Tabella2[[#This Row],[New deaths]]*NOT(ISBLANK(Tabella2[[#This Row],[New deaths]]))</f>
        <v>743</v>
      </c>
      <c r="Z37" s="50">
        <f>kt*t0t*_xlfn.GAMMA.DIST(Tabella2[[#This Row],[Day]]/t0t,wt+1,1,1)*_xlfn.GAMMA(wt+1)</f>
        <v>6283.3058574138595</v>
      </c>
      <c r="AA37" s="10">
        <f>kt*((Tabella2[[#This Row],[Day]]/t0t)^wt)*EXP(-(Tabella2[[#This Row],[Day]]/t0t))</f>
        <v>723.65147619166612</v>
      </c>
      <c r="AB37" s="65">
        <f>Tabella2[[#This Row],[New_Deaths_fit]]*NOT(ISBLANK(Tabella2[[#This Row],[New deaths]]))</f>
        <v>723.65147619166612</v>
      </c>
      <c r="AC37" s="10">
        <f>Tabella2[[#This Row],[New_Deaths_fit]]+CIt</f>
        <v>859.70775102054131</v>
      </c>
      <c r="AD37" s="10">
        <f>MAX(Tabella2[[#This Row],[New_Deaths_fit]]-CIt,0)</f>
        <v>587.59520136279093</v>
      </c>
      <c r="AF37" s="72" t="s">
        <v>4</v>
      </c>
      <c r="AG37" s="73" cm="1">
        <f t="array" ref="AG37">SQRT(SUM((Tabella2[Colonna5]-Tabella2[Colonna6])^2)/dft)</f>
        <v>67.50940947654486</v>
      </c>
    </row>
    <row r="38" spans="2:46" ht="16.2" x14ac:dyDescent="0.3">
      <c r="B38" s="9">
        <v>43915</v>
      </c>
      <c r="C38" s="4">
        <f t="shared" si="0"/>
        <v>30</v>
      </c>
      <c r="D38" s="10">
        <f>'dpc-covid19-ita-andamento-naz'!L32</f>
        <v>74386</v>
      </c>
      <c r="E38" s="30">
        <f>'dpc-covid19-ita-andamento-naz'!I32</f>
        <v>5210</v>
      </c>
      <c r="F38" s="56">
        <f>Tabella2[[#This Row],[New cases]]*NOT(ISBLANK(Tabella2[[#This Row],[New cases]]))</f>
        <v>5210</v>
      </c>
      <c r="G38" s="50">
        <f>Kn*t0n*_xlfn.GAMMA.DIST(Tabella2[[#This Row],[Day]]/t0n,wn+1,1,1)*_xlfn.GAMMA(wn+1)</f>
        <v>69470.998321807594</v>
      </c>
      <c r="H38" s="10">
        <f>Kn*((Tabella2[[#This Row],[Day]]/t0n)^wn)*EXP(-(Tabella2[[#This Row],[Day]]/t0n))</f>
        <v>5448.1854624466678</v>
      </c>
      <c r="I38" s="56">
        <f>Tabella2[[#This Row],[New_cases_fit]]*NOT(ISBLANK(Tabella2[[#This Row],[New cases]]))</f>
        <v>5448.1854624466678</v>
      </c>
      <c r="J38" s="10">
        <f>Tabella2[[#This Row],[New_cases_fit]]+CIn</f>
        <v>6600.4942465485165</v>
      </c>
      <c r="K38" s="10">
        <f>MAX(Tabella2[[#This Row],[New_cases_fit]]-CIn,0)</f>
        <v>4295.8766783448191</v>
      </c>
      <c r="L38" s="54">
        <f>'dpc-covid19-ita-andamento-naz'!G32</f>
        <v>57521</v>
      </c>
      <c r="M38" s="54">
        <f>'dpc-covid19-ita-andamento-naz'!H32</f>
        <v>3491</v>
      </c>
      <c r="N38" s="54">
        <f>Tabella2[[#This Row],[New_cases_fit]]-Tabella2[[#This Row],[New_Recovered_fit]]-Tabella2[[#This Row],[New_Deaths_fit]]</f>
        <v>3860.7444736403495</v>
      </c>
      <c r="O38" s="10">
        <f>'dpc-covid19-ita-andamento-naz'!J32</f>
        <v>9362</v>
      </c>
      <c r="P38" s="48">
        <f>Tabella2[[#This Row],[Cum_recov]]-O37</f>
        <v>1036</v>
      </c>
      <c r="Q38" s="60">
        <f>Tabella2[[#This Row],[New recovered]]*NOT(ISBLANK(Tabella2[[#This Row],[New recovered]]))</f>
        <v>1036</v>
      </c>
      <c r="R38" s="50">
        <f>Kd*t0d*_xlfn.GAMMA.DIST(Tabella2[[#This Row],[Day]]/t0d,wd+1,1,1)*_xlfn.GAMMA(wd+1)</f>
        <v>8764.6430269001394</v>
      </c>
      <c r="S38" s="10">
        <f>Kd*((Tabella2[[#This Row],[Day]]/t0d)^wd)*EXP(-(Tabella2[[#This Row],[Day]]/t0d))</f>
        <v>839.47049980014435</v>
      </c>
      <c r="T38" s="60">
        <f>Tabella2[[#This Row],[New_Recovered_fit]]*NOT(ISBLANK(Tabella2[[#This Row],[New recovered]]))</f>
        <v>839.47049980014435</v>
      </c>
      <c r="U38" s="10">
        <f>Tabella2[[#This Row],[New_Recovered_fit]]+CId</f>
        <v>1339.2902321902116</v>
      </c>
      <c r="V38" s="10">
        <f>MAX(Tabella2[[#This Row],[New_Recovered_fit]]-CId,0)</f>
        <v>339.65076741007726</v>
      </c>
      <c r="W38" s="10">
        <f>'dpc-covid19-ita-andamento-naz'!K32</f>
        <v>7503</v>
      </c>
      <c r="X38" s="26">
        <f>Tabella2[[#This Row],[Cum_deaths]]-W37</f>
        <v>683</v>
      </c>
      <c r="Y38" s="65">
        <f>Tabella2[[#This Row],[New deaths]]*NOT(ISBLANK(Tabella2[[#This Row],[New deaths]]))</f>
        <v>683</v>
      </c>
      <c r="Z38" s="50">
        <f>kt*t0t*_xlfn.GAMMA.DIST(Tabella2[[#This Row],[Day]]/t0t,wt+1,1,1)*_xlfn.GAMMA(wt+1)</f>
        <v>7019.5716230974658</v>
      </c>
      <c r="AA38" s="10">
        <f>kt*((Tabella2[[#This Row],[Day]]/t0t)^wt)*EXP(-(Tabella2[[#This Row],[Day]]/t0t))</f>
        <v>747.97048900617369</v>
      </c>
      <c r="AB38" s="65">
        <f>Tabella2[[#This Row],[New_Deaths_fit]]*NOT(ISBLANK(Tabella2[[#This Row],[New deaths]]))</f>
        <v>747.97048900617369</v>
      </c>
      <c r="AC38" s="10">
        <f>Tabella2[[#This Row],[New_Deaths_fit]]+CIt</f>
        <v>884.02676383504877</v>
      </c>
      <c r="AD38" s="10">
        <f>MAX(Tabella2[[#This Row],[New_Deaths_fit]]-CIt,0)</f>
        <v>611.91421417729862</v>
      </c>
      <c r="AF38" s="72" t="s">
        <v>87</v>
      </c>
      <c r="AG38" s="74" cm="1">
        <f t="array" ref="AG38">1-SUM((Tabella2[Colonna5]-Tabella2[Colonna6])^2)/SUM((Tabella2[Colonna5]-Mean_of_yt)^2)</f>
        <v>0.97660307669138768</v>
      </c>
    </row>
    <row r="39" spans="2:46" x14ac:dyDescent="0.3">
      <c r="B39" s="9">
        <v>43916</v>
      </c>
      <c r="C39" s="4">
        <f t="shared" si="0"/>
        <v>31</v>
      </c>
      <c r="D39" s="10">
        <f>'dpc-covid19-ita-andamento-naz'!L33</f>
        <v>80539</v>
      </c>
      <c r="E39" s="30">
        <f>'dpc-covid19-ita-andamento-naz'!I33</f>
        <v>6153</v>
      </c>
      <c r="F39" s="56">
        <f>Tabella2[[#This Row],[New cases]]*NOT(ISBLANK(Tabella2[[#This Row],[New cases]]))</f>
        <v>6153</v>
      </c>
      <c r="G39" s="50">
        <f>Kn*t0n*_xlfn.GAMMA.DIST(Tabella2[[#This Row],[Day]]/t0n,wn+1,1,1)*_xlfn.GAMMA(wn+1)</f>
        <v>74926.741679377112</v>
      </c>
      <c r="H39" s="10">
        <f>Kn*((Tabella2[[#This Row],[Day]]/t0n)^wn)*EXP(-(Tabella2[[#This Row],[Day]]/t0n))</f>
        <v>5458.4908095228848</v>
      </c>
      <c r="I39" s="56">
        <f>Tabella2[[#This Row],[New_cases_fit]]*NOT(ISBLANK(Tabella2[[#This Row],[New cases]]))</f>
        <v>5458.4908095228848</v>
      </c>
      <c r="J39" s="10">
        <f>Tabella2[[#This Row],[New_cases_fit]]+CIn</f>
        <v>6610.7995936247335</v>
      </c>
      <c r="K39" s="10">
        <f>MAX(Tabella2[[#This Row],[New_cases_fit]]-CIn,0)</f>
        <v>4306.1820254210361</v>
      </c>
      <c r="L39" s="54">
        <f>'dpc-covid19-ita-andamento-naz'!G33</f>
        <v>62013</v>
      </c>
      <c r="M39" s="54">
        <f>'dpc-covid19-ita-andamento-naz'!H33</f>
        <v>4492</v>
      </c>
      <c r="N39" s="54">
        <f>Tabella2[[#This Row],[New_cases_fit]]-Tabella2[[#This Row],[New_Recovered_fit]]-Tabella2[[#This Row],[New_Deaths_fit]]</f>
        <v>3799.3416399816679</v>
      </c>
      <c r="O39" s="10">
        <f>'dpc-covid19-ita-andamento-naz'!J33</f>
        <v>10361</v>
      </c>
      <c r="P39" s="48">
        <f>Tabella2[[#This Row],[Cum_recov]]-O38</f>
        <v>999</v>
      </c>
      <c r="Q39" s="60">
        <f>Tabella2[[#This Row],[New recovered]]*NOT(ISBLANK(Tabella2[[#This Row],[New recovered]]))</f>
        <v>999</v>
      </c>
      <c r="R39" s="50">
        <f>Kd*t0d*_xlfn.GAMMA.DIST(Tabella2[[#This Row],[Day]]/t0d,wd+1,1,1)*_xlfn.GAMMA(wd+1)</f>
        <v>9630.4451359643263</v>
      </c>
      <c r="S39" s="10">
        <f>Kd*((Tabella2[[#This Row],[Day]]/t0d)^wd)*EXP(-(Tabella2[[#This Row],[Day]]/t0d))</f>
        <v>892.378081509205</v>
      </c>
      <c r="T39" s="60">
        <f>Tabella2[[#This Row],[New_Recovered_fit]]*NOT(ISBLANK(Tabella2[[#This Row],[New recovered]]))</f>
        <v>892.378081509205</v>
      </c>
      <c r="U39" s="10">
        <f>Tabella2[[#This Row],[New_Recovered_fit]]+CId</f>
        <v>1392.1978138992722</v>
      </c>
      <c r="V39" s="10">
        <f>MAX(Tabella2[[#This Row],[New_Recovered_fit]]-CId,0)</f>
        <v>392.55834911913792</v>
      </c>
      <c r="W39" s="10">
        <f>'dpc-covid19-ita-andamento-naz'!K33</f>
        <v>8165</v>
      </c>
      <c r="X39" s="26">
        <f>Tabella2[[#This Row],[Cum_deaths]]-W38</f>
        <v>662</v>
      </c>
      <c r="Y39" s="65">
        <f>Tabella2[[#This Row],[New deaths]]*NOT(ISBLANK(Tabella2[[#This Row],[New deaths]]))</f>
        <v>662</v>
      </c>
      <c r="Z39" s="50">
        <f>kt*t0t*_xlfn.GAMMA.DIST(Tabella2[[#This Row],[Day]]/t0t,wt+1,1,1)*_xlfn.GAMMA(wt+1)</f>
        <v>7777.4059448697435</v>
      </c>
      <c r="AA39" s="10">
        <f>kt*((Tabella2[[#This Row],[Day]]/t0t)^wt)*EXP(-(Tabella2[[#This Row],[Day]]/t0t))</f>
        <v>766.77108803201179</v>
      </c>
      <c r="AB39" s="65">
        <f>Tabella2[[#This Row],[New_Deaths_fit]]*NOT(ISBLANK(Tabella2[[#This Row],[New deaths]]))</f>
        <v>766.77108803201179</v>
      </c>
      <c r="AC39" s="10">
        <f>Tabella2[[#This Row],[New_Deaths_fit]]+CIt</f>
        <v>902.82736286088698</v>
      </c>
      <c r="AD39" s="10">
        <f>MAX(Tabella2[[#This Row],[New_Deaths_fit]]-CIt,0)</f>
        <v>630.7148132031366</v>
      </c>
      <c r="AF39" s="72" t="s">
        <v>6</v>
      </c>
      <c r="AG39" s="74">
        <f>TINV(0.05,dft)</f>
        <v>2.0153675744437649</v>
      </c>
    </row>
    <row r="40" spans="2:46" x14ac:dyDescent="0.3">
      <c r="B40" s="9">
        <v>43917</v>
      </c>
      <c r="C40" s="4">
        <f t="shared" si="0"/>
        <v>32</v>
      </c>
      <c r="D40" s="10">
        <f>'dpc-covid19-ita-andamento-naz'!L34</f>
        <v>86498</v>
      </c>
      <c r="E40" s="30">
        <f>'dpc-covid19-ita-andamento-naz'!I34</f>
        <v>5959</v>
      </c>
      <c r="F40" s="56">
        <f>Tabella2[[#This Row],[New cases]]*NOT(ISBLANK(Tabella2[[#This Row],[New cases]]))</f>
        <v>5959</v>
      </c>
      <c r="G40" s="50">
        <f>Kn*t0n*_xlfn.GAMMA.DIST(Tabella2[[#This Row],[Day]]/t0n,wn+1,1,1)*_xlfn.GAMMA(wn+1)</f>
        <v>80378.660900626346</v>
      </c>
      <c r="H40" s="10">
        <f>Kn*((Tabella2[[#This Row],[Day]]/t0n)^wn)*EXP(-(Tabella2[[#This Row],[Day]]/t0n))</f>
        <v>5440.8473787456523</v>
      </c>
      <c r="I40" s="56">
        <f>Tabella2[[#This Row],[New_cases_fit]]*NOT(ISBLANK(Tabella2[[#This Row],[New cases]]))</f>
        <v>5440.8473787456523</v>
      </c>
      <c r="J40" s="10">
        <f>Tabella2[[#This Row],[New_cases_fit]]+CIn</f>
        <v>6593.156162847501</v>
      </c>
      <c r="K40" s="10">
        <f>MAX(Tabella2[[#This Row],[New_cases_fit]]-CIn,0)</f>
        <v>4288.5385946438037</v>
      </c>
      <c r="L40" s="54">
        <f>'dpc-covid19-ita-andamento-naz'!G34</f>
        <v>66414</v>
      </c>
      <c r="M40" s="54">
        <f>'dpc-covid19-ita-andamento-naz'!H34</f>
        <v>4401</v>
      </c>
      <c r="N40" s="54">
        <f>Tabella2[[#This Row],[New_cases_fit]]-Tabella2[[#This Row],[New_Recovered_fit]]-Tabella2[[#This Row],[New_Deaths_fit]]</f>
        <v>3714.0906758957631</v>
      </c>
      <c r="O40" s="10">
        <f>'dpc-covid19-ita-andamento-naz'!J34</f>
        <v>10950</v>
      </c>
      <c r="P40" s="48">
        <f>Tabella2[[#This Row],[Cum_recov]]-O39</f>
        <v>589</v>
      </c>
      <c r="Q40" s="60">
        <f>Tabella2[[#This Row],[New recovered]]*NOT(ISBLANK(Tabella2[[#This Row],[New recovered]]))</f>
        <v>589</v>
      </c>
      <c r="R40" s="50">
        <f>Kd*t0d*_xlfn.GAMMA.DIST(Tabella2[[#This Row],[Day]]/t0d,wd+1,1,1)*_xlfn.GAMMA(wd+1)</f>
        <v>10549.886175192509</v>
      </c>
      <c r="S40" s="10">
        <f>Kd*((Tabella2[[#This Row],[Day]]/t0d)^wd)*EXP(-(Tabella2[[#This Row],[Day]]/t0d))</f>
        <v>946.74662635833897</v>
      </c>
      <c r="T40" s="60">
        <f>Tabella2[[#This Row],[New_Recovered_fit]]*NOT(ISBLANK(Tabella2[[#This Row],[New recovered]]))</f>
        <v>946.74662635833897</v>
      </c>
      <c r="U40" s="10">
        <f>Tabella2[[#This Row],[New_Recovered_fit]]+CId</f>
        <v>1446.5663587484059</v>
      </c>
      <c r="V40" s="10">
        <f>MAX(Tabella2[[#This Row],[New_Recovered_fit]]-CId,0)</f>
        <v>446.92689396827188</v>
      </c>
      <c r="W40" s="10">
        <f>'dpc-covid19-ita-andamento-naz'!K34</f>
        <v>9134</v>
      </c>
      <c r="X40" s="26">
        <f>Tabella2[[#This Row],[Cum_deaths]]-W39</f>
        <v>969</v>
      </c>
      <c r="Y40" s="65">
        <f>Tabella2[[#This Row],[New deaths]]*NOT(ISBLANK(Tabella2[[#This Row],[New deaths]]))</f>
        <v>969</v>
      </c>
      <c r="Z40" s="50">
        <f>kt*t0t*_xlfn.GAMMA.DIST(Tabella2[[#This Row],[Day]]/t0t,wt+1,1,1)*_xlfn.GAMMA(wt+1)</f>
        <v>8551.2586400254404</v>
      </c>
      <c r="AA40" s="10">
        <f>kt*((Tabella2[[#This Row],[Day]]/t0t)^wt)*EXP(-(Tabella2[[#This Row],[Day]]/t0t))</f>
        <v>780.01007649154997</v>
      </c>
      <c r="AB40" s="65">
        <f>Tabella2[[#This Row],[New_Deaths_fit]]*NOT(ISBLANK(Tabella2[[#This Row],[New deaths]]))</f>
        <v>780.01007649154997</v>
      </c>
      <c r="AC40" s="10">
        <f>Tabella2[[#This Row],[New_Deaths_fit]]+CIt</f>
        <v>916.06635132042516</v>
      </c>
      <c r="AD40" s="10">
        <f>MAX(Tabella2[[#This Row],[New_Deaths_fit]]-CIt,0)</f>
        <v>643.95380166267478</v>
      </c>
      <c r="AF40" s="72" t="s">
        <v>7</v>
      </c>
      <c r="AG40" s="35">
        <f>Critical_tt*SE_of_yt</f>
        <v>136.05627482887513</v>
      </c>
    </row>
    <row r="41" spans="2:46" x14ac:dyDescent="0.3">
      <c r="B41" s="9">
        <v>43918</v>
      </c>
      <c r="C41" s="4">
        <f t="shared" si="0"/>
        <v>33</v>
      </c>
      <c r="D41" s="10">
        <f>'dpc-covid19-ita-andamento-naz'!L35</f>
        <v>92472</v>
      </c>
      <c r="E41" s="30">
        <f>'dpc-covid19-ita-andamento-naz'!I35</f>
        <v>5974</v>
      </c>
      <c r="F41" s="56">
        <f>Tabella2[[#This Row],[New cases]]*NOT(ISBLANK(Tabella2[[#This Row],[New cases]]))</f>
        <v>5974</v>
      </c>
      <c r="G41" s="50">
        <f>Kn*t0n*_xlfn.GAMMA.DIST(Tabella2[[#This Row],[Day]]/t0n,wn+1,1,1)*_xlfn.GAMMA(wn+1)</f>
        <v>85799.776023257815</v>
      </c>
      <c r="H41" s="10">
        <f>Kn*((Tabella2[[#This Row],[Day]]/t0n)^wn)*EXP(-(Tabella2[[#This Row],[Day]]/t0n))</f>
        <v>5397.2287794506301</v>
      </c>
      <c r="I41" s="56">
        <f>Tabella2[[#This Row],[New_cases_fit]]*NOT(ISBLANK(Tabella2[[#This Row],[New cases]]))</f>
        <v>5397.2287794506301</v>
      </c>
      <c r="J41" s="10">
        <f>Tabella2[[#This Row],[New_cases_fit]]+CIn</f>
        <v>6549.5375635524797</v>
      </c>
      <c r="K41" s="10">
        <f>MAX(Tabella2[[#This Row],[New_cases_fit]]-CIn,0)</f>
        <v>4244.9199953487805</v>
      </c>
      <c r="L41" s="54">
        <f>'dpc-covid19-ita-andamento-naz'!G35</f>
        <v>70065</v>
      </c>
      <c r="M41" s="54">
        <f>'dpc-covid19-ita-andamento-naz'!H35</f>
        <v>3651</v>
      </c>
      <c r="N41" s="54">
        <f>Tabella2[[#This Row],[New_cases_fit]]-Tabella2[[#This Row],[New_Recovered_fit]]-Tabella2[[#This Row],[New_Deaths_fit]]</f>
        <v>3606.9029459040012</v>
      </c>
      <c r="O41" s="10">
        <f>'dpc-covid19-ita-andamento-naz'!J35</f>
        <v>12384</v>
      </c>
      <c r="P41" s="48">
        <f>Tabella2[[#This Row],[Cum_recov]]-O40</f>
        <v>1434</v>
      </c>
      <c r="Q41" s="60">
        <f>Tabella2[[#This Row],[New recovered]]*NOT(ISBLANK(Tabella2[[#This Row],[New recovered]]))</f>
        <v>1434</v>
      </c>
      <c r="R41" s="50">
        <f>Kd*t0d*_xlfn.GAMMA.DIST(Tabella2[[#This Row],[Day]]/t0d,wd+1,1,1)*_xlfn.GAMMA(wd+1)</f>
        <v>11524.421942344805</v>
      </c>
      <c r="S41" s="10">
        <f>Kd*((Tabella2[[#This Row],[Day]]/t0d)^wd)*EXP(-(Tabella2[[#This Row],[Day]]/t0d))</f>
        <v>1002.5658390851275</v>
      </c>
      <c r="T41" s="60">
        <f>Tabella2[[#This Row],[New_Recovered_fit]]*NOT(ISBLANK(Tabella2[[#This Row],[New recovered]]))</f>
        <v>1002.5658390851275</v>
      </c>
      <c r="U41" s="10">
        <f>Tabella2[[#This Row],[New_Recovered_fit]]+CId</f>
        <v>1502.3855714751946</v>
      </c>
      <c r="V41" s="10">
        <f>MAX(Tabella2[[#This Row],[New_Recovered_fit]]-CId,0)</f>
        <v>502.74610669506046</v>
      </c>
      <c r="W41" s="10">
        <f>'dpc-covid19-ita-andamento-naz'!K35</f>
        <v>10023</v>
      </c>
      <c r="X41" s="26">
        <f>Tabella2[[#This Row],[Cum_deaths]]-W40</f>
        <v>889</v>
      </c>
      <c r="Y41" s="65">
        <f>Tabella2[[#This Row],[New deaths]]*NOT(ISBLANK(Tabella2[[#This Row],[New deaths]]))</f>
        <v>889</v>
      </c>
      <c r="Z41" s="50">
        <f>kt*t0t*_xlfn.GAMMA.DIST(Tabella2[[#This Row],[Day]]/t0t,wt+1,1,1)*_xlfn.GAMMA(wt+1)</f>
        <v>9335.5952741700858</v>
      </c>
      <c r="AA41" s="10">
        <f>kt*((Tabella2[[#This Row],[Day]]/t0t)^wt)*EXP(-(Tabella2[[#This Row],[Day]]/t0t))</f>
        <v>787.75999446150126</v>
      </c>
      <c r="AB41" s="65">
        <f>Tabella2[[#This Row],[New_Deaths_fit]]*NOT(ISBLANK(Tabella2[[#This Row],[New deaths]]))</f>
        <v>787.75999446150126</v>
      </c>
      <c r="AC41" s="10">
        <f>Tabella2[[#This Row],[New_Deaths_fit]]+CIt</f>
        <v>923.81626929037634</v>
      </c>
      <c r="AD41" s="10">
        <f>MAX(Tabella2[[#This Row],[New_Deaths_fit]]-CIt,0)</f>
        <v>651.70371963262619</v>
      </c>
      <c r="AF41" s="34" t="s">
        <v>69</v>
      </c>
      <c r="AG41" s="35">
        <f>kt*(wt^wt)*EXP(-wt)</f>
        <v>790.19721466421186</v>
      </c>
    </row>
    <row r="42" spans="2:46" x14ac:dyDescent="0.3">
      <c r="B42" s="9">
        <v>43919</v>
      </c>
      <c r="C42" s="4">
        <f t="shared" si="0"/>
        <v>34</v>
      </c>
      <c r="D42" s="10">
        <f>'dpc-covid19-ita-andamento-naz'!L36</f>
        <v>97689</v>
      </c>
      <c r="E42" s="30">
        <f>'dpc-covid19-ita-andamento-naz'!I36</f>
        <v>5217</v>
      </c>
      <c r="F42" s="56">
        <f>Tabella2[[#This Row],[New cases]]*NOT(ISBLANK(Tabella2[[#This Row],[New cases]]))</f>
        <v>5217</v>
      </c>
      <c r="G42" s="50">
        <f>Kn*t0n*_xlfn.GAMMA.DIST(Tabella2[[#This Row],[Day]]/t0n,wn+1,1,1)*_xlfn.GAMMA(wn+1)</f>
        <v>91165.177567266073</v>
      </c>
      <c r="H42" s="10">
        <f>Kn*((Tabella2[[#This Row],[Day]]/t0n)^wn)*EXP(-(Tabella2[[#This Row],[Day]]/t0n))</f>
        <v>5329.7915047492615</v>
      </c>
      <c r="I42" s="56">
        <f>Tabella2[[#This Row],[New_cases_fit]]*NOT(ISBLANK(Tabella2[[#This Row],[New cases]]))</f>
        <v>5329.7915047492615</v>
      </c>
      <c r="J42" s="10">
        <f>Tabella2[[#This Row],[New_cases_fit]]+CIn</f>
        <v>6482.1002888511102</v>
      </c>
      <c r="K42" s="10">
        <f>MAX(Tabella2[[#This Row],[New_cases_fit]]-CIn,0)</f>
        <v>4177.4827206474129</v>
      </c>
      <c r="L42" s="54">
        <f>'dpc-covid19-ita-andamento-naz'!G36</f>
        <v>73880</v>
      </c>
      <c r="M42" s="54">
        <f>'dpc-covid19-ita-andamento-naz'!H36</f>
        <v>3815</v>
      </c>
      <c r="N42" s="54">
        <f>Tabella2[[#This Row],[New_cases_fit]]-Tabella2[[#This Row],[New_Recovered_fit]]-Tabella2[[#This Row],[New_Deaths_fit]]</f>
        <v>3479.770637240767</v>
      </c>
      <c r="O42" s="10">
        <f>'dpc-covid19-ita-andamento-naz'!J36</f>
        <v>13030</v>
      </c>
      <c r="P42" s="48">
        <f>Tabella2[[#This Row],[Cum_recov]]-O41</f>
        <v>646</v>
      </c>
      <c r="Q42" s="60">
        <f>Tabella2[[#This Row],[New recovered]]*NOT(ISBLANK(Tabella2[[#This Row],[New recovered]]))</f>
        <v>646</v>
      </c>
      <c r="R42" s="50">
        <f>Kd*t0d*_xlfn.GAMMA.DIST(Tabella2[[#This Row],[Day]]/t0d,wd+1,1,1)*_xlfn.GAMMA(wd+1)</f>
        <v>12555.498044312126</v>
      </c>
      <c r="S42" s="10">
        <f>Kd*((Tabella2[[#This Row],[Day]]/t0d)^wd)*EXP(-(Tabella2[[#This Row],[Day]]/t0d))</f>
        <v>1059.8256311534626</v>
      </c>
      <c r="T42" s="60">
        <f>Tabella2[[#This Row],[New_Recovered_fit]]*NOT(ISBLANK(Tabella2[[#This Row],[New recovered]]))</f>
        <v>1059.8256311534626</v>
      </c>
      <c r="U42" s="10">
        <f>Tabella2[[#This Row],[New_Recovered_fit]]+CId</f>
        <v>1559.6453635435296</v>
      </c>
      <c r="V42" s="10">
        <f>MAX(Tabella2[[#This Row],[New_Recovered_fit]]-CId,0)</f>
        <v>560.00589876339552</v>
      </c>
      <c r="W42" s="10">
        <f>'dpc-covid19-ita-andamento-naz'!K36</f>
        <v>10779</v>
      </c>
      <c r="X42" s="26">
        <f>Tabella2[[#This Row],[Cum_deaths]]-W41</f>
        <v>756</v>
      </c>
      <c r="Y42" s="65">
        <f>Tabella2[[#This Row],[New deaths]]*NOT(ISBLANK(Tabella2[[#This Row],[New deaths]]))</f>
        <v>756</v>
      </c>
      <c r="Z42" s="50">
        <f>kt*t0t*_xlfn.GAMMA.DIST(Tabella2[[#This Row],[Day]]/t0t,wt+1,1,1)*_xlfn.GAMMA(wt+1)</f>
        <v>10125.006107364967</v>
      </c>
      <c r="AA42" s="10">
        <f>kt*((Tabella2[[#This Row],[Day]]/t0t)^wt)*EXP(-(Tabella2[[#This Row],[Day]]/t0t))</f>
        <v>790.19523635503219</v>
      </c>
      <c r="AB42" s="65">
        <f>Tabella2[[#This Row],[New_Deaths_fit]]*NOT(ISBLANK(Tabella2[[#This Row],[New deaths]]))</f>
        <v>790.19523635503219</v>
      </c>
      <c r="AC42" s="10">
        <f>Tabella2[[#This Row],[New_Deaths_fit]]+CIt</f>
        <v>926.25151118390727</v>
      </c>
      <c r="AD42" s="10">
        <f>MAX(Tabella2[[#This Row],[New_Deaths_fit]]-CIt,0)</f>
        <v>654.13896152615712</v>
      </c>
      <c r="AF42" s="34" t="s">
        <v>70</v>
      </c>
      <c r="AG42" s="81">
        <f>_xlfn.XLOOKUP(ROUND(wt*t0t,0),Tabella2[Day],Tabella2[Date])</f>
        <v>43919</v>
      </c>
    </row>
    <row r="43" spans="2:46" x14ac:dyDescent="0.3">
      <c r="B43" s="9">
        <v>43920</v>
      </c>
      <c r="C43" s="4">
        <f t="shared" si="0"/>
        <v>35</v>
      </c>
      <c r="D43" s="10">
        <f>'dpc-covid19-ita-andamento-naz'!L37</f>
        <v>101739</v>
      </c>
      <c r="E43" s="30">
        <f>'dpc-covid19-ita-andamento-naz'!I37</f>
        <v>4050</v>
      </c>
      <c r="F43" s="56">
        <f>Tabella2[[#This Row],[New cases]]*NOT(ISBLANK(Tabella2[[#This Row],[New cases]]))</f>
        <v>4050</v>
      </c>
      <c r="G43" s="50">
        <f>Kn*t0n*_xlfn.GAMMA.DIST(Tabella2[[#This Row],[Day]]/t0n,wn+1,1,1)*_xlfn.GAMMA(wn+1)</f>
        <v>96452.17786465543</v>
      </c>
      <c r="H43" s="10">
        <f>Kn*((Tabella2[[#This Row],[Day]]/t0n)^wn)*EXP(-(Tabella2[[#This Row],[Day]]/t0n))</f>
        <v>5240.8128762099104</v>
      </c>
      <c r="I43" s="56">
        <f>Tabella2[[#This Row],[New_cases_fit]]*NOT(ISBLANK(Tabella2[[#This Row],[New cases]]))</f>
        <v>5240.8128762099104</v>
      </c>
      <c r="J43" s="10">
        <f>Tabella2[[#This Row],[New_cases_fit]]+CIn</f>
        <v>6393.1216603117591</v>
      </c>
      <c r="K43" s="10">
        <f>MAX(Tabella2[[#This Row],[New_cases_fit]]-CIn,0)</f>
        <v>4088.5040921080613</v>
      </c>
      <c r="L43" s="54">
        <f>'dpc-covid19-ita-andamento-naz'!G37</f>
        <v>75528</v>
      </c>
      <c r="M43" s="54">
        <f>'dpc-covid19-ita-andamento-naz'!H37</f>
        <v>1648</v>
      </c>
      <c r="N43" s="54">
        <f>Tabella2[[#This Row],[New_cases_fit]]-Tabella2[[#This Row],[New_Recovered_fit]]-Tabella2[[#This Row],[New_Deaths_fit]]</f>
        <v>3334.7199795506049</v>
      </c>
      <c r="O43" s="10">
        <f>'dpc-covid19-ita-andamento-naz'!J37</f>
        <v>14620</v>
      </c>
      <c r="P43" s="48">
        <f>Tabella2[[#This Row],[Cum_recov]]-O42</f>
        <v>1590</v>
      </c>
      <c r="Q43" s="60">
        <f>Tabella2[[#This Row],[New recovered]]*NOT(ISBLANK(Tabella2[[#This Row],[New recovered]]))</f>
        <v>1590</v>
      </c>
      <c r="R43" s="50">
        <f>Kd*t0d*_xlfn.GAMMA.DIST(Tabella2[[#This Row],[Day]]/t0d,wd+1,1,1)*_xlfn.GAMMA(wd+1)</f>
        <v>13644.550097850766</v>
      </c>
      <c r="S43" s="10">
        <f>Kd*((Tabella2[[#This Row],[Day]]/t0d)^wd)*EXP(-(Tabella2[[#This Row],[Day]]/t0d))</f>
        <v>1118.516108954188</v>
      </c>
      <c r="T43" s="60">
        <f>Tabella2[[#This Row],[New_Recovered_fit]]*NOT(ISBLANK(Tabella2[[#This Row],[New recovered]]))</f>
        <v>1118.516108954188</v>
      </c>
      <c r="U43" s="10">
        <f>Tabella2[[#This Row],[New_Recovered_fit]]+CId</f>
        <v>1618.3358413442552</v>
      </c>
      <c r="V43" s="10">
        <f>MAX(Tabella2[[#This Row],[New_Recovered_fit]]-CId,0)</f>
        <v>618.6963765641209</v>
      </c>
      <c r="W43" s="10">
        <f>'dpc-covid19-ita-andamento-naz'!K37</f>
        <v>11591</v>
      </c>
      <c r="X43" s="26">
        <f>Tabella2[[#This Row],[Cum_deaths]]-W42</f>
        <v>812</v>
      </c>
      <c r="Y43" s="65">
        <f>Tabella2[[#This Row],[New deaths]]*NOT(ISBLANK(Tabella2[[#This Row],[New deaths]]))</f>
        <v>812</v>
      </c>
      <c r="Z43" s="50">
        <f>kt*t0t*_xlfn.GAMMA.DIST(Tabella2[[#This Row],[Day]]/t0t,wt+1,1,1)*_xlfn.GAMMA(wt+1)</f>
        <v>10914.300397598443</v>
      </c>
      <c r="AA43" s="10">
        <f>kt*((Tabella2[[#This Row],[Day]]/t0t)^wt)*EXP(-(Tabella2[[#This Row],[Day]]/t0t))</f>
        <v>787.57678770511734</v>
      </c>
      <c r="AB43" s="65">
        <f>Tabella2[[#This Row],[New_Deaths_fit]]*NOT(ISBLANK(Tabella2[[#This Row],[New deaths]]))</f>
        <v>787.57678770511734</v>
      </c>
      <c r="AC43" s="10">
        <f>Tabella2[[#This Row],[New_Deaths_fit]]+CIt</f>
        <v>923.63306253399242</v>
      </c>
      <c r="AD43" s="10">
        <f>MAX(Tabella2[[#This Row],[New_Deaths_fit]]-CIt,0)</f>
        <v>651.52051287624226</v>
      </c>
    </row>
    <row r="44" spans="2:46" x14ac:dyDescent="0.3">
      <c r="B44" s="9">
        <v>43921</v>
      </c>
      <c r="C44" s="4">
        <f t="shared" si="0"/>
        <v>36</v>
      </c>
      <c r="D44" s="10">
        <f>'dpc-covid19-ita-andamento-naz'!L38</f>
        <v>105792</v>
      </c>
      <c r="E44" s="30">
        <f>'dpc-covid19-ita-andamento-naz'!I38</f>
        <v>4053</v>
      </c>
      <c r="F44" s="56">
        <f>Tabella2[[#This Row],[New cases]]*NOT(ISBLANK(Tabella2[[#This Row],[New cases]]))</f>
        <v>4053</v>
      </c>
      <c r="G44" s="50">
        <f>Kn*t0n*_xlfn.GAMMA.DIST(Tabella2[[#This Row],[Day]]/t0n,wn+1,1,1)*_xlfn.GAMMA(wn+1)</f>
        <v>101640.40357765794</v>
      </c>
      <c r="H44" s="10">
        <f>Kn*((Tabella2[[#This Row],[Day]]/t0n)^wn)*EXP(-(Tabella2[[#This Row],[Day]]/t0n))</f>
        <v>5132.6355508661927</v>
      </c>
      <c r="I44" s="56">
        <f>Tabella2[[#This Row],[New_cases_fit]]*NOT(ISBLANK(Tabella2[[#This Row],[New cases]]))</f>
        <v>5132.6355508661927</v>
      </c>
      <c r="J44" s="10">
        <f>Tabella2[[#This Row],[New_cases_fit]]+CIn</f>
        <v>6284.9443349680423</v>
      </c>
      <c r="K44" s="10">
        <f>MAX(Tabella2[[#This Row],[New_cases_fit]]-CIn,0)</f>
        <v>3980.3267667643436</v>
      </c>
      <c r="L44" s="54">
        <f>'dpc-covid19-ita-andamento-naz'!G38</f>
        <v>77635</v>
      </c>
      <c r="M44" s="54">
        <f>'dpc-covid19-ita-andamento-naz'!H38</f>
        <v>2107</v>
      </c>
      <c r="N44" s="54">
        <f>Tabella2[[#This Row],[New_cases_fit]]-Tabella2[[#This Row],[New_Recovered_fit]]-Tabella2[[#This Row],[New_Deaths_fit]]</f>
        <v>3173.7716249373038</v>
      </c>
      <c r="O44" s="10">
        <f>'dpc-covid19-ita-andamento-naz'!J38</f>
        <v>15729</v>
      </c>
      <c r="P44" s="48">
        <f>Tabella2[[#This Row],[Cum_recov]]-O43</f>
        <v>1109</v>
      </c>
      <c r="Q44" s="60">
        <f>Tabella2[[#This Row],[New recovered]]*NOT(ISBLANK(Tabella2[[#This Row],[New recovered]]))</f>
        <v>1109</v>
      </c>
      <c r="R44" s="50">
        <f>Kd*t0d*_xlfn.GAMMA.DIST(Tabella2[[#This Row],[Day]]/t0d,wd+1,1,1)*_xlfn.GAMMA(wd+1)</f>
        <v>14793.003919048197</v>
      </c>
      <c r="S44" s="10">
        <f>Kd*((Tabella2[[#This Row],[Day]]/t0d)^wd)*EXP(-(Tabella2[[#This Row],[Day]]/t0d))</f>
        <v>1178.6275630457001</v>
      </c>
      <c r="T44" s="60">
        <f>Tabella2[[#This Row],[New_Recovered_fit]]*NOT(ISBLANK(Tabella2[[#This Row],[New recovered]]))</f>
        <v>1178.6275630457001</v>
      </c>
      <c r="U44" s="10">
        <f>Tabella2[[#This Row],[New_Recovered_fit]]+CId</f>
        <v>1678.447295435767</v>
      </c>
      <c r="V44" s="10">
        <f>MAX(Tabella2[[#This Row],[New_Recovered_fit]]-CId,0)</f>
        <v>678.80783065563298</v>
      </c>
      <c r="W44" s="10">
        <f>'dpc-covid19-ita-andamento-naz'!K38</f>
        <v>12428</v>
      </c>
      <c r="X44" s="26">
        <f>Tabella2[[#This Row],[Cum_deaths]]-W43</f>
        <v>837</v>
      </c>
      <c r="Y44" s="65">
        <f>Tabella2[[#This Row],[New deaths]]*NOT(ISBLANK(Tabella2[[#This Row],[New deaths]]))</f>
        <v>837</v>
      </c>
      <c r="Z44" s="50">
        <f>kt*t0t*_xlfn.GAMMA.DIST(Tabella2[[#This Row],[Day]]/t0t,wt+1,1,1)*_xlfn.GAMMA(wt+1)</f>
        <v>11698.585081209598</v>
      </c>
      <c r="AA44" s="10">
        <f>kt*((Tabella2[[#This Row],[Day]]/t0t)^wt)*EXP(-(Tabella2[[#This Row],[Day]]/t0t))</f>
        <v>780.23636288318858</v>
      </c>
      <c r="AB44" s="65">
        <f>Tabella2[[#This Row],[New_Deaths_fit]]*NOT(ISBLANK(Tabella2[[#This Row],[New deaths]]))</f>
        <v>780.23636288318858</v>
      </c>
      <c r="AC44" s="10">
        <f>Tabella2[[#This Row],[New_Deaths_fit]]+CIt</f>
        <v>916.29263771206365</v>
      </c>
      <c r="AD44" s="10">
        <f>MAX(Tabella2[[#This Row],[New_Deaths_fit]]-CIt,0)</f>
        <v>644.1800880543135</v>
      </c>
    </row>
    <row r="45" spans="2:46" x14ac:dyDescent="0.3">
      <c r="B45" s="9">
        <v>43922</v>
      </c>
      <c r="C45" s="4">
        <f t="shared" si="0"/>
        <v>37</v>
      </c>
      <c r="D45" s="10">
        <f>'dpc-covid19-ita-andamento-naz'!L39</f>
        <v>110574</v>
      </c>
      <c r="E45" s="30">
        <f>'dpc-covid19-ita-andamento-naz'!I39</f>
        <v>4782</v>
      </c>
      <c r="F45" s="56">
        <f>Tabella2[[#This Row],[New cases]]*NOT(ISBLANK(Tabella2[[#This Row],[New cases]]))</f>
        <v>4782</v>
      </c>
      <c r="G45" s="50">
        <f>Kn*t0n*_xlfn.GAMMA.DIST(Tabella2[[#This Row],[Day]]/t0n,wn+1,1,1)*_xlfn.GAMMA(wn+1)</f>
        <v>106711.83614129333</v>
      </c>
      <c r="H45" s="10">
        <f>Kn*((Tabella2[[#This Row],[Day]]/t0n)^wn)*EXP(-(Tabella2[[#This Row],[Day]]/t0n))</f>
        <v>5007.6188890876138</v>
      </c>
      <c r="I45" s="56">
        <f>Tabella2[[#This Row],[New_cases_fit]]*NOT(ISBLANK(Tabella2[[#This Row],[New cases]]))</f>
        <v>5007.6188890876138</v>
      </c>
      <c r="J45" s="10">
        <f>Tabella2[[#This Row],[New_cases_fit]]+CIn</f>
        <v>6159.9276731894624</v>
      </c>
      <c r="K45" s="10">
        <f>MAX(Tabella2[[#This Row],[New_cases_fit]]-CIn,0)</f>
        <v>3855.3101049857646</v>
      </c>
      <c r="L45" s="54">
        <f>'dpc-covid19-ita-andamento-naz'!G39</f>
        <v>80572</v>
      </c>
      <c r="M45" s="54">
        <f>'dpc-covid19-ita-andamento-naz'!H39</f>
        <v>2937</v>
      </c>
      <c r="N45" s="54">
        <f>Tabella2[[#This Row],[New_cases_fit]]-Tabella2[[#This Row],[New_Recovered_fit]]-Tabella2[[#This Row],[New_Deaths_fit]]</f>
        <v>2998.9078251436349</v>
      </c>
      <c r="O45" s="10">
        <f>'dpc-covid19-ita-andamento-naz'!J39</f>
        <v>16847</v>
      </c>
      <c r="P45" s="48">
        <f>Tabella2[[#This Row],[Cum_recov]]-O44</f>
        <v>1118</v>
      </c>
      <c r="Q45" s="60">
        <f>Tabella2[[#This Row],[New recovered]]*NOT(ISBLANK(Tabella2[[#This Row],[New recovered]]))</f>
        <v>1118</v>
      </c>
      <c r="R45" s="50">
        <f>Kd*t0d*_xlfn.GAMMA.DIST(Tabella2[[#This Row],[Day]]/t0d,wd+1,1,1)*_xlfn.GAMMA(wd+1)</f>
        <v>16002.275702499097</v>
      </c>
      <c r="S45" s="10">
        <f>Kd*((Tabella2[[#This Row],[Day]]/t0d)^wd)*EXP(-(Tabella2[[#This Row],[Day]]/t0d))</f>
        <v>1240.1504583154299</v>
      </c>
      <c r="T45" s="60">
        <f>Tabella2[[#This Row],[New_Recovered_fit]]*NOT(ISBLANK(Tabella2[[#This Row],[New recovered]]))</f>
        <v>1240.1504583154299</v>
      </c>
      <c r="U45" s="10">
        <f>Tabella2[[#This Row],[New_Recovered_fit]]+CId</f>
        <v>1739.9701907054969</v>
      </c>
      <c r="V45" s="10">
        <f>MAX(Tabella2[[#This Row],[New_Recovered_fit]]-CId,0)</f>
        <v>740.3307259253628</v>
      </c>
      <c r="W45" s="10">
        <f>'dpc-covid19-ita-andamento-naz'!K39</f>
        <v>13155</v>
      </c>
      <c r="X45" s="26">
        <f>Tabella2[[#This Row],[Cum_deaths]]-W44</f>
        <v>727</v>
      </c>
      <c r="Y45" s="65">
        <f>Tabella2[[#This Row],[New deaths]]*NOT(ISBLANK(Tabella2[[#This Row],[New deaths]]))</f>
        <v>727</v>
      </c>
      <c r="Z45" s="50">
        <f>kt*t0t*_xlfn.GAMMA.DIST(Tabella2[[#This Row],[Day]]/t0t,wt+1,1,1)*_xlfn.GAMMA(wt+1)</f>
        <v>12473.327572480512</v>
      </c>
      <c r="AA45" s="10">
        <f>kt*((Tabella2[[#This Row],[Day]]/t0t)^wt)*EXP(-(Tabella2[[#This Row],[Day]]/t0t))</f>
        <v>768.56060562854873</v>
      </c>
      <c r="AB45" s="65">
        <f>Tabella2[[#This Row],[New_Deaths_fit]]*NOT(ISBLANK(Tabella2[[#This Row],[New deaths]]))</f>
        <v>768.56060562854873</v>
      </c>
      <c r="AC45" s="10">
        <f>Tabella2[[#This Row],[New_Deaths_fit]]+CIt</f>
        <v>904.6168804574238</v>
      </c>
      <c r="AD45" s="10">
        <f>MAX(Tabella2[[#This Row],[New_Deaths_fit]]-CIt,0)</f>
        <v>632.50433079967365</v>
      </c>
    </row>
    <row r="46" spans="2:46" x14ac:dyDescent="0.3">
      <c r="B46" s="9">
        <v>43923</v>
      </c>
      <c r="C46" s="4">
        <f t="shared" si="0"/>
        <v>38</v>
      </c>
      <c r="D46" s="10">
        <f>'dpc-covid19-ita-andamento-naz'!L40</f>
        <v>115242</v>
      </c>
      <c r="E46" s="30">
        <f>'dpc-covid19-ita-andamento-naz'!I40</f>
        <v>4668</v>
      </c>
      <c r="F46" s="56">
        <f>Tabella2[[#This Row],[New cases]]*NOT(ISBLANK(Tabella2[[#This Row],[New cases]]))</f>
        <v>4668</v>
      </c>
      <c r="G46" s="50">
        <f>Kn*t0n*_xlfn.GAMMA.DIST(Tabella2[[#This Row],[Day]]/t0n,wn+1,1,1)*_xlfn.GAMMA(wn+1)</f>
        <v>111650.80702920166</v>
      </c>
      <c r="H46" s="10">
        <f>Kn*((Tabella2[[#This Row],[Day]]/t0n)^wn)*EXP(-(Tabella2[[#This Row],[Day]]/t0n))</f>
        <v>4868.0972208090116</v>
      </c>
      <c r="I46" s="56">
        <f>Tabella2[[#This Row],[New_cases_fit]]*NOT(ISBLANK(Tabella2[[#This Row],[New cases]]))</f>
        <v>4868.0972208090116</v>
      </c>
      <c r="J46" s="10">
        <f>Tabella2[[#This Row],[New_cases_fit]]+CIn</f>
        <v>6020.4060049108612</v>
      </c>
      <c r="K46" s="10">
        <f>MAX(Tabella2[[#This Row],[New_cases_fit]]-CIn,0)</f>
        <v>3715.7884367071624</v>
      </c>
      <c r="L46" s="54">
        <f>'dpc-covid19-ita-andamento-naz'!G40</f>
        <v>83049</v>
      </c>
      <c r="M46" s="54">
        <f>'dpc-covid19-ita-andamento-naz'!H40</f>
        <v>2477</v>
      </c>
      <c r="N46" s="54">
        <f>Tabella2[[#This Row],[New_cases_fit]]-Tabella2[[#This Row],[New_Recovered_fit]]-Tabella2[[#This Row],[New_Deaths_fit]]</f>
        <v>2812.045906872655</v>
      </c>
      <c r="O46" s="10">
        <f>'dpc-covid19-ita-andamento-naz'!J40</f>
        <v>18278</v>
      </c>
      <c r="P46" s="48">
        <f>Tabella2[[#This Row],[Cum_recov]]-O45</f>
        <v>1431</v>
      </c>
      <c r="Q46" s="60">
        <f>Tabella2[[#This Row],[New recovered]]*NOT(ISBLANK(Tabella2[[#This Row],[New recovered]]))</f>
        <v>1431</v>
      </c>
      <c r="R46" s="50">
        <f>Kd*t0d*_xlfn.GAMMA.DIST(Tabella2[[#This Row],[Day]]/t0d,wd+1,1,1)*_xlfn.GAMMA(wd+1)</f>
        <v>17273.77219106011</v>
      </c>
      <c r="S46" s="10">
        <f>Kd*((Tabella2[[#This Row],[Day]]/t0d)^wd)*EXP(-(Tabella2[[#This Row],[Day]]/t0d))</f>
        <v>1303.0754249597048</v>
      </c>
      <c r="T46" s="60">
        <f>Tabella2[[#This Row],[New_Recovered_fit]]*NOT(ISBLANK(Tabella2[[#This Row],[New recovered]]))</f>
        <v>1303.0754249597048</v>
      </c>
      <c r="U46" s="10">
        <f>Tabella2[[#This Row],[New_Recovered_fit]]+CId</f>
        <v>1802.895157349772</v>
      </c>
      <c r="V46" s="10">
        <f>MAX(Tabella2[[#This Row],[New_Recovered_fit]]-CId,0)</f>
        <v>803.25569256963774</v>
      </c>
      <c r="W46" s="10">
        <f>'dpc-covid19-ita-andamento-naz'!K40</f>
        <v>13915</v>
      </c>
      <c r="X46" s="26">
        <f>Tabella2[[#This Row],[Cum_deaths]]-W45</f>
        <v>760</v>
      </c>
      <c r="Y46" s="65">
        <f>Tabella2[[#This Row],[New deaths]]*NOT(ISBLANK(Tabella2[[#This Row],[New deaths]]))</f>
        <v>760</v>
      </c>
      <c r="Z46" s="50">
        <f>kt*t0t*_xlfn.GAMMA.DIST(Tabella2[[#This Row],[Day]]/t0t,wt+1,1,1)*_xlfn.GAMMA(wt+1)</f>
        <v>13234.403023955687</v>
      </c>
      <c r="AA46" s="10">
        <f>kt*((Tabella2[[#This Row],[Day]]/t0t)^wt)*EXP(-(Tabella2[[#This Row],[Day]]/t0t))</f>
        <v>752.97588897665196</v>
      </c>
      <c r="AB46" s="65">
        <f>Tabella2[[#This Row],[New_Deaths_fit]]*NOT(ISBLANK(Tabella2[[#This Row],[New deaths]]))</f>
        <v>752.97588897665196</v>
      </c>
      <c r="AC46" s="10">
        <f>Tabella2[[#This Row],[New_Deaths_fit]]+CIt</f>
        <v>889.03216380552703</v>
      </c>
      <c r="AD46" s="10">
        <f>MAX(Tabella2[[#This Row],[New_Deaths_fit]]-CIt,0)</f>
        <v>616.91961414777688</v>
      </c>
    </row>
    <row r="47" spans="2:46" x14ac:dyDescent="0.3">
      <c r="B47" s="9">
        <v>43924</v>
      </c>
      <c r="C47" s="4">
        <f t="shared" si="0"/>
        <v>39</v>
      </c>
      <c r="D47" s="10">
        <f>'dpc-covid19-ita-andamento-naz'!L41</f>
        <v>119827</v>
      </c>
      <c r="E47" s="30">
        <f>'dpc-covid19-ita-andamento-naz'!I41</f>
        <v>4585</v>
      </c>
      <c r="F47" s="56">
        <f>Tabella2[[#This Row],[New cases]]*NOT(ISBLANK(Tabella2[[#This Row],[New cases]]))</f>
        <v>4585</v>
      </c>
      <c r="G47" s="50">
        <f>Kn*t0n*_xlfn.GAMMA.DIST(Tabella2[[#This Row],[Day]]/t0n,wn+1,1,1)*_xlfn.GAMMA(wn+1)</f>
        <v>116443.95467232191</v>
      </c>
      <c r="H47" s="10">
        <f>Kn*((Tabella2[[#This Row],[Day]]/t0n)^wn)*EXP(-(Tabella2[[#This Row],[Day]]/t0n))</f>
        <v>4716.3448427673075</v>
      </c>
      <c r="I47" s="56">
        <f>Tabella2[[#This Row],[New_cases_fit]]*NOT(ISBLANK(Tabella2[[#This Row],[New cases]]))</f>
        <v>4716.3448427673075</v>
      </c>
      <c r="J47" s="10">
        <f>Tabella2[[#This Row],[New_cases_fit]]+CIn</f>
        <v>5868.6536268691561</v>
      </c>
      <c r="K47" s="10">
        <f>MAX(Tabella2[[#This Row],[New_cases_fit]]-CIn,0)</f>
        <v>3564.0360586654583</v>
      </c>
      <c r="L47" s="54">
        <f>'dpc-covid19-ita-andamento-naz'!G41</f>
        <v>85388</v>
      </c>
      <c r="M47" s="54">
        <f>'dpc-covid19-ita-andamento-naz'!H41</f>
        <v>2339</v>
      </c>
      <c r="N47" s="54">
        <f>Tabella2[[#This Row],[New_cases_fit]]-Tabella2[[#This Row],[New_Recovered_fit]]-Tabella2[[#This Row],[New_Deaths_fit]]</f>
        <v>2615.0174646051919</v>
      </c>
      <c r="O47" s="10">
        <f>'dpc-covid19-ita-andamento-naz'!J41</f>
        <v>19758</v>
      </c>
      <c r="P47" s="48">
        <f>Tabella2[[#This Row],[Cum_recov]]-O46</f>
        <v>1480</v>
      </c>
      <c r="Q47" s="60">
        <f>Tabella2[[#This Row],[New recovered]]*NOT(ISBLANK(Tabella2[[#This Row],[New recovered]]))</f>
        <v>1480</v>
      </c>
      <c r="R47" s="50">
        <f>Kd*t0d*_xlfn.GAMMA.DIST(Tabella2[[#This Row],[Day]]/t0d,wd+1,1,1)*_xlfn.GAMMA(wd+1)</f>
        <v>18608.890836955943</v>
      </c>
      <c r="S47" s="10">
        <f>Kd*((Tabella2[[#This Row],[Day]]/t0d)^wd)*EXP(-(Tabella2[[#This Row],[Day]]/t0d))</f>
        <v>1367.3932501933373</v>
      </c>
      <c r="T47" s="60">
        <f>Tabella2[[#This Row],[New_Recovered_fit]]*NOT(ISBLANK(Tabella2[[#This Row],[New recovered]]))</f>
        <v>1367.3932501933373</v>
      </c>
      <c r="U47" s="10">
        <f>Tabella2[[#This Row],[New_Recovered_fit]]+CId</f>
        <v>1867.2129825834045</v>
      </c>
      <c r="V47" s="10">
        <f>MAX(Tabella2[[#This Row],[New_Recovered_fit]]-CId,0)</f>
        <v>867.57351780327019</v>
      </c>
      <c r="W47" s="10">
        <f>'dpc-covid19-ita-andamento-naz'!K41</f>
        <v>14681</v>
      </c>
      <c r="X47" s="26">
        <f>Tabella2[[#This Row],[Cum_deaths]]-W46</f>
        <v>766</v>
      </c>
      <c r="Y47" s="65">
        <f>Tabella2[[#This Row],[New deaths]]*NOT(ISBLANK(Tabella2[[#This Row],[New deaths]]))</f>
        <v>766</v>
      </c>
      <c r="Z47" s="50">
        <f>kt*t0t*_xlfn.GAMMA.DIST(Tabella2[[#This Row],[Day]]/t0t,wt+1,1,1)*_xlfn.GAMMA(wt+1)</f>
        <v>13978.126863597525</v>
      </c>
      <c r="AA47" s="10">
        <f>kt*((Tabella2[[#This Row],[Day]]/t0t)^wt)*EXP(-(Tabella2[[#This Row],[Day]]/t0t))</f>
        <v>733.93412796877828</v>
      </c>
      <c r="AB47" s="65">
        <f>Tabella2[[#This Row],[New_Deaths_fit]]*NOT(ISBLANK(Tabella2[[#This Row],[New deaths]]))</f>
        <v>733.93412796877828</v>
      </c>
      <c r="AC47" s="10">
        <f>Tabella2[[#This Row],[New_Deaths_fit]]+CIt</f>
        <v>869.99040279765336</v>
      </c>
      <c r="AD47" s="10">
        <f>MAX(Tabella2[[#This Row],[New_Deaths_fit]]-CIt,0)</f>
        <v>597.87785313990321</v>
      </c>
    </row>
    <row r="48" spans="2:46" x14ac:dyDescent="0.3">
      <c r="B48" s="9">
        <v>43925</v>
      </c>
      <c r="C48" s="4">
        <f t="shared" si="0"/>
        <v>40</v>
      </c>
      <c r="D48" s="10">
        <f>'dpc-covid19-ita-andamento-naz'!L42</f>
        <v>124632</v>
      </c>
      <c r="E48" s="30">
        <f>'dpc-covid19-ita-andamento-naz'!I42</f>
        <v>4805</v>
      </c>
      <c r="F48" s="56">
        <f>Tabella2[[#This Row],[New cases]]*NOT(ISBLANK(Tabella2[[#This Row],[New cases]]))</f>
        <v>4805</v>
      </c>
      <c r="G48" s="50">
        <f>Kn*t0n*_xlfn.GAMMA.DIST(Tabella2[[#This Row],[Day]]/t0n,wn+1,1,1)*_xlfn.GAMMA(wn+1)</f>
        <v>121080.14961131179</v>
      </c>
      <c r="H48" s="10">
        <f>Kn*((Tabella2[[#This Row],[Day]]/t0n)^wn)*EXP(-(Tabella2[[#This Row],[Day]]/t0n))</f>
        <v>4554.5474245326795</v>
      </c>
      <c r="I48" s="56">
        <f>Tabella2[[#This Row],[New_cases_fit]]*NOT(ISBLANK(Tabella2[[#This Row],[New cases]]))</f>
        <v>4554.5474245326795</v>
      </c>
      <c r="J48" s="10">
        <f>Tabella2[[#This Row],[New_cases_fit]]+CIn</f>
        <v>5706.8562086345282</v>
      </c>
      <c r="K48" s="10">
        <f>MAX(Tabella2[[#This Row],[New_cases_fit]]-CIn,0)</f>
        <v>3402.2386404308304</v>
      </c>
      <c r="L48" s="54">
        <f>'dpc-covid19-ita-andamento-naz'!G42</f>
        <v>88274</v>
      </c>
      <c r="M48" s="54">
        <f>'dpc-covid19-ita-andamento-naz'!H42</f>
        <v>2886</v>
      </c>
      <c r="N48" s="54">
        <f>Tabella2[[#This Row],[New_cases_fit]]-Tabella2[[#This Row],[New_Recovered_fit]]-Tabella2[[#This Row],[New_Deaths_fit]]</f>
        <v>2409.5526509498713</v>
      </c>
      <c r="O48" s="10">
        <f>'dpc-covid19-ita-andamento-naz'!J42</f>
        <v>20996</v>
      </c>
      <c r="P48" s="48">
        <f>Tabella2[[#This Row],[Cum_recov]]-O47</f>
        <v>1238</v>
      </c>
      <c r="Q48" s="60">
        <f>Tabella2[[#This Row],[New recovered]]*NOT(ISBLANK(Tabella2[[#This Row],[New recovered]]))</f>
        <v>1238</v>
      </c>
      <c r="R48" s="50">
        <f>Kd*t0d*_xlfn.GAMMA.DIST(Tabella2[[#This Row],[Day]]/t0d,wd+1,1,1)*_xlfn.GAMMA(wd+1)</f>
        <v>20009.019954927713</v>
      </c>
      <c r="S48" s="10">
        <f>Kd*((Tabella2[[#This Row],[Day]]/t0d)^wd)*EXP(-(Tabella2[[#This Row],[Day]]/t0d))</f>
        <v>1433.0948706119757</v>
      </c>
      <c r="T48" s="60">
        <f>Tabella2[[#This Row],[New_Recovered_fit]]*NOT(ISBLANK(Tabella2[[#This Row],[New recovered]]))</f>
        <v>1433.0948706119757</v>
      </c>
      <c r="U48" s="10">
        <f>Tabella2[[#This Row],[New_Recovered_fit]]+CId</f>
        <v>1932.9146030020429</v>
      </c>
      <c r="V48" s="10">
        <f>MAX(Tabella2[[#This Row],[New_Recovered_fit]]-CId,0)</f>
        <v>933.27513822190861</v>
      </c>
      <c r="W48" s="10">
        <f>'dpc-covid19-ita-andamento-naz'!K42</f>
        <v>15362</v>
      </c>
      <c r="X48" s="26">
        <f>Tabella2[[#This Row],[Cum_deaths]]-W47</f>
        <v>681</v>
      </c>
      <c r="Y48" s="65">
        <f>Tabella2[[#This Row],[New deaths]]*NOT(ISBLANK(Tabella2[[#This Row],[New deaths]]))</f>
        <v>681</v>
      </c>
      <c r="Z48" s="50">
        <f>kt*t0t*_xlfn.GAMMA.DIST(Tabella2[[#This Row],[Day]]/t0t,wt+1,1,1)*_xlfn.GAMMA(wt+1)</f>
        <v>14701.273779672261</v>
      </c>
      <c r="AA48" s="10">
        <f>kt*((Tabella2[[#This Row],[Day]]/t0t)^wt)*EXP(-(Tabella2[[#This Row],[Day]]/t0t))</f>
        <v>711.8999029708325</v>
      </c>
      <c r="AB48" s="65">
        <f>Tabella2[[#This Row],[New_Deaths_fit]]*NOT(ISBLANK(Tabella2[[#This Row],[New deaths]]))</f>
        <v>711.8999029708325</v>
      </c>
      <c r="AC48" s="10">
        <f>Tabella2[[#This Row],[New_Deaths_fit]]+CIt</f>
        <v>847.95617779970758</v>
      </c>
      <c r="AD48" s="10">
        <f>MAX(Tabella2[[#This Row],[New_Deaths_fit]]-CIt,0)</f>
        <v>575.84362814195742</v>
      </c>
    </row>
    <row r="49" spans="2:30" x14ac:dyDescent="0.3">
      <c r="B49" s="9">
        <v>43926</v>
      </c>
      <c r="C49" s="4">
        <f t="shared" si="0"/>
        <v>41</v>
      </c>
      <c r="D49" s="10">
        <f>'dpc-covid19-ita-andamento-naz'!L43</f>
        <v>128948</v>
      </c>
      <c r="E49" s="30">
        <f>'dpc-covid19-ita-andamento-naz'!I43</f>
        <v>4316</v>
      </c>
      <c r="F49" s="56">
        <f>Tabella2[[#This Row],[New cases]]*NOT(ISBLANK(Tabella2[[#This Row],[New cases]]))</f>
        <v>4316</v>
      </c>
      <c r="G49" s="50">
        <f>Kn*t0n*_xlfn.GAMMA.DIST(Tabella2[[#This Row],[Day]]/t0n,wn+1,1,1)*_xlfn.GAMMA(wn+1)</f>
        <v>125550.39408234193</v>
      </c>
      <c r="H49" s="10">
        <f>Kn*((Tabella2[[#This Row],[Day]]/t0n)^wn)*EXP(-(Tabella2[[#This Row],[Day]]/t0n))</f>
        <v>4384.7793897264064</v>
      </c>
      <c r="I49" s="56">
        <f>Tabella2[[#This Row],[New_cases_fit]]*NOT(ISBLANK(Tabella2[[#This Row],[New cases]]))</f>
        <v>4384.7793897264064</v>
      </c>
      <c r="J49" s="10">
        <f>Tabella2[[#This Row],[New_cases_fit]]+CIn</f>
        <v>5537.0881738282551</v>
      </c>
      <c r="K49" s="10">
        <f>MAX(Tabella2[[#This Row],[New_cases_fit]]-CIn,0)</f>
        <v>3232.4706056245573</v>
      </c>
      <c r="L49" s="54">
        <f>'dpc-covid19-ita-andamento-naz'!G43</f>
        <v>91246</v>
      </c>
      <c r="M49" s="54">
        <f>'dpc-covid19-ita-andamento-naz'!H43</f>
        <v>2972</v>
      </c>
      <c r="N49" s="54">
        <f>Tabella2[[#This Row],[New_cases_fit]]-Tabella2[[#This Row],[New_Recovered_fit]]-Tabella2[[#This Row],[New_Deaths_fit]]</f>
        <v>2197.2689373004578</v>
      </c>
      <c r="O49" s="10">
        <f>'dpc-covid19-ita-andamento-naz'!J43</f>
        <v>21815</v>
      </c>
      <c r="P49" s="48">
        <f>Tabella2[[#This Row],[Cum_recov]]-O48</f>
        <v>819</v>
      </c>
      <c r="Q49" s="60">
        <f>Tabella2[[#This Row],[New recovered]]*NOT(ISBLANK(Tabella2[[#This Row],[New recovered]]))</f>
        <v>819</v>
      </c>
      <c r="R49" s="50">
        <f>Kd*t0d*_xlfn.GAMMA.DIST(Tabella2[[#This Row],[Day]]/t0d,wd+1,1,1)*_xlfn.GAMMA(wd+1)</f>
        <v>21475.538868041422</v>
      </c>
      <c r="S49" s="10">
        <f>Kd*((Tabella2[[#This Row],[Day]]/t0d)^wd)*EXP(-(Tabella2[[#This Row],[Day]]/t0d))</f>
        <v>1500.1713651401424</v>
      </c>
      <c r="T49" s="60">
        <f>Tabella2[[#This Row],[New_Recovered_fit]]*NOT(ISBLANK(Tabella2[[#This Row],[New recovered]]))</f>
        <v>1500.1713651401424</v>
      </c>
      <c r="U49" s="10">
        <f>Tabella2[[#This Row],[New_Recovered_fit]]+CId</f>
        <v>1999.9910975302096</v>
      </c>
      <c r="V49" s="10">
        <f>MAX(Tabella2[[#This Row],[New_Recovered_fit]]-CId,0)</f>
        <v>1000.3516327500753</v>
      </c>
      <c r="W49" s="10">
        <f>'dpc-covid19-ita-andamento-naz'!K43</f>
        <v>15887</v>
      </c>
      <c r="X49" s="26">
        <f>Tabella2[[#This Row],[Cum_deaths]]-W48</f>
        <v>525</v>
      </c>
      <c r="Y49" s="65">
        <f>Tabella2[[#This Row],[New deaths]]*NOT(ISBLANK(Tabella2[[#This Row],[New deaths]]))</f>
        <v>525</v>
      </c>
      <c r="Z49" s="50">
        <f>kt*t0t*_xlfn.GAMMA.DIST(Tabella2[[#This Row],[Day]]/t0t,wt+1,1,1)*_xlfn.GAMMA(wt+1)</f>
        <v>15401.08456895135</v>
      </c>
      <c r="AA49" s="10">
        <f>kt*((Tabella2[[#This Row],[Day]]/t0t)^wt)*EXP(-(Tabella2[[#This Row],[Day]]/t0t))</f>
        <v>687.33908728580616</v>
      </c>
      <c r="AB49" s="65">
        <f>Tabella2[[#This Row],[New_Deaths_fit]]*NOT(ISBLANK(Tabella2[[#This Row],[New deaths]]))</f>
        <v>687.33908728580616</v>
      </c>
      <c r="AC49" s="10">
        <f>Tabella2[[#This Row],[New_Deaths_fit]]+CIt</f>
        <v>823.39536211468135</v>
      </c>
      <c r="AD49" s="10">
        <f>MAX(Tabella2[[#This Row],[New_Deaths_fit]]-CIt,0)</f>
        <v>551.28281245693097</v>
      </c>
    </row>
    <row r="50" spans="2:30" x14ac:dyDescent="0.3">
      <c r="B50" s="9">
        <v>43927</v>
      </c>
      <c r="C50" s="4">
        <f t="shared" si="0"/>
        <v>42</v>
      </c>
      <c r="D50" s="10">
        <f>'dpc-covid19-ita-andamento-naz'!L44</f>
        <v>132547</v>
      </c>
      <c r="E50" s="30">
        <f>'dpc-covid19-ita-andamento-naz'!I44</f>
        <v>3599</v>
      </c>
      <c r="F50" s="56">
        <f>Tabella2[[#This Row],[New cases]]*NOT(ISBLANK(Tabella2[[#This Row],[New cases]]))</f>
        <v>3599</v>
      </c>
      <c r="G50" s="50">
        <f>Kn*t0n*_xlfn.GAMMA.DIST(Tabella2[[#This Row],[Day]]/t0n,wn+1,1,1)*_xlfn.GAMMA(wn+1)</f>
        <v>129847.70176227021</v>
      </c>
      <c r="H50" s="10">
        <f>Kn*((Tabella2[[#This Row],[Day]]/t0n)^wn)*EXP(-(Tabella2[[#This Row],[Day]]/t0n))</f>
        <v>4208.9867644066426</v>
      </c>
      <c r="I50" s="56">
        <f>Tabella2[[#This Row],[New_cases_fit]]*NOT(ISBLANK(Tabella2[[#This Row],[New cases]]))</f>
        <v>4208.9867644066426</v>
      </c>
      <c r="J50" s="10">
        <f>Tabella2[[#This Row],[New_cases_fit]]+CIn</f>
        <v>5361.2955485084913</v>
      </c>
      <c r="K50" s="10">
        <f>MAX(Tabella2[[#This Row],[New_cases_fit]]-CIn,0)</f>
        <v>3056.6779803047934</v>
      </c>
      <c r="L50" s="54">
        <f>'dpc-covid19-ita-andamento-naz'!G44</f>
        <v>93187</v>
      </c>
      <c r="M50" s="54">
        <f>'dpc-covid19-ita-andamento-naz'!H44</f>
        <v>1941</v>
      </c>
      <c r="N50" s="54">
        <f>Tabella2[[#This Row],[New_cases_fit]]-Tabella2[[#This Row],[New_Recovered_fit]]-Tabella2[[#This Row],[New_Deaths_fit]]</f>
        <v>1979.6637336582444</v>
      </c>
      <c r="O50" s="10">
        <f>'dpc-covid19-ita-andamento-naz'!J44</f>
        <v>22837</v>
      </c>
      <c r="P50" s="48">
        <f>Tabella2[[#This Row],[Cum_recov]]-O49</f>
        <v>1022</v>
      </c>
      <c r="Q50" s="60">
        <f>Tabella2[[#This Row],[New recovered]]*NOT(ISBLANK(Tabella2[[#This Row],[New recovered]]))</f>
        <v>1022</v>
      </c>
      <c r="R50" s="50">
        <f>Kd*t0d*_xlfn.GAMMA.DIST(Tabella2[[#This Row],[Day]]/t0d,wd+1,1,1)*_xlfn.GAMMA(wd+1)</f>
        <v>23009.818046712822</v>
      </c>
      <c r="S50" s="10">
        <f>Kd*((Tabella2[[#This Row],[Day]]/t0d)^wd)*EXP(-(Tabella2[[#This Row],[Day]]/t0d))</f>
        <v>1568.6139485062542</v>
      </c>
      <c r="T50" s="60">
        <f>Tabella2[[#This Row],[New_Recovered_fit]]*NOT(ISBLANK(Tabella2[[#This Row],[New recovered]]))</f>
        <v>1568.6139485062542</v>
      </c>
      <c r="U50" s="10">
        <f>Tabella2[[#This Row],[New_Recovered_fit]]+CId</f>
        <v>2068.4336808963212</v>
      </c>
      <c r="V50" s="10">
        <f>MAX(Tabella2[[#This Row],[New_Recovered_fit]]-CId,0)</f>
        <v>1068.7942161161873</v>
      </c>
      <c r="W50" s="10">
        <f>'dpc-covid19-ita-andamento-naz'!K44</f>
        <v>16523</v>
      </c>
      <c r="X50" s="26">
        <f>Tabella2[[#This Row],[Cum_deaths]]-W49</f>
        <v>636</v>
      </c>
      <c r="Y50" s="65">
        <f>Tabella2[[#This Row],[New deaths]]*NOT(ISBLANK(Tabella2[[#This Row],[New deaths]]))</f>
        <v>636</v>
      </c>
      <c r="Z50" s="50">
        <f>kt*t0t*_xlfn.GAMMA.DIST(Tabella2[[#This Row],[Day]]/t0t,wt+1,1,1)*_xlfn.GAMMA(wt+1)</f>
        <v>16075.262411052554</v>
      </c>
      <c r="AA50" s="10">
        <f>kt*((Tabella2[[#This Row],[Day]]/t0t)^wt)*EXP(-(Tabella2[[#This Row],[Day]]/t0t))</f>
        <v>660.70908224214418</v>
      </c>
      <c r="AB50" s="65">
        <f>Tabella2[[#This Row],[New_Deaths_fit]]*NOT(ISBLANK(Tabella2[[#This Row],[New deaths]]))</f>
        <v>660.70908224214418</v>
      </c>
      <c r="AC50" s="10">
        <f>Tabella2[[#This Row],[New_Deaths_fit]]+CIt</f>
        <v>796.76535707101925</v>
      </c>
      <c r="AD50" s="10">
        <f>MAX(Tabella2[[#This Row],[New_Deaths_fit]]-CIt,0)</f>
        <v>524.6528074132691</v>
      </c>
    </row>
    <row r="51" spans="2:30" x14ac:dyDescent="0.3">
      <c r="B51" s="9">
        <v>43928</v>
      </c>
      <c r="C51" s="4">
        <f t="shared" si="0"/>
        <v>43</v>
      </c>
      <c r="D51" s="10">
        <f>'dpc-covid19-ita-andamento-naz'!L45</f>
        <v>135586</v>
      </c>
      <c r="E51" s="30">
        <f>'dpc-covid19-ita-andamento-naz'!I45</f>
        <v>3039</v>
      </c>
      <c r="F51" s="56">
        <f>Tabella2[[#This Row],[New cases]]*NOT(ISBLANK(Tabella2[[#This Row],[New cases]]))</f>
        <v>3039</v>
      </c>
      <c r="G51" s="50">
        <f>Kn*t0n*_xlfn.GAMMA.DIST(Tabella2[[#This Row],[Day]]/t0n,wn+1,1,1)*_xlfn.GAMMA(wn+1)</f>
        <v>133966.9628670513</v>
      </c>
      <c r="H51" s="10">
        <f>Kn*((Tabella2[[#This Row],[Day]]/t0n)^wn)*EXP(-(Tabella2[[#This Row],[Day]]/t0n))</f>
        <v>4028.9749409870592</v>
      </c>
      <c r="I51" s="56">
        <f>Tabella2[[#This Row],[New_cases_fit]]*NOT(ISBLANK(Tabella2[[#This Row],[New cases]]))</f>
        <v>4028.9749409870592</v>
      </c>
      <c r="J51" s="10">
        <f>Tabella2[[#This Row],[New_cases_fit]]+CIn</f>
        <v>5181.2837250889079</v>
      </c>
      <c r="K51" s="10">
        <f>MAX(Tabella2[[#This Row],[New_cases_fit]]-CIn,0)</f>
        <v>2876.6661568852101</v>
      </c>
      <c r="L51" s="54">
        <f>'dpc-covid19-ita-andamento-naz'!G45</f>
        <v>94067</v>
      </c>
      <c r="M51" s="54">
        <f>'dpc-covid19-ita-andamento-naz'!H45</f>
        <v>880</v>
      </c>
      <c r="N51" s="54">
        <f>Tabella2[[#This Row],[New_cases_fit]]-Tabella2[[#This Row],[New_Recovered_fit]]-Tabella2[[#This Row],[New_Deaths_fit]]</f>
        <v>1758.1102887274296</v>
      </c>
      <c r="O51" s="10">
        <f>'dpc-covid19-ita-andamento-naz'!J45</f>
        <v>24392</v>
      </c>
      <c r="P51" s="48">
        <f>Tabella2[[#This Row],[Cum_recov]]-O50</f>
        <v>1555</v>
      </c>
      <c r="Q51" s="60">
        <f>Tabella2[[#This Row],[New recovered]]*NOT(ISBLANK(Tabella2[[#This Row],[New recovered]]))</f>
        <v>1555</v>
      </c>
      <c r="R51" s="50">
        <f>Kd*t0d*_xlfn.GAMMA.DIST(Tabella2[[#This Row],[Day]]/t0d,wd+1,1,1)*_xlfn.GAMMA(wd+1)</f>
        <v>24613.219241448754</v>
      </c>
      <c r="S51" s="10">
        <f>Kd*((Tabella2[[#This Row],[Day]]/t0d)^wd)*EXP(-(Tabella2[[#This Row],[Day]]/t0d))</f>
        <v>1638.4139651931148</v>
      </c>
      <c r="T51" s="60">
        <f>Tabella2[[#This Row],[New_Recovered_fit]]*NOT(ISBLANK(Tabella2[[#This Row],[New recovered]]))</f>
        <v>1638.4139651931148</v>
      </c>
      <c r="U51" s="10">
        <f>Tabella2[[#This Row],[New_Recovered_fit]]+CId</f>
        <v>2138.2336975831818</v>
      </c>
      <c r="V51" s="10">
        <f>MAX(Tabella2[[#This Row],[New_Recovered_fit]]-CId,0)</f>
        <v>1138.5942328030478</v>
      </c>
      <c r="W51" s="10">
        <f>'dpc-covid19-ita-andamento-naz'!K45</f>
        <v>17127</v>
      </c>
      <c r="X51" s="26">
        <f>Tabella2[[#This Row],[Cum_deaths]]-W50</f>
        <v>604</v>
      </c>
      <c r="Y51" s="65">
        <f>Tabella2[[#This Row],[New deaths]]*NOT(ISBLANK(Tabella2[[#This Row],[New deaths]]))</f>
        <v>604</v>
      </c>
      <c r="Z51" s="50">
        <f>kt*t0t*_xlfn.GAMMA.DIST(Tabella2[[#This Row],[Day]]/t0t,wt+1,1,1)*_xlfn.GAMMA(wt+1)</f>
        <v>16721.96019575719</v>
      </c>
      <c r="AA51" s="10">
        <f>kt*((Tabella2[[#This Row],[Day]]/t0t)^wt)*EXP(-(Tabella2[[#This Row],[Day]]/t0t))</f>
        <v>632.450687066515</v>
      </c>
      <c r="AB51" s="65">
        <f>Tabella2[[#This Row],[New_Deaths_fit]]*NOT(ISBLANK(Tabella2[[#This Row],[New deaths]]))</f>
        <v>632.450687066515</v>
      </c>
      <c r="AC51" s="10">
        <f>Tabella2[[#This Row],[New_Deaths_fit]]+CIt</f>
        <v>768.50696189539008</v>
      </c>
      <c r="AD51" s="10">
        <f>MAX(Tabella2[[#This Row],[New_Deaths_fit]]-CIt,0)</f>
        <v>496.39441223763987</v>
      </c>
    </row>
    <row r="52" spans="2:30" x14ac:dyDescent="0.3">
      <c r="B52" s="9">
        <v>43929</v>
      </c>
      <c r="C52" s="4">
        <f t="shared" si="0"/>
        <v>44</v>
      </c>
      <c r="D52" s="10">
        <f>'dpc-covid19-ita-andamento-naz'!L46</f>
        <v>139422</v>
      </c>
      <c r="E52" s="30">
        <f>'dpc-covid19-ita-andamento-naz'!I46</f>
        <v>3836</v>
      </c>
      <c r="F52" s="56">
        <f>Tabella2[[#This Row],[New cases]]*NOT(ISBLANK(Tabella2[[#This Row],[New cases]]))</f>
        <v>3836</v>
      </c>
      <c r="G52" s="50">
        <f>Kn*t0n*_xlfn.GAMMA.DIST(Tabella2[[#This Row],[Day]]/t0n,wn+1,1,1)*_xlfn.GAMMA(wn+1)</f>
        <v>137904.79923446593</v>
      </c>
      <c r="H52" s="10">
        <f>Kn*((Tabella2[[#This Row],[Day]]/t0n)^wn)*EXP(-(Tabella2[[#This Row],[Day]]/t0n))</f>
        <v>3846.400787500997</v>
      </c>
      <c r="I52" s="56">
        <f>Tabella2[[#This Row],[New_cases_fit]]*NOT(ISBLANK(Tabella2[[#This Row],[New cases]]))</f>
        <v>3846.400787500997</v>
      </c>
      <c r="J52" s="10">
        <f>Tabella2[[#This Row],[New_cases_fit]]+CIn</f>
        <v>4998.7095716028462</v>
      </c>
      <c r="K52" s="10">
        <f>MAX(Tabella2[[#This Row],[New_cases_fit]]-CIn,0)</f>
        <v>2694.0920033991479</v>
      </c>
      <c r="L52" s="54">
        <f>'dpc-covid19-ita-andamento-naz'!G46</f>
        <v>95262</v>
      </c>
      <c r="M52" s="54">
        <f>'dpc-covid19-ita-andamento-naz'!H46</f>
        <v>1195</v>
      </c>
      <c r="N52" s="54">
        <f>Tabella2[[#This Row],[New_cases_fit]]-Tabella2[[#This Row],[New_Recovered_fit]]-Tabella2[[#This Row],[New_Deaths_fit]]</f>
        <v>1533.8563340535284</v>
      </c>
      <c r="O52" s="10">
        <f>'dpc-covid19-ita-andamento-naz'!J46</f>
        <v>26491</v>
      </c>
      <c r="P52" s="48">
        <f>Tabella2[[#This Row],[Cum_recov]]-O51</f>
        <v>2099</v>
      </c>
      <c r="Q52" s="60">
        <f>Tabella2[[#This Row],[New recovered]]*NOT(ISBLANK(Tabella2[[#This Row],[New recovered]]))</f>
        <v>2099</v>
      </c>
      <c r="R52" s="50">
        <f>Kd*t0d*_xlfn.GAMMA.DIST(Tabella2[[#This Row],[Day]]/t0d,wd+1,1,1)*_xlfn.GAMMA(wd+1)</f>
        <v>26287.095609757838</v>
      </c>
      <c r="S52" s="10">
        <f>Kd*((Tabella2[[#This Row],[Day]]/t0d)^wd)*EXP(-(Tabella2[[#This Row],[Day]]/t0d))</f>
        <v>1709.5628838185166</v>
      </c>
      <c r="T52" s="60">
        <f>Tabella2[[#This Row],[New_Recovered_fit]]*NOT(ISBLANK(Tabella2[[#This Row],[New recovered]]))</f>
        <v>1709.5628838185166</v>
      </c>
      <c r="U52" s="10">
        <f>Tabella2[[#This Row],[New_Recovered_fit]]+CId</f>
        <v>2209.3826162085838</v>
      </c>
      <c r="V52" s="10">
        <f>MAX(Tabella2[[#This Row],[New_Recovered_fit]]-CId,0)</f>
        <v>1209.7431514284494</v>
      </c>
      <c r="W52" s="10">
        <f>'dpc-covid19-ita-andamento-naz'!K46</f>
        <v>17669</v>
      </c>
      <c r="X52" s="26">
        <f>Tabella2[[#This Row],[Cum_deaths]]-W51</f>
        <v>542</v>
      </c>
      <c r="Y52" s="65">
        <f>Tabella2[[#This Row],[New deaths]]*NOT(ISBLANK(Tabella2[[#This Row],[New deaths]]))</f>
        <v>542</v>
      </c>
      <c r="Z52" s="50">
        <f>kt*t0t*_xlfn.GAMMA.DIST(Tabella2[[#This Row],[Day]]/t0t,wt+1,1,1)*_xlfn.GAMMA(wt+1)</f>
        <v>17339.760525636866</v>
      </c>
      <c r="AA52" s="10">
        <f>kt*((Tabella2[[#This Row],[Day]]/t0t)^wt)*EXP(-(Tabella2[[#This Row],[Day]]/t0t))</f>
        <v>602.98156962895212</v>
      </c>
      <c r="AB52" s="65">
        <f>Tabella2[[#This Row],[New_Deaths_fit]]*NOT(ISBLANK(Tabella2[[#This Row],[New deaths]]))</f>
        <v>602.98156962895212</v>
      </c>
      <c r="AC52" s="10">
        <f>Tabella2[[#This Row],[New_Deaths_fit]]+CIt</f>
        <v>739.0378444578273</v>
      </c>
      <c r="AD52" s="10">
        <f>MAX(Tabella2[[#This Row],[New_Deaths_fit]]-CIt,0)</f>
        <v>466.92529480007698</v>
      </c>
    </row>
    <row r="53" spans="2:30" x14ac:dyDescent="0.3">
      <c r="B53" s="9">
        <v>43930</v>
      </c>
      <c r="C53" s="4">
        <f t="shared" si="0"/>
        <v>45</v>
      </c>
      <c r="D53" s="10">
        <f>'dpc-covid19-ita-andamento-naz'!L47</f>
        <v>143626</v>
      </c>
      <c r="E53" s="30">
        <f>'dpc-covid19-ita-andamento-naz'!I47</f>
        <v>4204</v>
      </c>
      <c r="F53" s="56">
        <f>Tabella2[[#This Row],[New cases]]*NOT(ISBLANK(Tabella2[[#This Row],[New cases]]))</f>
        <v>4204</v>
      </c>
      <c r="G53" s="50">
        <f>Kn*t0n*_xlfn.GAMMA.DIST(Tabella2[[#This Row],[Day]]/t0n,wn+1,1,1)*_xlfn.GAMMA(wn+1)</f>
        <v>141659.41345127128</v>
      </c>
      <c r="H53" s="10">
        <f>Kn*((Tabella2[[#This Row],[Day]]/t0n)^wn)*EXP(-(Tabella2[[#This Row],[Day]]/t0n))</f>
        <v>3662.7685333569298</v>
      </c>
      <c r="I53" s="56">
        <f>Tabella2[[#This Row],[New_cases_fit]]*NOT(ISBLANK(Tabella2[[#This Row],[New cases]]))</f>
        <v>3662.7685333569298</v>
      </c>
      <c r="J53" s="10">
        <f>Tabella2[[#This Row],[New_cases_fit]]+CIn</f>
        <v>4815.0773174587794</v>
      </c>
      <c r="K53" s="10">
        <f>MAX(Tabella2[[#This Row],[New_cases_fit]]-CIn,0)</f>
        <v>2510.4597492550806</v>
      </c>
      <c r="L53" s="54">
        <f>'dpc-covid19-ita-andamento-naz'!G47</f>
        <v>96877</v>
      </c>
      <c r="M53" s="54">
        <f>'dpc-covid19-ita-andamento-naz'!H47</f>
        <v>1615</v>
      </c>
      <c r="N53" s="54">
        <f>Tabella2[[#This Row],[New_cases_fit]]-Tabella2[[#This Row],[New_Recovered_fit]]-Tabella2[[#This Row],[New_Deaths_fit]]</f>
        <v>1308.0249845533567</v>
      </c>
      <c r="O53" s="10">
        <f>'dpc-covid19-ita-andamento-naz'!J47</f>
        <v>28470</v>
      </c>
      <c r="P53" s="48">
        <f>Tabella2[[#This Row],[Cum_recov]]-O52</f>
        <v>1979</v>
      </c>
      <c r="Q53" s="60">
        <f>Tabella2[[#This Row],[New recovered]]*NOT(ISBLANK(Tabella2[[#This Row],[New recovered]]))</f>
        <v>1979</v>
      </c>
      <c r="R53" s="50">
        <f>Kd*t0d*_xlfn.GAMMA.DIST(Tabella2[[#This Row],[Day]]/t0d,wd+1,1,1)*_xlfn.GAMMA(wd+1)</f>
        <v>28032.791837639877</v>
      </c>
      <c r="S53" s="10">
        <f>Kd*((Tabella2[[#This Row],[Day]]/t0d)^wd)*EXP(-(Tabella2[[#This Row],[Day]]/t0d))</f>
        <v>1782.0522919058467</v>
      </c>
      <c r="T53" s="60">
        <f>Tabella2[[#This Row],[New_Recovered_fit]]*NOT(ISBLANK(Tabella2[[#This Row],[New recovered]]))</f>
        <v>1782.0522919058467</v>
      </c>
      <c r="U53" s="10">
        <f>Tabella2[[#This Row],[New_Recovered_fit]]+CId</f>
        <v>2281.8720242959139</v>
      </c>
      <c r="V53" s="10">
        <f>MAX(Tabella2[[#This Row],[New_Recovered_fit]]-CId,0)</f>
        <v>1282.2325595157795</v>
      </c>
      <c r="W53" s="10">
        <f>'dpc-covid19-ita-andamento-naz'!K47</f>
        <v>18279</v>
      </c>
      <c r="X53" s="26">
        <f>Tabella2[[#This Row],[Cum_deaths]]-W52</f>
        <v>610</v>
      </c>
      <c r="Y53" s="65">
        <f>Tabella2[[#This Row],[New deaths]]*NOT(ISBLANK(Tabella2[[#This Row],[New deaths]]))</f>
        <v>610</v>
      </c>
      <c r="Z53" s="50">
        <f>kt*t0t*_xlfn.GAMMA.DIST(Tabella2[[#This Row],[Day]]/t0t,wt+1,1,1)*_xlfn.GAMMA(wt+1)</f>
        <v>17927.649957664184</v>
      </c>
      <c r="AA53" s="10">
        <f>kt*((Tabella2[[#This Row],[Day]]/t0t)^wt)*EXP(-(Tabella2[[#This Row],[Day]]/t0t))</f>
        <v>572.69125689772625</v>
      </c>
      <c r="AB53" s="65">
        <f>Tabella2[[#This Row],[New_Deaths_fit]]*NOT(ISBLANK(Tabella2[[#This Row],[New deaths]]))</f>
        <v>572.69125689772625</v>
      </c>
      <c r="AC53" s="10">
        <f>Tabella2[[#This Row],[New_Deaths_fit]]+CIt</f>
        <v>708.74753172660144</v>
      </c>
      <c r="AD53" s="10">
        <f>MAX(Tabella2[[#This Row],[New_Deaths_fit]]-CIt,0)</f>
        <v>436.63498206885112</v>
      </c>
    </row>
    <row r="54" spans="2:30" x14ac:dyDescent="0.3">
      <c r="B54" s="9">
        <v>43931</v>
      </c>
      <c r="C54" s="4">
        <f t="shared" si="0"/>
        <v>46</v>
      </c>
      <c r="D54" s="10">
        <f>'dpc-covid19-ita-andamento-naz'!L48</f>
        <v>147577</v>
      </c>
      <c r="E54" s="30">
        <f>'dpc-covid19-ita-andamento-naz'!I48</f>
        <v>3951</v>
      </c>
      <c r="F54" s="56">
        <f>Tabella2[[#This Row],[New cases]]*NOT(ISBLANK(Tabella2[[#This Row],[New cases]]))</f>
        <v>3951</v>
      </c>
      <c r="G54" s="50">
        <f>Kn*t0n*_xlfn.GAMMA.DIST(Tabella2[[#This Row],[Day]]/t0n,wn+1,1,1)*_xlfn.GAMMA(wn+1)</f>
        <v>145230.43552324554</v>
      </c>
      <c r="H54" s="10">
        <f>Kn*((Tabella2[[#This Row],[Day]]/t0n)^wn)*EXP(-(Tabella2[[#This Row],[Day]]/t0n))</f>
        <v>3479.4288793754008</v>
      </c>
      <c r="I54" s="56">
        <f>Tabella2[[#This Row],[New_cases_fit]]*NOT(ISBLANK(Tabella2[[#This Row],[New cases]]))</f>
        <v>3479.4288793754008</v>
      </c>
      <c r="J54" s="10">
        <f>Tabella2[[#This Row],[New_cases_fit]]+CIn</f>
        <v>4631.73766347725</v>
      </c>
      <c r="K54" s="10">
        <f>MAX(Tabella2[[#This Row],[New_cases_fit]]-CIn,0)</f>
        <v>2327.1200952735517</v>
      </c>
      <c r="L54" s="54">
        <f>'dpc-covid19-ita-andamento-naz'!G48</f>
        <v>98273</v>
      </c>
      <c r="M54" s="54">
        <f>'dpc-covid19-ita-andamento-naz'!H48</f>
        <v>1396</v>
      </c>
      <c r="N54" s="54">
        <f>Tabella2[[#This Row],[New_cases_fit]]-Tabella2[[#This Row],[New_Recovered_fit]]-Tabella2[[#This Row],[New_Deaths_fit]]</f>
        <v>1081.6174588743993</v>
      </c>
      <c r="O54" s="10">
        <f>'dpc-covid19-ita-andamento-naz'!J48</f>
        <v>30455</v>
      </c>
      <c r="P54" s="48">
        <f>Tabella2[[#This Row],[Cum_recov]]-O53</f>
        <v>1985</v>
      </c>
      <c r="Q54" s="60">
        <f>Tabella2[[#This Row],[New recovered]]*NOT(ISBLANK(Tabella2[[#This Row],[New recovered]]))</f>
        <v>1985</v>
      </c>
      <c r="R54" s="50">
        <f>Kd*t0d*_xlfn.GAMMA.DIST(Tabella2[[#This Row],[Day]]/t0d,wd+1,1,1)*_xlfn.GAMMA(wd+1)</f>
        <v>29851.644256025535</v>
      </c>
      <c r="S54" s="10">
        <f>Kd*((Tabella2[[#This Row],[Day]]/t0d)^wd)*EXP(-(Tabella2[[#This Row],[Day]]/t0d))</f>
        <v>1855.8738910091724</v>
      </c>
      <c r="T54" s="60">
        <f>Tabella2[[#This Row],[New_Recovered_fit]]*NOT(ISBLANK(Tabella2[[#This Row],[New recovered]]))</f>
        <v>1855.8738910091724</v>
      </c>
      <c r="U54" s="10">
        <f>Tabella2[[#This Row],[New_Recovered_fit]]+CId</f>
        <v>2355.6936233992396</v>
      </c>
      <c r="V54" s="10">
        <f>MAX(Tabella2[[#This Row],[New_Recovered_fit]]-CId,0)</f>
        <v>1356.0541586191052</v>
      </c>
      <c r="W54" s="10">
        <f>'dpc-covid19-ita-andamento-naz'!K48</f>
        <v>18849</v>
      </c>
      <c r="X54" s="26">
        <f>Tabella2[[#This Row],[Cum_deaths]]-W53</f>
        <v>570</v>
      </c>
      <c r="Y54" s="65">
        <f>Tabella2[[#This Row],[New deaths]]*NOT(ISBLANK(Tabella2[[#This Row],[New deaths]]))</f>
        <v>570</v>
      </c>
      <c r="Z54" s="50">
        <f>kt*t0t*_xlfn.GAMMA.DIST(Tabella2[[#This Row],[Day]]/t0t,wt+1,1,1)*_xlfn.GAMMA(wt+1)</f>
        <v>18484.988948085749</v>
      </c>
      <c r="AA54" s="10">
        <f>kt*((Tabella2[[#This Row],[Day]]/t0t)^wt)*EXP(-(Tabella2[[#This Row],[Day]]/t0t))</f>
        <v>541.9375294918292</v>
      </c>
      <c r="AB54" s="65">
        <f>Tabella2[[#This Row],[New_Deaths_fit]]*NOT(ISBLANK(Tabella2[[#This Row],[New deaths]]))</f>
        <v>541.9375294918292</v>
      </c>
      <c r="AC54" s="10">
        <f>Tabella2[[#This Row],[New_Deaths_fit]]+CIt</f>
        <v>677.99380432070438</v>
      </c>
      <c r="AD54" s="10">
        <f>MAX(Tabella2[[#This Row],[New_Deaths_fit]]-CIt,0)</f>
        <v>405.88125466295406</v>
      </c>
    </row>
    <row r="55" spans="2:30" x14ac:dyDescent="0.3">
      <c r="B55" s="9">
        <v>43932</v>
      </c>
      <c r="C55" s="4">
        <f t="shared" si="0"/>
        <v>47</v>
      </c>
      <c r="D55" s="10">
        <f>'dpc-covid19-ita-andamento-naz'!L49</f>
        <v>152271</v>
      </c>
      <c r="E55" s="30">
        <f>'dpc-covid19-ita-andamento-naz'!I49</f>
        <v>4694</v>
      </c>
      <c r="F55" s="56">
        <f>Tabella2[[#This Row],[New cases]]*NOT(ISBLANK(Tabella2[[#This Row],[New cases]]))</f>
        <v>4694</v>
      </c>
      <c r="G55" s="50">
        <f>Kn*t0n*_xlfn.GAMMA.DIST(Tabella2[[#This Row],[Day]]/t0n,wn+1,1,1)*_xlfn.GAMMA(wn+1)</f>
        <v>148618.77004758496</v>
      </c>
      <c r="H55" s="10">
        <f>Kn*((Tabella2[[#This Row],[Day]]/t0n)^wn)*EXP(-(Tabella2[[#This Row],[Day]]/t0n))</f>
        <v>3297.580807887382</v>
      </c>
      <c r="I55" s="56">
        <f>Tabella2[[#This Row],[New_cases_fit]]*NOT(ISBLANK(Tabella2[[#This Row],[New cases]]))</f>
        <v>3297.580807887382</v>
      </c>
      <c r="J55" s="10">
        <f>Tabella2[[#This Row],[New_cases_fit]]+CIn</f>
        <v>4449.8895919892311</v>
      </c>
      <c r="K55" s="10">
        <f>MAX(Tabella2[[#This Row],[New_cases_fit]]-CIn,0)</f>
        <v>2145.2720237855328</v>
      </c>
      <c r="L55" s="54">
        <f>'dpc-covid19-ita-andamento-naz'!G49</f>
        <v>100269</v>
      </c>
      <c r="M55" s="54">
        <f>'dpc-covid19-ita-andamento-naz'!H49</f>
        <v>1996</v>
      </c>
      <c r="N55" s="54">
        <f>Tabella2[[#This Row],[New_cases_fit]]-Tabella2[[#This Row],[New_Recovered_fit]]-Tabella2[[#This Row],[New_Deaths_fit]]</f>
        <v>855.51723412366835</v>
      </c>
      <c r="O55" s="10">
        <f>'dpc-covid19-ita-andamento-naz'!J49</f>
        <v>32534</v>
      </c>
      <c r="P55" s="48">
        <f>Tabella2[[#This Row],[Cum_recov]]-O54</f>
        <v>2079</v>
      </c>
      <c r="Q55" s="60">
        <f>Tabella2[[#This Row],[New recovered]]*NOT(ISBLANK(Tabella2[[#This Row],[New recovered]]))</f>
        <v>2079</v>
      </c>
      <c r="R55" s="50">
        <f>Kd*t0d*_xlfn.GAMMA.DIST(Tabella2[[#This Row],[Day]]/t0d,wd+1,1,1)*_xlfn.GAMMA(wd+1)</f>
        <v>31744.980952505695</v>
      </c>
      <c r="S55" s="10">
        <f>Kd*((Tabella2[[#This Row],[Day]]/t0d)^wd)*EXP(-(Tabella2[[#This Row],[Day]]/t0d))</f>
        <v>1931.0194921612569</v>
      </c>
      <c r="T55" s="60">
        <f>Tabella2[[#This Row],[New_Recovered_fit]]*NOT(ISBLANK(Tabella2[[#This Row],[New recovered]]))</f>
        <v>1931.0194921612569</v>
      </c>
      <c r="U55" s="10">
        <f>Tabella2[[#This Row],[New_Recovered_fit]]+CId</f>
        <v>2430.8392245513242</v>
      </c>
      <c r="V55" s="10">
        <f>MAX(Tabella2[[#This Row],[New_Recovered_fit]]-CId,0)</f>
        <v>1431.1997597711897</v>
      </c>
      <c r="W55" s="10">
        <f>'dpc-covid19-ita-andamento-naz'!K49</f>
        <v>19468</v>
      </c>
      <c r="X55" s="26">
        <f>Tabella2[[#This Row],[Cum_deaths]]-W54</f>
        <v>619</v>
      </c>
      <c r="Y55" s="65">
        <f>Tabella2[[#This Row],[New deaths]]*NOT(ISBLANK(Tabella2[[#This Row],[New deaths]]))</f>
        <v>619</v>
      </c>
      <c r="Z55" s="50">
        <f>kt*t0t*_xlfn.GAMMA.DIST(Tabella2[[#This Row],[Day]]/t0t,wt+1,1,1)*_xlfn.GAMMA(wt+1)</f>
        <v>19011.478836786944</v>
      </c>
      <c r="AA55" s="10">
        <f>kt*((Tabella2[[#This Row],[Day]]/t0t)^wt)*EXP(-(Tabella2[[#This Row],[Day]]/t0t))</f>
        <v>511.04408160245669</v>
      </c>
      <c r="AB55" s="65">
        <f>Tabella2[[#This Row],[New_Deaths_fit]]*NOT(ISBLANK(Tabella2[[#This Row],[New deaths]]))</f>
        <v>511.04408160245669</v>
      </c>
      <c r="AC55" s="10">
        <f>Tabella2[[#This Row],[New_Deaths_fit]]+CIt</f>
        <v>647.10035643133187</v>
      </c>
      <c r="AD55" s="10">
        <f>MAX(Tabella2[[#This Row],[New_Deaths_fit]]-CIt,0)</f>
        <v>374.98780677358155</v>
      </c>
    </row>
    <row r="56" spans="2:30" x14ac:dyDescent="0.3">
      <c r="B56" s="9">
        <v>43933</v>
      </c>
      <c r="C56" s="4">
        <f t="shared" si="0"/>
        <v>48</v>
      </c>
      <c r="E56" s="30"/>
      <c r="F56" s="56">
        <f>Tabella2[[#This Row],[New cases]]*NOT(ISBLANK(Tabella2[[#This Row],[New cases]]))</f>
        <v>0</v>
      </c>
      <c r="G56" s="50">
        <f>Kn*t0n*_xlfn.GAMMA.DIST(Tabella2[[#This Row],[Day]]/t0n,wn+1,1,1)*_xlfn.GAMMA(wn+1)</f>
        <v>151826.44634033646</v>
      </c>
      <c r="H56" s="10">
        <f>Kn*((Tabella2[[#This Row],[Day]]/t0n)^wn)*EXP(-(Tabella2[[#This Row],[Day]]/t0n))</f>
        <v>3118.2756046388517</v>
      </c>
      <c r="I56" s="56">
        <f>Tabella2[[#This Row],[New_cases_fit]]*NOT(ISBLANK(Tabella2[[#This Row],[New cases]]))</f>
        <v>0</v>
      </c>
      <c r="L56" s="55"/>
      <c r="M56" s="54"/>
      <c r="N56" s="54">
        <f>Tabella2[[#This Row],[New_cases_fit]]-Tabella2[[#This Row],[New_Recovered_fit]]-Tabella2[[#This Row],[New_Deaths_fit]]</f>
        <v>630.49529886836308</v>
      </c>
      <c r="P56" s="48"/>
      <c r="Q56" s="60">
        <f>Tabella2[[#This Row],[New recovered]]*NOT(ISBLANK(Tabella2[[#This Row],[New recovered]]))</f>
        <v>0</v>
      </c>
      <c r="R56" s="50">
        <f>Kd*t0d*_xlfn.GAMMA.DIST(Tabella2[[#This Row],[Day]]/t0d,wd+1,1,1)*_xlfn.GAMMA(wd+1)</f>
        <v>33714.121878657912</v>
      </c>
      <c r="S56" s="10">
        <f>Kd*((Tabella2[[#This Row],[Day]]/t0d)^wd)*EXP(-(Tabella2[[#This Row],[Day]]/t0d))</f>
        <v>2007.4810116163474</v>
      </c>
      <c r="T56" s="60">
        <f>Tabella2[[#This Row],[New_Recovered_fit]]*NOT(ISBLANK(Tabella2[[#This Row],[New recovered]]))</f>
        <v>0</v>
      </c>
      <c r="X56" s="26"/>
      <c r="Y56" s="65">
        <f>Tabella2[[#This Row],[New deaths]]*NOT(ISBLANK(Tabella2[[#This Row],[New deaths]]))</f>
        <v>0</v>
      </c>
      <c r="Z56" s="50">
        <f>kt*t0t*_xlfn.GAMMA.DIST(Tabella2[[#This Row],[Day]]/t0t,wt+1,1,1)*_xlfn.GAMMA(wt+1)</f>
        <v>19507.127061208634</v>
      </c>
      <c r="AA56" s="10">
        <f>kt*((Tabella2[[#This Row],[Day]]/t0t)^wt)*EXP(-(Tabella2[[#This Row],[Day]]/t0t))</f>
        <v>480.29929415414136</v>
      </c>
      <c r="AB56" s="65">
        <f>Tabella2[[#This Row],[New_Deaths_fit]]*NOT(ISBLANK(Tabella2[[#This Row],[New deaths]]))</f>
        <v>0</v>
      </c>
    </row>
    <row r="57" spans="2:30" x14ac:dyDescent="0.3">
      <c r="B57" s="9">
        <v>43934</v>
      </c>
      <c r="C57" s="4">
        <f t="shared" si="0"/>
        <v>49</v>
      </c>
      <c r="E57" s="30"/>
      <c r="F57" s="56">
        <f>Tabella2[[#This Row],[New cases]]*NOT(ISBLANK(Tabella2[[#This Row],[New cases]]))</f>
        <v>0</v>
      </c>
      <c r="G57" s="50">
        <f>Kn*t0n*_xlfn.GAMMA.DIST(Tabella2[[#This Row],[Day]]/t0n,wn+1,1,1)*_xlfn.GAMMA(wn+1)</f>
        <v>154856.47350352912</v>
      </c>
      <c r="H57" s="10">
        <f>Kn*((Tabella2[[#This Row],[Day]]/t0n)^wn)*EXP(-(Tabella2[[#This Row],[Day]]/t0n))</f>
        <v>2942.4226453721358</v>
      </c>
      <c r="I57" s="56">
        <f>Tabella2[[#This Row],[New_cases_fit]]*NOT(ISBLANK(Tabella2[[#This Row],[New cases]]))</f>
        <v>0</v>
      </c>
      <c r="L57" s="55"/>
      <c r="M57" s="54"/>
      <c r="N57" s="54">
        <f>Tabella2[[#This Row],[New_cases_fit]]-Tabella2[[#This Row],[New_Recovered_fit]]-Tabella2[[#This Row],[New_Deaths_fit]]</f>
        <v>407.21621476822196</v>
      </c>
      <c r="P57" s="48"/>
      <c r="Q57" s="60">
        <f>Tabella2[[#This Row],[New recovered]]*NOT(ISBLANK(Tabella2[[#This Row],[New recovered]]))</f>
        <v>0</v>
      </c>
      <c r="R57" s="50">
        <f>Kd*t0d*_xlfn.GAMMA.DIST(Tabella2[[#This Row],[Day]]/t0d,wd+1,1,1)*_xlfn.GAMMA(wd+1)</f>
        <v>35760.378953252446</v>
      </c>
      <c r="S57" s="10">
        <f>Kd*((Tabella2[[#This Row],[Day]]/t0d)^wd)*EXP(-(Tabella2[[#This Row],[Day]]/t0d))</f>
        <v>2085.2504668626225</v>
      </c>
      <c r="T57" s="60">
        <f>Tabella2[[#This Row],[New_Recovered_fit]]*NOT(ISBLANK(Tabella2[[#This Row],[New recovered]]))</f>
        <v>0</v>
      </c>
      <c r="X57" s="26"/>
      <c r="Y57" s="65">
        <f>Tabella2[[#This Row],[New deaths]]*NOT(ISBLANK(Tabella2[[#This Row],[New deaths]]))</f>
        <v>0</v>
      </c>
      <c r="Z57" s="50">
        <f>kt*t0t*_xlfn.GAMMA.DIST(Tabella2[[#This Row],[Day]]/t0t,wt+1,1,1)*_xlfn.GAMMA(wt+1)</f>
        <v>19972.211634474344</v>
      </c>
      <c r="AA57" s="10">
        <f>kt*((Tabella2[[#This Row],[Day]]/t0t)^wt)*EXP(-(Tabella2[[#This Row],[Day]]/t0t))</f>
        <v>449.95596374129133</v>
      </c>
      <c r="AB57" s="65">
        <f>Tabella2[[#This Row],[New_Deaths_fit]]*NOT(ISBLANK(Tabella2[[#This Row],[New deaths]]))</f>
        <v>0</v>
      </c>
    </row>
    <row r="58" spans="2:30" x14ac:dyDescent="0.3">
      <c r="B58" s="9">
        <v>43935</v>
      </c>
      <c r="C58" s="4">
        <f t="shared" si="0"/>
        <v>50</v>
      </c>
      <c r="E58" s="30"/>
      <c r="F58" s="56">
        <f>Tabella2[[#This Row],[New cases]]*NOT(ISBLANK(Tabella2[[#This Row],[New cases]]))</f>
        <v>0</v>
      </c>
      <c r="G58" s="50">
        <f>Kn*t0n*_xlfn.GAMMA.DIST(Tabella2[[#This Row],[Day]]/t0n,wn+1,1,1)*_xlfn.GAMMA(wn+1)</f>
        <v>157712.70199137798</v>
      </c>
      <c r="H58" s="10">
        <f>Kn*((Tabella2[[#This Row],[Day]]/t0n)^wn)*EXP(-(Tabella2[[#This Row],[Day]]/t0n))</f>
        <v>2770.79654394007</v>
      </c>
      <c r="I58" s="56">
        <f>Tabella2[[#This Row],[New_cases_fit]]*NOT(ISBLANK(Tabella2[[#This Row],[New cases]]))</f>
        <v>0</v>
      </c>
      <c r="L58" s="55"/>
      <c r="M58" s="54"/>
      <c r="N58" s="54">
        <f>Tabella2[[#This Row],[New_cases_fit]]-Tabella2[[#This Row],[New_Recovered_fit]]-Tabella2[[#This Row],[New_Deaths_fit]]</f>
        <v>186.24474004782758</v>
      </c>
      <c r="P58" s="48"/>
      <c r="Q58" s="60">
        <f>Tabella2[[#This Row],[New recovered]]*NOT(ISBLANK(Tabella2[[#This Row],[New recovered]]))</f>
        <v>0</v>
      </c>
      <c r="R58" s="50">
        <f>Kd*t0d*_xlfn.GAMMA.DIST(Tabella2[[#This Row],[Day]]/t0d,wd+1,1,1)*_xlfn.GAMMA(wd+1)</f>
        <v>37885.056161596804</v>
      </c>
      <c r="S58" s="10">
        <f>Kd*((Tabella2[[#This Row],[Day]]/t0d)^wd)*EXP(-(Tabella2[[#This Row],[Day]]/t0d))</f>
        <v>2164.3199728817926</v>
      </c>
      <c r="T58" s="60">
        <f>Tabella2[[#This Row],[New_Recovered_fit]]*NOT(ISBLANK(Tabella2[[#This Row],[New recovered]]))</f>
        <v>0</v>
      </c>
      <c r="X58" s="26"/>
      <c r="Y58" s="65">
        <f>Tabella2[[#This Row],[New deaths]]*NOT(ISBLANK(Tabella2[[#This Row],[New deaths]]))</f>
        <v>0</v>
      </c>
      <c r="Z58" s="50">
        <f>kt*t0t*_xlfn.GAMMA.DIST(Tabella2[[#This Row],[Day]]/t0t,wt+1,1,1)*_xlfn.GAMMA(wt+1)</f>
        <v>20407.245765014937</v>
      </c>
      <c r="AA58" s="10">
        <f>kt*((Tabella2[[#This Row],[Day]]/t0t)^wt)*EXP(-(Tabella2[[#This Row],[Day]]/t0t))</f>
        <v>420.23183101044981</v>
      </c>
      <c r="AB58" s="65">
        <f>Tabella2[[#This Row],[New_Deaths_fit]]*NOT(ISBLANK(Tabella2[[#This Row],[New deaths]]))</f>
        <v>0</v>
      </c>
    </row>
    <row r="59" spans="2:30" x14ac:dyDescent="0.3">
      <c r="B59" s="9">
        <v>43936</v>
      </c>
      <c r="C59" s="4">
        <f t="shared" si="0"/>
        <v>51</v>
      </c>
      <c r="E59" s="30"/>
      <c r="F59" s="56">
        <f>Tabella2[[#This Row],[New cases]]*NOT(ISBLANK(Tabella2[[#This Row],[New cases]]))</f>
        <v>0</v>
      </c>
      <c r="G59" s="50">
        <f>Kn*t0n*_xlfn.GAMMA.DIST(Tabella2[[#This Row],[Day]]/t0n,wn+1,1,1)*_xlfn.GAMMA(wn+1)</f>
        <v>160399.69285426833</v>
      </c>
      <c r="H59" s="10">
        <f>Kn*((Tabella2[[#This Row],[Day]]/t0n)^wn)*EXP(-(Tabella2[[#This Row],[Day]]/t0n))</f>
        <v>2604.0453038108808</v>
      </c>
      <c r="I59" s="56">
        <f>Tabella2[[#This Row],[New_cases_fit]]*NOT(ISBLANK(Tabella2[[#This Row],[New cases]]))</f>
        <v>0</v>
      </c>
      <c r="L59" s="55"/>
      <c r="M59" s="54"/>
      <c r="N59" s="54">
        <f>Tabella2[[#This Row],[New_cases_fit]]-Tabella2[[#This Row],[New_Recovered_fit]]-Tabella2[[#This Row],[New_Deaths_fit]]</f>
        <v>-31.947193103290601</v>
      </c>
      <c r="P59" s="48"/>
      <c r="Q59" s="60">
        <f>Tabella2[[#This Row],[New recovered]]*NOT(ISBLANK(Tabella2[[#This Row],[New recovered]]))</f>
        <v>0</v>
      </c>
      <c r="R59" s="50">
        <f>Kd*t0d*_xlfn.GAMMA.DIST(Tabella2[[#This Row],[Day]]/t0d,wd+1,1,1)*_xlfn.GAMMA(wd+1)</f>
        <v>40089.449651253672</v>
      </c>
      <c r="S59" s="10">
        <f>Kd*((Tabella2[[#This Row],[Day]]/t0d)^wd)*EXP(-(Tabella2[[#This Row],[Day]]/t0d))</f>
        <v>2244.6817386356201</v>
      </c>
      <c r="T59" s="60">
        <f>Tabella2[[#This Row],[New_Recovered_fit]]*NOT(ISBLANK(Tabella2[[#This Row],[New recovered]]))</f>
        <v>0</v>
      </c>
      <c r="X59" s="26"/>
      <c r="Y59" s="65">
        <f>Tabella2[[#This Row],[New deaths]]*NOT(ISBLANK(Tabella2[[#This Row],[New deaths]]))</f>
        <v>0</v>
      </c>
      <c r="Z59" s="50">
        <f>kt*t0t*_xlfn.GAMMA.DIST(Tabella2[[#This Row],[Day]]/t0t,wt+1,1,1)*_xlfn.GAMMA(wt+1)</f>
        <v>20812.943341350121</v>
      </c>
      <c r="AA59" s="10">
        <f>kt*((Tabella2[[#This Row],[Day]]/t0t)^wt)*EXP(-(Tabella2[[#This Row],[Day]]/t0t))</f>
        <v>391.31075827855125</v>
      </c>
      <c r="AB59" s="65">
        <f>Tabella2[[#This Row],[New_Deaths_fit]]*NOT(ISBLANK(Tabella2[[#This Row],[New deaths]]))</f>
        <v>0</v>
      </c>
    </row>
    <row r="60" spans="2:30" x14ac:dyDescent="0.3">
      <c r="B60" s="9">
        <v>43937</v>
      </c>
      <c r="C60" s="4">
        <f t="shared" si="0"/>
        <v>52</v>
      </c>
      <c r="E60" s="30"/>
      <c r="F60" s="56">
        <f>Tabella2[[#This Row],[New cases]]*NOT(ISBLANK(Tabella2[[#This Row],[New cases]]))</f>
        <v>0</v>
      </c>
      <c r="G60" s="50">
        <f>Kn*t0n*_xlfn.GAMMA.DIST(Tabella2[[#This Row],[Day]]/t0n,wn+1,1,1)*_xlfn.GAMMA(wn+1)</f>
        <v>162922.59550346446</v>
      </c>
      <c r="H60" s="10">
        <f>Kn*((Tabella2[[#This Row],[Day]]/t0n)^wn)*EXP(-(Tabella2[[#This Row],[Day]]/t0n))</f>
        <v>2442.6991594001174</v>
      </c>
      <c r="I60" s="56">
        <f>Tabella2[[#This Row],[New_cases_fit]]*NOT(ISBLANK(Tabella2[[#This Row],[New cases]]))</f>
        <v>0</v>
      </c>
      <c r="L60" s="55"/>
      <c r="M60" s="54"/>
      <c r="N60" s="54">
        <f>Tabella2[[#This Row],[New_cases_fit]]-Tabella2[[#This Row],[New_Recovered_fit]]-Tabella2[[#This Row],[New_Deaths_fit]]</f>
        <v>-246.97332031131663</v>
      </c>
      <c r="P60" s="48"/>
      <c r="Q60" s="60">
        <f>Tabella2[[#This Row],[New recovered]]*NOT(ISBLANK(Tabella2[[#This Row],[New recovered]]))</f>
        <v>0</v>
      </c>
      <c r="R60" s="50">
        <f>Kd*t0d*_xlfn.GAMMA.DIST(Tabella2[[#This Row],[Day]]/t0d,wd+1,1,1)*_xlfn.GAMMA(wd+1)</f>
        <v>42374.847824352626</v>
      </c>
      <c r="S60" s="10">
        <f>Kd*((Tabella2[[#This Row],[Day]]/t0d)^wd)*EXP(-(Tabella2[[#This Row],[Day]]/t0d))</f>
        <v>2326.328063761212</v>
      </c>
      <c r="T60" s="60">
        <f>Tabella2[[#This Row],[New_Recovered_fit]]*NOT(ISBLANK(Tabella2[[#This Row],[New recovered]]))</f>
        <v>0</v>
      </c>
      <c r="X60" s="26"/>
      <c r="Y60" s="65">
        <f>Tabella2[[#This Row],[New deaths]]*NOT(ISBLANK(Tabella2[[#This Row],[New deaths]]))</f>
        <v>0</v>
      </c>
      <c r="Z60" s="50">
        <f>kt*t0t*_xlfn.GAMMA.DIST(Tabella2[[#This Row],[Day]]/t0t,wt+1,1,1)*_xlfn.GAMMA(wt+1)</f>
        <v>21190.18586010985</v>
      </c>
      <c r="AA60" s="10">
        <f>kt*((Tabella2[[#This Row],[Day]]/t0t)^wt)*EXP(-(Tabella2[[#This Row],[Day]]/t0t))</f>
        <v>363.34441595022207</v>
      </c>
      <c r="AB60" s="65">
        <f>Tabella2[[#This Row],[New_Deaths_fit]]*NOT(ISBLANK(Tabella2[[#This Row],[New deaths]]))</f>
        <v>0</v>
      </c>
    </row>
    <row r="61" spans="2:30" x14ac:dyDescent="0.3">
      <c r="B61" s="9">
        <v>43938</v>
      </c>
      <c r="C61" s="4">
        <f t="shared" si="0"/>
        <v>53</v>
      </c>
      <c r="E61" s="30"/>
      <c r="F61" s="56">
        <f>Tabella2[[#This Row],[New cases]]*NOT(ISBLANK(Tabella2[[#This Row],[New cases]]))</f>
        <v>0</v>
      </c>
      <c r="G61" s="50">
        <f>Kn*t0n*_xlfn.GAMMA.DIST(Tabella2[[#This Row],[Day]]/t0n,wn+1,1,1)*_xlfn.GAMMA(wn+1)</f>
        <v>165287.03454761836</v>
      </c>
      <c r="H61" s="10">
        <f>Kn*((Tabella2[[#This Row],[Day]]/t0n)^wn)*EXP(-(Tabella2[[#This Row],[Day]]/t0n))</f>
        <v>2287.1798367308702</v>
      </c>
      <c r="I61" s="56">
        <f>Tabella2[[#This Row],[New_cases_fit]]*NOT(ISBLANK(Tabella2[[#This Row],[New cases]]))</f>
        <v>0</v>
      </c>
      <c r="L61" s="55"/>
      <c r="M61" s="54"/>
      <c r="N61" s="54">
        <f>Tabella2[[#This Row],[New_cases_fit]]-Tabella2[[#This Row],[New_Recovered_fit]]-Tabella2[[#This Row],[New_Deaths_fit]]</f>
        <v>-458.52584828845647</v>
      </c>
      <c r="P61" s="48"/>
      <c r="Q61" s="60">
        <f>Tabella2[[#This Row],[New recovered]]*NOT(ISBLANK(Tabella2[[#This Row],[New recovered]]))</f>
        <v>0</v>
      </c>
      <c r="R61" s="50">
        <f>Kd*t0d*_xlfn.GAMMA.DIST(Tabella2[[#This Row],[Day]]/t0d,wd+1,1,1)*_xlfn.GAMMA(wd+1)</f>
        <v>44742.531426693313</v>
      </c>
      <c r="S61" s="10">
        <f>Kd*((Tabella2[[#This Row],[Day]]/t0d)^wd)*EXP(-(Tabella2[[#This Row],[Day]]/t0d))</f>
        <v>2409.2513354586695</v>
      </c>
      <c r="T61" s="60">
        <f>Tabella2[[#This Row],[New_Recovered_fit]]*NOT(ISBLANK(Tabella2[[#This Row],[New recovered]]))</f>
        <v>0</v>
      </c>
      <c r="X61" s="26"/>
      <c r="Y61" s="65">
        <f>Tabella2[[#This Row],[New deaths]]*NOT(ISBLANK(Tabella2[[#This Row],[New deaths]]))</f>
        <v>0</v>
      </c>
      <c r="Z61" s="50">
        <f>kt*t0t*_xlfn.GAMMA.DIST(Tabella2[[#This Row],[Day]]/t0t,wt+1,1,1)*_xlfn.GAMMA(wt+1)</f>
        <v>21539.991240909418</v>
      </c>
      <c r="AA61" s="10">
        <f>kt*((Tabella2[[#This Row],[Day]]/t0t)^wt)*EXP(-(Tabella2[[#This Row],[Day]]/t0t))</f>
        <v>336.45434956065719</v>
      </c>
      <c r="AB61" s="65">
        <f>Tabella2[[#This Row],[New_Deaths_fit]]*NOT(ISBLANK(Tabella2[[#This Row],[New deaths]]))</f>
        <v>0</v>
      </c>
    </row>
    <row r="62" spans="2:30" x14ac:dyDescent="0.3">
      <c r="B62" s="9">
        <v>43939</v>
      </c>
      <c r="C62" s="4">
        <f t="shared" si="0"/>
        <v>54</v>
      </c>
      <c r="E62" s="30"/>
      <c r="F62" s="56">
        <f>Tabella2[[#This Row],[New cases]]*NOT(ISBLANK(Tabella2[[#This Row],[New cases]]))</f>
        <v>0</v>
      </c>
      <c r="G62" s="50">
        <f>Kn*t0n*_xlfn.GAMMA.DIST(Tabella2[[#This Row],[Day]]/t0n,wn+1,1,1)*_xlfn.GAMMA(wn+1)</f>
        <v>167499.00600225059</v>
      </c>
      <c r="H62" s="10">
        <f>Kn*((Tabella2[[#This Row],[Day]]/t0n)^wn)*EXP(-(Tabella2[[#This Row],[Day]]/t0n))</f>
        <v>2137.8100036814189</v>
      </c>
      <c r="I62" s="56">
        <f>Tabella2[[#This Row],[New_cases_fit]]*NOT(ISBLANK(Tabella2[[#This Row],[New cases]]))</f>
        <v>0</v>
      </c>
      <c r="L62" s="55"/>
      <c r="M62" s="54"/>
      <c r="N62" s="54">
        <f>Tabella2[[#This Row],[New_cases_fit]]-Tabella2[[#This Row],[New_Recovered_fit]]-Tabella2[[#This Row],[New_Deaths_fit]]</f>
        <v>-666.36833491604193</v>
      </c>
      <c r="P62" s="48"/>
      <c r="Q62" s="60">
        <f>Tabella2[[#This Row],[New recovered]]*NOT(ISBLANK(Tabella2[[#This Row],[New recovered]]))</f>
        <v>0</v>
      </c>
      <c r="R62" s="50">
        <f>Kd*t0d*_xlfn.GAMMA.DIST(Tabella2[[#This Row],[Day]]/t0d,wd+1,1,1)*_xlfn.GAMMA(wd+1)</f>
        <v>47193.773633827332</v>
      </c>
      <c r="S62" s="10">
        <f>Kd*((Tabella2[[#This Row],[Day]]/t0d)^wd)*EXP(-(Tabella2[[#This Row],[Day]]/t0d))</f>
        <v>2493.4440255562845</v>
      </c>
      <c r="T62" s="60">
        <f>Tabella2[[#This Row],[New_Recovered_fit]]*NOT(ISBLANK(Tabella2[[#This Row],[New recovered]]))</f>
        <v>0</v>
      </c>
      <c r="X62" s="26"/>
      <c r="Y62" s="65">
        <f>Tabella2[[#This Row],[New deaths]]*NOT(ISBLANK(Tabella2[[#This Row],[New deaths]]))</f>
        <v>0</v>
      </c>
      <c r="Z62" s="50">
        <f>kt*t0t*_xlfn.GAMMA.DIST(Tabella2[[#This Row],[Day]]/t0t,wt+1,1,1)*_xlfn.GAMMA(wt+1)</f>
        <v>21863.484850314751</v>
      </c>
      <c r="AA62" s="10">
        <f>kt*((Tabella2[[#This Row],[Day]]/t0t)^wt)*EXP(-(Tabella2[[#This Row],[Day]]/t0t))</f>
        <v>310.73431304117639</v>
      </c>
      <c r="AB62" s="65">
        <f>Tabella2[[#This Row],[New_Deaths_fit]]*NOT(ISBLANK(Tabella2[[#This Row],[New deaths]]))</f>
        <v>0</v>
      </c>
    </row>
    <row r="63" spans="2:30" x14ac:dyDescent="0.3">
      <c r="B63" s="9">
        <v>43940</v>
      </c>
      <c r="C63" s="4">
        <f t="shared" si="0"/>
        <v>55</v>
      </c>
      <c r="E63" s="30"/>
      <c r="F63" s="56">
        <f>Tabella2[[#This Row],[New cases]]*NOT(ISBLANK(Tabella2[[#This Row],[New cases]]))</f>
        <v>0</v>
      </c>
      <c r="G63" s="50">
        <f>Kn*t0n*_xlfn.GAMMA.DIST(Tabella2[[#This Row],[Day]]/t0n,wn+1,1,1)*_xlfn.GAMMA(wn+1)</f>
        <v>169564.7829628438</v>
      </c>
      <c r="H63" s="10">
        <f>Kn*((Tabella2[[#This Row],[Day]]/t0n)^wn)*EXP(-(Tabella2[[#This Row],[Day]]/t0n))</f>
        <v>1994.8227179841908</v>
      </c>
      <c r="I63" s="56">
        <f>Tabella2[[#This Row],[New_cases_fit]]*NOT(ISBLANK(Tabella2[[#This Row],[New cases]]))</f>
        <v>0</v>
      </c>
      <c r="L63" s="55"/>
      <c r="M63" s="54"/>
      <c r="N63" s="54">
        <f>Tabella2[[#This Row],[New_cases_fit]]-Tabella2[[#This Row],[New_Recovered_fit]]-Tabella2[[#This Row],[New_Deaths_fit]]</f>
        <v>-870.32873802848098</v>
      </c>
      <c r="P63" s="48"/>
      <c r="Q63" s="60">
        <f>Tabella2[[#This Row],[New recovered]]*NOT(ISBLANK(Tabella2[[#This Row],[New recovered]]))</f>
        <v>0</v>
      </c>
      <c r="R63" s="50">
        <f>Kd*t0d*_xlfn.GAMMA.DIST(Tabella2[[#This Row],[Day]]/t0d,wd+1,1,1)*_xlfn.GAMMA(wd+1)</f>
        <v>49729.84013428766</v>
      </c>
      <c r="S63" s="10">
        <f>Kd*((Tabella2[[#This Row],[Day]]/t0d)^wd)*EXP(-(Tabella2[[#This Row],[Day]]/t0d))</f>
        <v>2578.8986877398643</v>
      </c>
      <c r="T63" s="60">
        <f>Tabella2[[#This Row],[New_Recovered_fit]]*NOT(ISBLANK(Tabella2[[#This Row],[New recovered]]))</f>
        <v>0</v>
      </c>
      <c r="X63" s="26"/>
      <c r="Y63" s="65">
        <f>Tabella2[[#This Row],[New deaths]]*NOT(ISBLANK(Tabella2[[#This Row],[New deaths]]))</f>
        <v>0</v>
      </c>
      <c r="Z63" s="50">
        <f>kt*t0t*_xlfn.GAMMA.DIST(Tabella2[[#This Row],[Day]]/t0t,wt+1,1,1)*_xlfn.GAMMA(wt+1)</f>
        <v>22161.872949936744</v>
      </c>
      <c r="AA63" s="10">
        <f>kt*((Tabella2[[#This Row],[Day]]/t0t)^wt)*EXP(-(Tabella2[[#This Row],[Day]]/t0t))</f>
        <v>286.2527682728076</v>
      </c>
      <c r="AB63" s="65">
        <f>Tabella2[[#This Row],[New_Deaths_fit]]*NOT(ISBLANK(Tabella2[[#This Row],[New deaths]]))</f>
        <v>0</v>
      </c>
    </row>
    <row r="64" spans="2:30" x14ac:dyDescent="0.3">
      <c r="B64" s="9">
        <v>43941</v>
      </c>
      <c r="C64" s="4">
        <f t="shared" si="0"/>
        <v>56</v>
      </c>
      <c r="E64" s="30"/>
      <c r="F64" s="56">
        <f>Tabella2[[#This Row],[New cases]]*NOT(ISBLANK(Tabella2[[#This Row],[New cases]]))</f>
        <v>0</v>
      </c>
      <c r="G64" s="50">
        <f>Kn*t0n*_xlfn.GAMMA.DIST(Tabella2[[#This Row],[Day]]/t0n,wn+1,1,1)*_xlfn.GAMMA(wn+1)</f>
        <v>171490.83065798503</v>
      </c>
      <c r="H64" s="10">
        <f>Kn*((Tabella2[[#This Row],[Day]]/t0n)^wn)*EXP(-(Tabella2[[#This Row],[Day]]/t0n))</f>
        <v>1858.3707158516047</v>
      </c>
      <c r="I64" s="56">
        <f>Tabella2[[#This Row],[New_cases_fit]]*NOT(ISBLANK(Tabella2[[#This Row],[New cases]]))</f>
        <v>0</v>
      </c>
      <c r="L64" s="55"/>
      <c r="M64" s="54"/>
      <c r="N64" s="54">
        <f>Tabella2[[#This Row],[New_cases_fit]]-Tabella2[[#This Row],[New_Recovered_fit]]-Tabella2[[#This Row],[New_Deaths_fit]]</f>
        <v>-1070.2927045969632</v>
      </c>
      <c r="P64" s="48"/>
      <c r="Q64" s="60">
        <f>Tabella2[[#This Row],[New recovered]]*NOT(ISBLANK(Tabella2[[#This Row],[New recovered]]))</f>
        <v>0</v>
      </c>
      <c r="R64" s="50">
        <f>Kd*t0d*_xlfn.GAMMA.DIST(Tabella2[[#This Row],[Day]]/t0d,wd+1,1,1)*_xlfn.GAMMA(wd+1)</f>
        <v>52351.989210124484</v>
      </c>
      <c r="S64" s="10">
        <f>Kd*((Tabella2[[#This Row],[Day]]/t0d)^wd)*EXP(-(Tabella2[[#This Row],[Day]]/t0d))</f>
        <v>2665.6079549340193</v>
      </c>
      <c r="T64" s="60">
        <f>Tabella2[[#This Row],[New_Recovered_fit]]*NOT(ISBLANK(Tabella2[[#This Row],[New recovered]]))</f>
        <v>0</v>
      </c>
      <c r="X64" s="26"/>
      <c r="Y64" s="65">
        <f>Tabella2[[#This Row],[New deaths]]*NOT(ISBLANK(Tabella2[[#This Row],[New deaths]]))</f>
        <v>0</v>
      </c>
      <c r="Z64" s="50">
        <f>kt*t0t*_xlfn.GAMMA.DIST(Tabella2[[#This Row],[Day]]/t0t,wt+1,1,1)*_xlfn.GAMMA(wt+1)</f>
        <v>22436.418691037667</v>
      </c>
      <c r="AA64" s="10">
        <f>kt*((Tabella2[[#This Row],[Day]]/t0t)^wt)*EXP(-(Tabella2[[#This Row],[Day]]/t0t))</f>
        <v>263.05546551454864</v>
      </c>
      <c r="AB64" s="65">
        <f>Tabella2[[#This Row],[New_Deaths_fit]]*NOT(ISBLANK(Tabella2[[#This Row],[New deaths]]))</f>
        <v>0</v>
      </c>
    </row>
    <row r="65" spans="2:28" x14ac:dyDescent="0.3">
      <c r="B65" s="9">
        <v>43942</v>
      </c>
      <c r="C65" s="4">
        <f t="shared" si="0"/>
        <v>57</v>
      </c>
      <c r="E65" s="30"/>
      <c r="F65" s="56">
        <f>Tabella2[[#This Row],[New cases]]*NOT(ISBLANK(Tabella2[[#This Row],[New cases]]))</f>
        <v>0</v>
      </c>
      <c r="G65" s="50">
        <f>Kn*t0n*_xlfn.GAMMA.DIST(Tabella2[[#This Row],[Day]]/t0n,wn+1,1,1)*_xlfn.GAMMA(wn+1)</f>
        <v>173283.73065782123</v>
      </c>
      <c r="H65" s="10">
        <f>Kn*((Tabella2[[#This Row],[Day]]/t0n)^wn)*EXP(-(Tabella2[[#This Row],[Day]]/t0n))</f>
        <v>1728.5354154455217</v>
      </c>
      <c r="I65" s="56">
        <f>Tabella2[[#This Row],[New_cases_fit]]*NOT(ISBLANK(Tabella2[[#This Row],[New cases]]))</f>
        <v>0</v>
      </c>
      <c r="L65" s="55"/>
      <c r="M65" s="54"/>
      <c r="N65" s="54">
        <f>Tabella2[[#This Row],[New_cases_fit]]-Tabella2[[#This Row],[New_Recovered_fit]]-Tabella2[[#This Row],[New_Deaths_fit]]</f>
        <v>-1266.1971547508099</v>
      </c>
      <c r="P65" s="48"/>
      <c r="Q65" s="60">
        <f>Tabella2[[#This Row],[New recovered]]*NOT(ISBLANK(Tabella2[[#This Row],[New recovered]]))</f>
        <v>0</v>
      </c>
      <c r="R65" s="50">
        <f>Kd*t0d*_xlfn.GAMMA.DIST(Tabella2[[#This Row],[Day]]/t0d,wd+1,1,1)*_xlfn.GAMMA(wd+1)</f>
        <v>55061.471814894416</v>
      </c>
      <c r="S65" s="10">
        <f>Kd*((Tabella2[[#This Row],[Day]]/t0d)^wd)*EXP(-(Tabella2[[#This Row],[Day]]/t0d))</f>
        <v>2753.564536824374</v>
      </c>
      <c r="T65" s="60">
        <f>Tabella2[[#This Row],[New_Recovered_fit]]*NOT(ISBLANK(Tabella2[[#This Row],[New recovered]]))</f>
        <v>0</v>
      </c>
      <c r="X65" s="26"/>
      <c r="Y65" s="65">
        <f>Tabella2[[#This Row],[New deaths]]*NOT(ISBLANK(Tabella2[[#This Row],[New deaths]]))</f>
        <v>0</v>
      </c>
      <c r="Z65" s="50">
        <f>kt*t0t*_xlfn.GAMMA.DIST(Tabella2[[#This Row],[Day]]/t0t,wt+1,1,1)*_xlfn.GAMMA(wt+1)</f>
        <v>22688.420699712959</v>
      </c>
      <c r="AA65" s="10">
        <f>kt*((Tabella2[[#This Row],[Day]]/t0t)^wt)*EXP(-(Tabella2[[#This Row],[Day]]/t0t))</f>
        <v>241.16803337195756</v>
      </c>
      <c r="AB65" s="65">
        <f>Tabella2[[#This Row],[New_Deaths_fit]]*NOT(ISBLANK(Tabella2[[#This Row],[New deaths]]))</f>
        <v>0</v>
      </c>
    </row>
    <row r="66" spans="2:28" x14ac:dyDescent="0.3">
      <c r="B66" s="9">
        <v>43943</v>
      </c>
      <c r="C66" s="4">
        <f t="shared" si="0"/>
        <v>58</v>
      </c>
      <c r="E66" s="30"/>
      <c r="F66" s="56">
        <f>Tabella2[[#This Row],[New cases]]*NOT(ISBLANK(Tabella2[[#This Row],[New cases]]))</f>
        <v>0</v>
      </c>
      <c r="G66" s="50">
        <f>Kn*t0n*_xlfn.GAMMA.DIST(Tabella2[[#This Row],[Day]]/t0n,wn+1,1,1)*_xlfn.GAMMA(wn+1)</f>
        <v>174950.11390155816</v>
      </c>
      <c r="H66" s="10">
        <f>Kn*((Tabella2[[#This Row],[Day]]/t0n)^wn)*EXP(-(Tabella2[[#This Row],[Day]]/t0n))</f>
        <v>1605.3355373320571</v>
      </c>
      <c r="I66" s="56">
        <f>Tabella2[[#This Row],[New_cases_fit]]*NOT(ISBLANK(Tabella2[[#This Row],[New cases]]))</f>
        <v>0</v>
      </c>
      <c r="L66" s="55"/>
      <c r="M66" s="54"/>
      <c r="N66" s="54">
        <f>Tabella2[[#This Row],[New_cases_fit]]-Tabella2[[#This Row],[New_Recovered_fit]]-Tabella2[[#This Row],[New_Deaths_fit]]</f>
        <v>-1458.0242004237125</v>
      </c>
      <c r="P66" s="48"/>
      <c r="Q66" s="60">
        <f>Tabella2[[#This Row],[New recovered]]*NOT(ISBLANK(Tabella2[[#This Row],[New recovered]]))</f>
        <v>0</v>
      </c>
      <c r="R66" s="50">
        <f>Kd*t0d*_xlfn.GAMMA.DIST(Tabella2[[#This Row],[Day]]/t0d,wd+1,1,1)*_xlfn.GAMMA(wd+1)</f>
        <v>57859.531649236575</v>
      </c>
      <c r="S66" s="10">
        <f>Kd*((Tabella2[[#This Row],[Day]]/t0d)^wd)*EXP(-(Tabella2[[#This Row],[Day]]/t0d))</f>
        <v>2842.7612175105551</v>
      </c>
      <c r="T66" s="60">
        <f>Tabella2[[#This Row],[New_Recovered_fit]]*NOT(ISBLANK(Tabella2[[#This Row],[New recovered]]))</f>
        <v>0</v>
      </c>
      <c r="X66" s="26"/>
      <c r="Y66" s="65">
        <f>Tabella2[[#This Row],[New deaths]]*NOT(ISBLANK(Tabella2[[#This Row],[New deaths]]))</f>
        <v>0</v>
      </c>
      <c r="Z66" s="50">
        <f>kt*t0t*_xlfn.GAMMA.DIST(Tabella2[[#This Row],[Day]]/t0t,wt+1,1,1)*_xlfn.GAMMA(wt+1)</f>
        <v>22919.194232093112</v>
      </c>
      <c r="AA66" s="10">
        <f>kt*((Tabella2[[#This Row],[Day]]/t0t)^wt)*EXP(-(Tabella2[[#This Row],[Day]]/t0t))</f>
        <v>220.5985202452145</v>
      </c>
      <c r="AB66" s="65">
        <f>Tabella2[[#This Row],[New_Deaths_fit]]*NOT(ISBLANK(Tabella2[[#This Row],[New deaths]]))</f>
        <v>0</v>
      </c>
    </row>
    <row r="67" spans="2:28" x14ac:dyDescent="0.3">
      <c r="B67" s="9">
        <v>43944</v>
      </c>
      <c r="C67" s="4">
        <f t="shared" si="0"/>
        <v>59</v>
      </c>
      <c r="E67" s="30"/>
      <c r="F67" s="56">
        <f>Tabella2[[#This Row],[New cases]]*NOT(ISBLANK(Tabella2[[#This Row],[New cases]]))</f>
        <v>0</v>
      </c>
      <c r="G67" s="50">
        <f>Kn*t0n*_xlfn.GAMMA.DIST(Tabella2[[#This Row],[Day]]/t0n,wn+1,1,1)*_xlfn.GAMMA(wn+1)</f>
        <v>176496.60212242982</v>
      </c>
      <c r="H67" s="10">
        <f>Kn*((Tabella2[[#This Row],[Day]]/t0n)^wn)*EXP(-(Tabella2[[#This Row],[Day]]/t0n))</f>
        <v>1488.7352686259444</v>
      </c>
      <c r="I67" s="56">
        <f>Tabella2[[#This Row],[New_cases_fit]]*NOT(ISBLANK(Tabella2[[#This Row],[New cases]]))</f>
        <v>0</v>
      </c>
      <c r="L67" s="55"/>
      <c r="M67" s="54"/>
      <c r="N67" s="54">
        <f>Tabella2[[#This Row],[New_cases_fit]]-Tabella2[[#This Row],[New_Recovered_fit]]-Tabella2[[#This Row],[New_Deaths_fit]]</f>
        <v>-1645.7954260691949</v>
      </c>
      <c r="P67" s="48"/>
      <c r="Q67" s="60">
        <f>Tabella2[[#This Row],[New recovered]]*NOT(ISBLANK(Tabella2[[#This Row],[New recovered]]))</f>
        <v>0</v>
      </c>
      <c r="R67" s="50">
        <f>Kd*t0d*_xlfn.GAMMA.DIST(Tabella2[[#This Row],[Day]]/t0d,wd+1,1,1)*_xlfn.GAMMA(wd+1)</f>
        <v>60747.405234165017</v>
      </c>
      <c r="S67" s="10">
        <f>Kd*((Tabella2[[#This Row],[Day]]/t0d)^wd)*EXP(-(Tabella2[[#This Row],[Day]]/t0d))</f>
        <v>2933.190853280902</v>
      </c>
      <c r="T67" s="60">
        <f>Tabella2[[#This Row],[New_Recovered_fit]]*NOT(ISBLANK(Tabella2[[#This Row],[New recovered]]))</f>
        <v>0</v>
      </c>
      <c r="X67" s="26"/>
      <c r="Y67" s="65">
        <f>Tabella2[[#This Row],[New deaths]]*NOT(ISBLANK(Tabella2[[#This Row],[New deaths]]))</f>
        <v>0</v>
      </c>
      <c r="Z67" s="50">
        <f>kt*t0t*_xlfn.GAMMA.DIST(Tabella2[[#This Row],[Day]]/t0t,wt+1,1,1)*_xlfn.GAMMA(wt+1)</f>
        <v>23130.054827154294</v>
      </c>
      <c r="AA67" s="10">
        <f>kt*((Tabella2[[#This Row],[Day]]/t0t)^wt)*EXP(-(Tabella2[[#This Row],[Day]]/t0t))</f>
        <v>201.33984141423738</v>
      </c>
      <c r="AB67" s="65">
        <f>Tabella2[[#This Row],[New_Deaths_fit]]*NOT(ISBLANK(Tabella2[[#This Row],[New deaths]]))</f>
        <v>0</v>
      </c>
    </row>
    <row r="68" spans="2:28" x14ac:dyDescent="0.3">
      <c r="B68" s="9">
        <v>43945</v>
      </c>
      <c r="C68" s="4">
        <f t="shared" si="0"/>
        <v>60</v>
      </c>
      <c r="F68" s="56">
        <f>Tabella2[[#This Row],[New cases]]*NOT(ISBLANK(Tabella2[[#This Row],[New cases]]))</f>
        <v>0</v>
      </c>
      <c r="G68" s="50">
        <f>Kn*t0n*_xlfn.GAMMA.DIST(Tabella2[[#This Row],[Day]]/t0n,wn+1,1,1)*_xlfn.GAMMA(wn+1)</f>
        <v>177929.75718619788</v>
      </c>
      <c r="H68" s="10">
        <f>Kn*((Tabella2[[#This Row],[Day]]/t0n)^wn)*EXP(-(Tabella2[[#This Row],[Day]]/t0n))</f>
        <v>1378.6519188581667</v>
      </c>
      <c r="I68" s="56">
        <f>Tabella2[[#This Row],[New_cases_fit]]*NOT(ISBLANK(Tabella2[[#This Row],[New cases]]))</f>
        <v>0</v>
      </c>
      <c r="L68" s="55"/>
      <c r="M68" s="54"/>
      <c r="N68" s="54">
        <f>Tabella2[[#This Row],[New_cases_fit]]-Tabella2[[#This Row],[New_Recovered_fit]]-Tabella2[[#This Row],[New_Deaths_fit]]</f>
        <v>-1829.5665485693298</v>
      </c>
      <c r="P68" s="48"/>
      <c r="Q68" s="60">
        <f>Tabella2[[#This Row],[New recovered]]*NOT(ISBLANK(Tabella2[[#This Row],[New recovered]]))</f>
        <v>0</v>
      </c>
      <c r="R68" s="50">
        <f>Kd*t0d*_xlfn.GAMMA.DIST(Tabella2[[#This Row],[Day]]/t0d,wd+1,1,1)*_xlfn.GAMMA(wd+1)</f>
        <v>63726.321982191927</v>
      </c>
      <c r="S68" s="10">
        <f>Kd*((Tabella2[[#This Row],[Day]]/t0d)^wd)*EXP(-(Tabella2[[#This Row],[Day]]/t0d))</f>
        <v>3024.8463705003587</v>
      </c>
      <c r="T68" s="60">
        <f>Tabella2[[#This Row],[New_Recovered_fit]]*NOT(ISBLANK(Tabella2[[#This Row],[New recovered]]))</f>
        <v>0</v>
      </c>
      <c r="X68" s="26"/>
      <c r="Y68" s="65">
        <f>Tabella2[[#This Row],[New deaths]]*NOT(ISBLANK(Tabella2[[#This Row],[New deaths]]))</f>
        <v>0</v>
      </c>
      <c r="Z68" s="50">
        <f>kt*t0t*_xlfn.GAMMA.DIST(Tabella2[[#This Row],[Day]]/t0t,wt+1,1,1)*_xlfn.GAMMA(wt+1)</f>
        <v>23322.304344493594</v>
      </c>
      <c r="AA68" s="10">
        <f>kt*((Tabella2[[#This Row],[Day]]/t0t)^wt)*EXP(-(Tabella2[[#This Row],[Day]]/t0t))</f>
        <v>183.37209692713787</v>
      </c>
      <c r="AB68" s="65">
        <f>Tabella2[[#This Row],[New_Deaths_fit]]*NOT(ISBLANK(Tabella2[[#This Row],[New deaths]]))</f>
        <v>0</v>
      </c>
    </row>
    <row r="69" spans="2:28" x14ac:dyDescent="0.3">
      <c r="B69" s="9">
        <v>43946</v>
      </c>
      <c r="C69" s="4">
        <f t="shared" si="0"/>
        <v>61</v>
      </c>
      <c r="F69" s="56">
        <f>Tabella2[[#This Row],[New cases]]*NOT(ISBLANK(Tabella2[[#This Row],[New cases]]))</f>
        <v>0</v>
      </c>
      <c r="G69" s="50">
        <f>Kn*t0n*_xlfn.GAMMA.DIST(Tabella2[[#This Row],[Day]]/t0n,wn+1,1,1)*_xlfn.GAMMA(wn+1)</f>
        <v>179256.03781665841</v>
      </c>
      <c r="H69" s="10">
        <f>Kn*((Tabella2[[#This Row],[Day]]/t0n)^wn)*EXP(-(Tabella2[[#This Row],[Day]]/t0n))</f>
        <v>1274.963033878425</v>
      </c>
      <c r="I69" s="56">
        <f>Tabella2[[#This Row],[New_cases_fit]]*NOT(ISBLANK(Tabella2[[#This Row],[New cases]]))</f>
        <v>0</v>
      </c>
      <c r="L69" s="55"/>
      <c r="M69" s="54"/>
      <c r="N69" s="54">
        <f>Tabella2[[#This Row],[New_cases_fit]]-Tabella2[[#This Row],[New_Recovered_fit]]-Tabella2[[#This Row],[New_Deaths_fit]]</f>
        <v>-2009.422464905861</v>
      </c>
      <c r="P69" s="48"/>
      <c r="Q69" s="60">
        <f>Tabella2[[#This Row],[New recovered]]*NOT(ISBLANK(Tabella2[[#This Row],[New recovered]]))</f>
        <v>0</v>
      </c>
      <c r="R69" s="50">
        <f>Kd*t0d*_xlfn.GAMMA.DIST(Tabella2[[#This Row],[Day]]/t0d,wd+1,1,1)*_xlfn.GAMMA(wd+1)</f>
        <v>66797.504266392163</v>
      </c>
      <c r="S69" s="10">
        <f>Kd*((Tabella2[[#This Row],[Day]]/t0d)^wd)*EXP(-(Tabella2[[#This Row],[Day]]/t0d))</f>
        <v>3117.7207636039739</v>
      </c>
      <c r="T69" s="60">
        <f>Tabella2[[#This Row],[New_Recovered_fit]]*NOT(ISBLANK(Tabella2[[#This Row],[New recovered]]))</f>
        <v>0</v>
      </c>
      <c r="X69" s="26"/>
      <c r="Y69" s="65">
        <f>Tabella2[[#This Row],[New deaths]]*NOT(ISBLANK(Tabella2[[#This Row],[New deaths]]))</f>
        <v>0</v>
      </c>
      <c r="Z69" s="50">
        <f>kt*t0t*_xlfn.GAMMA.DIST(Tabella2[[#This Row],[Day]]/t0t,wt+1,1,1)*_xlfn.GAMMA(wt+1)</f>
        <v>23497.219244560558</v>
      </c>
      <c r="AA69" s="10">
        <f>kt*((Tabella2[[#This Row],[Day]]/t0t)^wt)*EXP(-(Tabella2[[#This Row],[Day]]/t0t))</f>
        <v>166.66473518031205</v>
      </c>
      <c r="AB69" s="65">
        <f>Tabella2[[#This Row],[New_Deaths_fit]]*NOT(ISBLANK(Tabella2[[#This Row],[New deaths]]))</f>
        <v>0</v>
      </c>
    </row>
    <row r="70" spans="2:28" x14ac:dyDescent="0.3">
      <c r="B70" s="9">
        <v>43947</v>
      </c>
      <c r="C70" s="4">
        <f t="shared" si="0"/>
        <v>62</v>
      </c>
      <c r="F70" s="56">
        <f>Tabella2[[#This Row],[New cases]]*NOT(ISBLANK(Tabella2[[#This Row],[New cases]]))</f>
        <v>0</v>
      </c>
      <c r="G70" s="50">
        <f>Kn*t0n*_xlfn.GAMMA.DIST(Tabella2[[#This Row],[Day]]/t0n,wn+1,1,1)*_xlfn.GAMMA(wn+1)</f>
        <v>180481.76315589418</v>
      </c>
      <c r="H70" s="10">
        <f>Kn*((Tabella2[[#This Row],[Day]]/t0n)^wn)*EXP(-(Tabella2[[#This Row],[Day]]/t0n))</f>
        <v>1177.5129495498984</v>
      </c>
      <c r="I70" s="56">
        <f>Tabella2[[#This Row],[New_cases_fit]]*NOT(ISBLANK(Tabella2[[#This Row],[New cases]]))</f>
        <v>0</v>
      </c>
      <c r="L70" s="55"/>
      <c r="M70" s="54"/>
      <c r="N70" s="54">
        <f>Tabella2[[#This Row],[New_cases_fit]]-Tabella2[[#This Row],[New_Recovered_fit]]-Tabella2[[#This Row],[New_Deaths_fit]]</f>
        <v>-2185.4726891370697</v>
      </c>
      <c r="P70" s="48"/>
      <c r="Q70" s="60">
        <f>Tabella2[[#This Row],[New recovered]]*NOT(ISBLANK(Tabella2[[#This Row],[New recovered]]))</f>
        <v>0</v>
      </c>
      <c r="R70" s="50">
        <f>Kd*t0d*_xlfn.GAMMA.DIST(Tabella2[[#This Row],[Day]]/t0d,wd+1,1,1)*_xlfn.GAMMA(wd+1)</f>
        <v>69962.167487512139</v>
      </c>
      <c r="S70" s="10">
        <f>Kd*((Tabella2[[#This Row],[Day]]/t0d)^wd)*EXP(-(Tabella2[[#This Row],[Day]]/t0d))</f>
        <v>3211.807093188942</v>
      </c>
      <c r="T70" s="60">
        <f>Tabella2[[#This Row],[New_Recovered_fit]]*NOT(ISBLANK(Tabella2[[#This Row],[New recovered]]))</f>
        <v>0</v>
      </c>
      <c r="X70" s="26"/>
      <c r="Y70" s="65">
        <f>Tabella2[[#This Row],[New deaths]]*NOT(ISBLANK(Tabella2[[#This Row],[New deaths]]))</f>
        <v>0</v>
      </c>
      <c r="Z70" s="50">
        <f>kt*t0t*_xlfn.GAMMA.DIST(Tabella2[[#This Row],[Day]]/t0t,wt+1,1,1)*_xlfn.GAMMA(wt+1)</f>
        <v>23656.040948042697</v>
      </c>
      <c r="AA70" s="10">
        <f>kt*((Tabella2[[#This Row],[Day]]/t0t)^wt)*EXP(-(Tabella2[[#This Row],[Day]]/t0t))</f>
        <v>151.17854549802618</v>
      </c>
      <c r="AB70" s="65">
        <f>Tabella2[[#This Row],[New_Deaths_fit]]*NOT(ISBLANK(Tabella2[[#This Row],[New deaths]]))</f>
        <v>0</v>
      </c>
    </row>
    <row r="71" spans="2:28" x14ac:dyDescent="0.3">
      <c r="B71" s="9">
        <v>43948</v>
      </c>
      <c r="C71" s="4">
        <f t="shared" si="0"/>
        <v>63</v>
      </c>
      <c r="F71" s="56">
        <f>Tabella2[[#This Row],[New cases]]*NOT(ISBLANK(Tabella2[[#This Row],[New cases]]))</f>
        <v>0</v>
      </c>
      <c r="G71" s="50">
        <f>Kn*t0n*_xlfn.GAMMA.DIST(Tabella2[[#This Row],[Day]]/t0n,wn+1,1,1)*_xlfn.GAMMA(wn+1)</f>
        <v>181613.08259540042</v>
      </c>
      <c r="H71" s="10">
        <f>Kn*((Tabella2[[#This Row],[Day]]/t0n)^wn)*EXP(-(Tabella2[[#This Row],[Day]]/t0n))</f>
        <v>1086.1187798466894</v>
      </c>
      <c r="I71" s="56">
        <f>Tabella2[[#This Row],[New_cases_fit]]*NOT(ISBLANK(Tabella2[[#This Row],[New cases]]))</f>
        <v>0</v>
      </c>
      <c r="L71" s="55"/>
      <c r="M71" s="54"/>
      <c r="N71" s="54">
        <f>Tabella2[[#This Row],[New_cases_fit]]-Tabella2[[#This Row],[New_Recovered_fit]]-Tabella2[[#This Row],[New_Deaths_fit]]</f>
        <v>-2357.8471745197871</v>
      </c>
      <c r="P71" s="48"/>
      <c r="Q71" s="60">
        <f>Tabella2[[#This Row],[New recovered]]*NOT(ISBLANK(Tabella2[[#This Row],[New recovered]]))</f>
        <v>0</v>
      </c>
      <c r="R71" s="50">
        <f>Kd*t0d*_xlfn.GAMMA.DIST(Tabella2[[#This Row],[Day]]/t0d,wd+1,1,1)*_xlfn.GAMMA(wd+1)</f>
        <v>73221.520139215994</v>
      </c>
      <c r="S71" s="10">
        <f>Kd*((Tabella2[[#This Row],[Day]]/t0d)^wd)*EXP(-(Tabella2[[#This Row],[Day]]/t0d))</f>
        <v>3307.098484198707</v>
      </c>
      <c r="T71" s="60">
        <f>Tabella2[[#This Row],[New_Recovered_fit]]*NOT(ISBLANK(Tabella2[[#This Row],[New recovered]]))</f>
        <v>0</v>
      </c>
      <c r="X71" s="26"/>
      <c r="Y71" s="65">
        <f>Tabella2[[#This Row],[New deaths]]*NOT(ISBLANK(Tabella2[[#This Row],[New deaths]]))</f>
        <v>0</v>
      </c>
      <c r="Z71" s="50">
        <f>kt*t0t*_xlfn.GAMMA.DIST(Tabella2[[#This Row],[Day]]/t0t,wt+1,1,1)*_xlfn.GAMMA(wt+1)</f>
        <v>23799.968098088408</v>
      </c>
      <c r="AA71" s="10">
        <f>kt*((Tabella2[[#This Row],[Day]]/t0t)^wt)*EXP(-(Tabella2[[#This Row],[Day]]/t0t))</f>
        <v>136.86747016776945</v>
      </c>
      <c r="AB71" s="65">
        <f>Tabella2[[#This Row],[New_Deaths_fit]]*NOT(ISBLANK(Tabella2[[#This Row],[New deaths]]))</f>
        <v>0</v>
      </c>
    </row>
    <row r="72" spans="2:28" x14ac:dyDescent="0.3">
      <c r="B72" s="9">
        <v>43949</v>
      </c>
      <c r="C72" s="4">
        <f t="shared" si="0"/>
        <v>64</v>
      </c>
      <c r="F72" s="56">
        <f>Tabella2[[#This Row],[New cases]]*NOT(ISBLANK(Tabella2[[#This Row],[New cases]]))</f>
        <v>0</v>
      </c>
      <c r="G72" s="50">
        <f>Kn*t0n*_xlfn.GAMMA.DIST(Tabella2[[#This Row],[Day]]/t0n,wn+1,1,1)*_xlfn.GAMMA(wn+1)</f>
        <v>182655.95131426229</v>
      </c>
      <c r="H72" s="10">
        <f>Kn*((Tabella2[[#This Row],[Day]]/t0n)^wn)*EXP(-(Tabella2[[#This Row],[Day]]/t0n))</f>
        <v>1000.5758444751432</v>
      </c>
      <c r="I72" s="56">
        <f>Tabella2[[#This Row],[New_cases_fit]]*NOT(ISBLANK(Tabella2[[#This Row],[New cases]]))</f>
        <v>0</v>
      </c>
      <c r="L72" s="55"/>
      <c r="M72" s="54"/>
      <c r="N72" s="54">
        <f>Tabella2[[#This Row],[New_cases_fit]]-Tabella2[[#This Row],[New_Recovered_fit]]-Tabella2[[#This Row],[New_Deaths_fit]]</f>
        <v>-2526.6925120484761</v>
      </c>
      <c r="P72" s="48"/>
      <c r="Q72" s="60">
        <f>Tabella2[[#This Row],[New recovered]]*NOT(ISBLANK(Tabella2[[#This Row],[New recovered]]))</f>
        <v>0</v>
      </c>
      <c r="R72" s="50">
        <f>Kd*t0d*_xlfn.GAMMA.DIST(Tabella2[[#This Row],[Day]]/t0d,wd+1,1,1)*_xlfn.GAMMA(wd+1)</f>
        <v>76576.763871560514</v>
      </c>
      <c r="S72" s="10">
        <f>Kd*((Tabella2[[#This Row],[Day]]/t0d)^wd)*EXP(-(Tabella2[[#This Row],[Day]]/t0d))</f>
        <v>3403.5881241932098</v>
      </c>
      <c r="T72" s="60">
        <f>Tabella2[[#This Row],[New_Recovered_fit]]*NOT(ISBLANK(Tabella2[[#This Row],[New recovered]]))</f>
        <v>0</v>
      </c>
      <c r="X72" s="26"/>
      <c r="Y72" s="65">
        <f>Tabella2[[#This Row],[New deaths]]*NOT(ISBLANK(Tabella2[[#This Row],[New deaths]]))</f>
        <v>0</v>
      </c>
      <c r="Z72" s="50">
        <f>kt*t0t*_xlfn.GAMMA.DIST(Tabella2[[#This Row],[Day]]/t0t,wt+1,1,1)*_xlfn.GAMMA(wt+1)</f>
        <v>23930.150542575284</v>
      </c>
      <c r="AA72" s="10">
        <f>kt*((Tabella2[[#This Row],[Day]]/t0t)^wt)*EXP(-(Tabella2[[#This Row],[Day]]/t0t))</f>
        <v>123.68023233040964</v>
      </c>
      <c r="AB72" s="65">
        <f>Tabella2[[#This Row],[New_Deaths_fit]]*NOT(ISBLANK(Tabella2[[#This Row],[New deaths]]))</f>
        <v>0</v>
      </c>
    </row>
    <row r="73" spans="2:28" x14ac:dyDescent="0.3">
      <c r="B73" s="9">
        <v>43950</v>
      </c>
      <c r="C73" s="4">
        <f t="shared" si="0"/>
        <v>65</v>
      </c>
      <c r="F73" s="56">
        <f>Tabella2[[#This Row],[New cases]]*NOT(ISBLANK(Tabella2[[#This Row],[New cases]]))</f>
        <v>0</v>
      </c>
      <c r="G73" s="50">
        <f>Kn*t0n*_xlfn.GAMMA.DIST(Tabella2[[#This Row],[Day]]/t0n,wn+1,1,1)*_xlfn.GAMMA(wn+1)</f>
        <v>183616.11097005755</v>
      </c>
      <c r="H73" s="10">
        <f>Kn*((Tabella2[[#This Row],[Day]]/t0n)^wn)*EXP(-(Tabella2[[#This Row],[Day]]/t0n))</f>
        <v>920.66254956023181</v>
      </c>
      <c r="I73" s="56">
        <f>Tabella2[[#This Row],[New_cases_fit]]*NOT(ISBLANK(Tabella2[[#This Row],[New cases]]))</f>
        <v>0</v>
      </c>
      <c r="L73" s="55"/>
      <c r="M73" s="54"/>
      <c r="N73" s="54">
        <f>Tabella2[[#This Row],[New_cases_fit]]-Tabella2[[#This Row],[New_Recovered_fit]]-Tabella2[[#This Row],[New_Deaths_fit]]</f>
        <v>-2692.1684930901883</v>
      </c>
      <c r="P73" s="48"/>
      <c r="Q73" s="60">
        <f>Tabella2[[#This Row],[New recovered]]*NOT(ISBLANK(Tabella2[[#This Row],[New recovered]]))</f>
        <v>0</v>
      </c>
      <c r="R73" s="50">
        <f>Kd*t0d*_xlfn.GAMMA.DIST(Tabella2[[#This Row],[Day]]/t0d,wd+1,1,1)*_xlfn.GAMMA(wd+1)</f>
        <v>80029.093552779901</v>
      </c>
      <c r="S73" s="10">
        <f>Kd*((Tabella2[[#This Row],[Day]]/t0d)^wd)*EXP(-(Tabella2[[#This Row],[Day]]/t0d))</f>
        <v>3501.2692616997879</v>
      </c>
      <c r="T73" s="60">
        <f>Tabella2[[#This Row],[New_Recovered_fit]]*NOT(ISBLANK(Tabella2[[#This Row],[New recovered]]))</f>
        <v>0</v>
      </c>
      <c r="X73" s="26"/>
      <c r="Y73" s="65">
        <f>Tabella2[[#This Row],[New deaths]]*NOT(ISBLANK(Tabella2[[#This Row],[New deaths]]))</f>
        <v>0</v>
      </c>
      <c r="Z73" s="50">
        <f>kt*t0t*_xlfn.GAMMA.DIST(Tabella2[[#This Row],[Day]]/t0t,wt+1,1,1)*_xlfn.GAMMA(wt+1)</f>
        <v>24047.684852533064</v>
      </c>
      <c r="AA73" s="10">
        <f>kt*((Tabella2[[#This Row],[Day]]/t0t)^wt)*EXP(-(Tabella2[[#This Row],[Day]]/t0t))</f>
        <v>111.56178095063204</v>
      </c>
      <c r="AB73" s="65">
        <f>Tabella2[[#This Row],[New_Deaths_fit]]*NOT(ISBLANK(Tabella2[[#This Row],[New deaths]]))</f>
        <v>0</v>
      </c>
    </row>
    <row r="74" spans="2:28" x14ac:dyDescent="0.3">
      <c r="B74" s="9">
        <v>43951</v>
      </c>
      <c r="C74" s="4">
        <f t="shared" ref="C74:C78" si="1">C73+1</f>
        <v>66</v>
      </c>
      <c r="F74" s="56">
        <f>Tabella2[[#This Row],[New cases]]*NOT(ISBLANK(Tabella2[[#This Row],[New cases]]))</f>
        <v>0</v>
      </c>
      <c r="G74" s="50">
        <f>Kn*t0n*_xlfn.GAMMA.DIST(Tabella2[[#This Row],[Day]]/t0n,wn+1,1,1)*_xlfn.GAMMA(wn+1)</f>
        <v>184499.07500513023</v>
      </c>
      <c r="H74" s="10">
        <f>Kn*((Tabella2[[#This Row],[Day]]/t0n)^wn)*EXP(-(Tabella2[[#This Row],[Day]]/t0n))</f>
        <v>846.14474151376669</v>
      </c>
      <c r="I74" s="56">
        <f>Tabella2[[#This Row],[New_cases_fit]]*NOT(ISBLANK(Tabella2[[#This Row],[New cases]]))</f>
        <v>0</v>
      </c>
      <c r="L74" s="55"/>
      <c r="M74" s="54"/>
      <c r="N74" s="54">
        <f>Tabella2[[#This Row],[New_cases_fit]]-Tabella2[[#This Row],[New_Recovered_fit]]-Tabella2[[#This Row],[New_Deaths_fit]]</f>
        <v>-2854.4450210333157</v>
      </c>
      <c r="P74" s="48"/>
      <c r="Q74" s="60">
        <f>Tabella2[[#This Row],[New recovered]]*NOT(ISBLANK(Tabella2[[#This Row],[New recovered]]))</f>
        <v>0</v>
      </c>
      <c r="R74" s="50">
        <f>Kd*t0d*_xlfn.GAMMA.DIST(Tabella2[[#This Row],[Day]]/t0d,wd+1,1,1)*_xlfn.GAMMA(wd+1)</f>
        <v>83579.697329461371</v>
      </c>
      <c r="S74" s="10">
        <f>Kd*((Tabella2[[#This Row],[Day]]/t0d)^wd)*EXP(-(Tabella2[[#This Row],[Day]]/t0d))</f>
        <v>3600.135204639766</v>
      </c>
      <c r="T74" s="60">
        <f>Tabella2[[#This Row],[New_Recovered_fit]]*NOT(ISBLANK(Tabella2[[#This Row],[New recovered]]))</f>
        <v>0</v>
      </c>
      <c r="X74" s="26"/>
      <c r="Y74" s="65">
        <f>Tabella2[[#This Row],[New deaths]]*NOT(ISBLANK(Tabella2[[#This Row],[New deaths]]))</f>
        <v>0</v>
      </c>
      <c r="Z74" s="50">
        <f>kt*t0t*_xlfn.GAMMA.DIST(Tabella2[[#This Row],[Day]]/t0t,wt+1,1,1)*_xlfn.GAMMA(wt+1)</f>
        <v>24153.611196042777</v>
      </c>
      <c r="AA74" s="10">
        <f>kt*((Tabella2[[#This Row],[Day]]/t0t)^wt)*EXP(-(Tabella2[[#This Row],[Day]]/t0t))</f>
        <v>100.45455790731636</v>
      </c>
      <c r="AB74" s="65">
        <f>Tabella2[[#This Row],[New_Deaths_fit]]*NOT(ISBLANK(Tabella2[[#This Row],[New deaths]]))</f>
        <v>0</v>
      </c>
    </row>
    <row r="75" spans="2:28" x14ac:dyDescent="0.3">
      <c r="B75" s="9">
        <v>43952</v>
      </c>
      <c r="C75" s="4">
        <f t="shared" si="1"/>
        <v>67</v>
      </c>
      <c r="F75" s="56">
        <f>Tabella2[[#This Row],[New cases]]*NOT(ISBLANK(Tabella2[[#This Row],[New cases]]))</f>
        <v>0</v>
      </c>
      <c r="G75" s="50">
        <f>Kn*t0n*_xlfn.GAMMA.DIST(Tabella2[[#This Row],[Day]]/t0n,wn+1,1,1)*_xlfn.GAMMA(wn+1)</f>
        <v>185310.11805360604</v>
      </c>
      <c r="H75" s="10">
        <f>Kn*((Tabella2[[#This Row],[Day]]/t0n)^wn)*EXP(-(Tabella2[[#This Row],[Day]]/t0n))</f>
        <v>776.77955916772328</v>
      </c>
      <c r="I75" s="56">
        <f>Tabella2[[#This Row],[New_cases_fit]]*NOT(ISBLANK(Tabella2[[#This Row],[New cases]]))</f>
        <v>0</v>
      </c>
      <c r="L75" s="55"/>
      <c r="M75" s="54"/>
      <c r="N75" s="54">
        <f>Tabella2[[#This Row],[New_cases_fit]]-Tabella2[[#This Row],[New_Recovered_fit]]-Tabella2[[#This Row],[New_Deaths_fit]]</f>
        <v>-3013.6993548154851</v>
      </c>
      <c r="P75" s="48"/>
      <c r="Q75" s="60">
        <f>Tabella2[[#This Row],[New recovered]]*NOT(ISBLANK(Tabella2[[#This Row],[New recovered]]))</f>
        <v>0</v>
      </c>
      <c r="R75" s="50">
        <f>Kd*t0d*_xlfn.GAMMA.DIST(Tabella2[[#This Row],[Day]]/t0d,wd+1,1,1)*_xlfn.GAMMA(wd+1)</f>
        <v>87229.756685181026</v>
      </c>
      <c r="S75" s="10">
        <f>Kd*((Tabella2[[#This Row],[Day]]/t0d)^wd)*EXP(-(Tabella2[[#This Row],[Day]]/t0d))</f>
        <v>3700.1793188259458</v>
      </c>
      <c r="T75" s="60">
        <f>Tabella2[[#This Row],[New_Recovered_fit]]*NOT(ISBLANK(Tabella2[[#This Row],[New recovered]]))</f>
        <v>0</v>
      </c>
      <c r="X75" s="26"/>
      <c r="Y75" s="65">
        <f>Tabella2[[#This Row],[New deaths]]*NOT(ISBLANK(Tabella2[[#This Row],[New deaths]]))</f>
        <v>0</v>
      </c>
      <c r="Z75" s="50">
        <f>kt*t0t*_xlfn.GAMMA.DIST(Tabella2[[#This Row],[Day]]/t0t,wt+1,1,1)*_xlfn.GAMMA(wt+1)</f>
        <v>24248.911393500261</v>
      </c>
      <c r="AA75" s="10">
        <f>kt*((Tabella2[[#This Row],[Day]]/t0t)^wt)*EXP(-(Tabella2[[#This Row],[Day]]/t0t))</f>
        <v>90.299595157262686</v>
      </c>
      <c r="AB75" s="65">
        <f>Tabella2[[#This Row],[New_Deaths_fit]]*NOT(ISBLANK(Tabella2[[#This Row],[New deaths]]))</f>
        <v>0</v>
      </c>
    </row>
    <row r="76" spans="2:28" x14ac:dyDescent="0.3">
      <c r="B76" s="9">
        <v>43953</v>
      </c>
      <c r="C76" s="4">
        <f t="shared" si="1"/>
        <v>68</v>
      </c>
      <c r="F76" s="56">
        <f>Tabella2[[#This Row],[New cases]]*NOT(ISBLANK(Tabella2[[#This Row],[New cases]]))</f>
        <v>0</v>
      </c>
      <c r="G76" s="50">
        <f>Kn*t0n*_xlfn.GAMMA.DIST(Tabella2[[#This Row],[Day]]/t0n,wn+1,1,1)*_xlfn.GAMMA(wn+1)</f>
        <v>186054.26896150032</v>
      </c>
      <c r="H76" s="10">
        <f>Kn*((Tabella2[[#This Row],[Day]]/t0n)^wn)*EXP(-(Tabella2[[#This Row],[Day]]/t0n))</f>
        <v>712.31881283559358</v>
      </c>
      <c r="I76" s="56">
        <f>Tabella2[[#This Row],[New_cases_fit]]*NOT(ISBLANK(Tabella2[[#This Row],[New cases]]))</f>
        <v>0</v>
      </c>
      <c r="L76" s="55"/>
      <c r="M76" s="54"/>
      <c r="N76" s="54">
        <f>Tabella2[[#This Row],[New_cases_fit]]-Tabella2[[#This Row],[New_Recovered_fit]]-Tabella2[[#This Row],[New_Deaths_fit]]</f>
        <v>-3170.1136657440925</v>
      </c>
      <c r="P76" s="48"/>
      <c r="Q76" s="60">
        <f>Tabella2[[#This Row],[New recovered]]*NOT(ISBLANK(Tabella2[[#This Row],[New recovered]]))</f>
        <v>0</v>
      </c>
      <c r="R76" s="50">
        <f>Kd*t0d*_xlfn.GAMMA.DIST(Tabella2[[#This Row],[Day]]/t0d,wd+1,1,1)*_xlfn.GAMMA(wd+1)</f>
        <v>90980.44649767282</v>
      </c>
      <c r="S76" s="10">
        <f>Kd*((Tabella2[[#This Row],[Day]]/t0d)^wd)*EXP(-(Tabella2[[#This Row],[Day]]/t0d))</f>
        <v>3801.3950265268631</v>
      </c>
      <c r="T76" s="60">
        <f>Tabella2[[#This Row],[New_Recovered_fit]]*NOT(ISBLANK(Tabella2[[#This Row],[New recovered]]))</f>
        <v>0</v>
      </c>
      <c r="X76" s="26"/>
      <c r="Y76" s="65">
        <f>Tabella2[[#This Row],[New deaths]]*NOT(ISBLANK(Tabella2[[#This Row],[New deaths]]))</f>
        <v>0</v>
      </c>
      <c r="Z76" s="50">
        <f>kt*t0t*_xlfn.GAMMA.DIST(Tabella2[[#This Row],[Day]]/t0t,wt+1,1,1)*_xlfn.GAMMA(wt+1)</f>
        <v>24334.507989210444</v>
      </c>
      <c r="AA76" s="10">
        <f>kt*((Tabella2[[#This Row],[Day]]/t0t)^wt)*EXP(-(Tabella2[[#This Row],[Day]]/t0t))</f>
        <v>81.037452052822943</v>
      </c>
      <c r="AB76" s="65">
        <f>Tabella2[[#This Row],[New_Deaths_fit]]*NOT(ISBLANK(Tabella2[[#This Row],[New deaths]]))</f>
        <v>0</v>
      </c>
    </row>
    <row r="77" spans="2:28" x14ac:dyDescent="0.3">
      <c r="B77" s="9">
        <v>43954</v>
      </c>
      <c r="C77" s="4">
        <f t="shared" si="1"/>
        <v>69</v>
      </c>
      <c r="F77" s="56">
        <f>Tabella2[[#This Row],[New cases]]*NOT(ISBLANK(Tabella2[[#This Row],[New cases]]))</f>
        <v>0</v>
      </c>
      <c r="G77" s="50">
        <f>Kn*t0n*_xlfn.GAMMA.DIST(Tabella2[[#This Row],[Day]]/t0n,wn+1,1,1)*_xlfn.GAMMA(wn+1)</f>
        <v>186736.30696222078</v>
      </c>
      <c r="H77" s="10">
        <f>Kn*((Tabella2[[#This Row],[Day]]/t0n)^wn)*EXP(-(Tabella2[[#This Row],[Day]]/t0n))</f>
        <v>652.51192136260158</v>
      </c>
      <c r="I77" s="56">
        <f>Tabella2[[#This Row],[New_cases_fit]]*NOT(ISBLANK(Tabella2[[#This Row],[New cases]]))</f>
        <v>0</v>
      </c>
      <c r="L77" s="55"/>
      <c r="M77" s="54"/>
      <c r="N77" s="54">
        <f>Tabella2[[#This Row],[New_cases_fit]]-Tabella2[[#This Row],[New_Recovered_fit]]-Tabella2[[#This Row],[New_Deaths_fit]]</f>
        <v>-3323.8728880773492</v>
      </c>
      <c r="P77" s="48"/>
      <c r="Q77" s="60">
        <f>Tabella2[[#This Row],[New recovered]]*NOT(ISBLANK(Tabella2[[#This Row],[New recovered]]))</f>
        <v>0</v>
      </c>
      <c r="R77" s="50">
        <f>Kd*t0d*_xlfn.GAMMA.DIST(Tabella2[[#This Row],[Day]]/t0d,wd+1,1,1)*_xlfn.GAMMA(wd+1)</f>
        <v>94832.9350945927</v>
      </c>
      <c r="S77" s="10">
        <f>Kd*((Tabella2[[#This Row],[Day]]/t0d)^wd)*EXP(-(Tabella2[[#This Row],[Day]]/t0d))</f>
        <v>3903.7758050937236</v>
      </c>
      <c r="T77" s="60">
        <f>Tabella2[[#This Row],[New_Recovered_fit]]*NOT(ISBLANK(Tabella2[[#This Row],[New recovered]]))</f>
        <v>0</v>
      </c>
      <c r="X77" s="26"/>
      <c r="Y77" s="65">
        <f>Tabella2[[#This Row],[New deaths]]*NOT(ISBLANK(Tabella2[[#This Row],[New deaths]]))</f>
        <v>0</v>
      </c>
      <c r="Z77" s="50">
        <f>kt*t0t*_xlfn.GAMMA.DIST(Tabella2[[#This Row],[Day]]/t0t,wt+1,1,1)*_xlfn.GAMMA(wt+1)</f>
        <v>24411.264185136755</v>
      </c>
      <c r="AA77" s="10">
        <f>kt*((Tabella2[[#This Row],[Day]]/t0t)^wt)*EXP(-(Tabella2[[#This Row],[Day]]/t0t))</f>
        <v>72.60900434622711</v>
      </c>
      <c r="AB77" s="65">
        <f>Tabella2[[#This Row],[New_Deaths_fit]]*NOT(ISBLANK(Tabella2[[#This Row],[New deaths]]))</f>
        <v>0</v>
      </c>
    </row>
    <row r="78" spans="2:28" x14ac:dyDescent="0.3">
      <c r="B78" s="9">
        <v>43955</v>
      </c>
      <c r="C78" s="4">
        <f t="shared" si="1"/>
        <v>70</v>
      </c>
      <c r="F78" s="56">
        <f>Tabella2[[#This Row],[New cases]]*NOT(ISBLANK(Tabella2[[#This Row],[New cases]]))</f>
        <v>0</v>
      </c>
      <c r="G78" s="50">
        <f>Kn*t0n*_xlfn.GAMMA.DIST(Tabella2[[#This Row],[Day]]/t0n,wn+1,1,1)*_xlfn.GAMMA(wn+1)</f>
        <v>187360.76058160648</v>
      </c>
      <c r="H78" s="10">
        <f>Kn*((Tabella2[[#This Row],[Day]]/t0n)^wn)*EXP(-(Tabella2[[#This Row],[Day]]/t0n))</f>
        <v>597.10843962989293</v>
      </c>
      <c r="I78" s="56">
        <f>Tabella2[[#This Row],[New_cases_fit]]*NOT(ISBLANK(Tabella2[[#This Row],[New cases]]))</f>
        <v>0</v>
      </c>
      <c r="L78" s="55"/>
      <c r="M78" s="54"/>
      <c r="N78" s="54">
        <f>Tabella2[[#This Row],[New_cases_fit]]-Tabella2[[#This Row],[New_Recovered_fit]]-Tabella2[[#This Row],[New_Deaths_fit]]</f>
        <v>-3475.1628433134883</v>
      </c>
      <c r="P78" s="48"/>
      <c r="Q78" s="60">
        <f>Tabella2[[#This Row],[New recovered]]*NOT(ISBLANK(Tabella2[[#This Row],[New recovered]]))</f>
        <v>0</v>
      </c>
      <c r="R78" s="50">
        <f>Kd*t0d*_xlfn.GAMMA.DIST(Tabella2[[#This Row],[Day]]/t0d,wd+1,1,1)*_xlfn.GAMMA(wd+1)</f>
        <v>98788.384307938803</v>
      </c>
      <c r="S78" s="10">
        <f>Kd*((Tabella2[[#This Row],[Day]]/t0d)^wd)*EXP(-(Tabella2[[#This Row],[Day]]/t0d))</f>
        <v>4007.3151856463437</v>
      </c>
      <c r="T78" s="60">
        <f>Tabella2[[#This Row],[New_Recovered_fit]]*NOT(ISBLANK(Tabella2[[#This Row],[New recovered]]))</f>
        <v>0</v>
      </c>
      <c r="X78" s="26"/>
      <c r="Y78" s="65">
        <f>Tabella2[[#This Row],[New deaths]]*NOT(ISBLANK(Tabella2[[#This Row],[New deaths]]))</f>
        <v>0</v>
      </c>
      <c r="Z78" s="50">
        <f>kt*t0t*_xlfn.GAMMA.DIST(Tabella2[[#This Row],[Day]]/t0t,wt+1,1,1)*_xlfn.GAMMA(wt+1)</f>
        <v>24479.984494648008</v>
      </c>
      <c r="AA78" s="10">
        <f>kt*((Tabella2[[#This Row],[Day]]/t0t)^wt)*EXP(-(Tabella2[[#This Row],[Day]]/t0t))</f>
        <v>64.956097297037346</v>
      </c>
      <c r="AB78" s="65">
        <f>Tabella2[[#This Row],[New_Deaths_fit]]*NOT(ISBLANK(Tabella2[[#This Row],[New deaths]]))</f>
        <v>0</v>
      </c>
    </row>
  </sheetData>
  <mergeCells count="7">
    <mergeCell ref="AI3:AL3"/>
    <mergeCell ref="B2:H2"/>
    <mergeCell ref="B4:G4"/>
    <mergeCell ref="B5:G5"/>
    <mergeCell ref="AI4:AL4"/>
    <mergeCell ref="AI5:AL5"/>
    <mergeCell ref="H3:H6"/>
  </mergeCells>
  <pageMargins left="0.7" right="0.7" top="0.75" bottom="0.75" header="0.3" footer="0.3"/>
  <drawing r:id="rId1"/>
  <legacy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AT286"/>
  <sheetViews>
    <sheetView tabSelected="1" topLeftCell="A4" zoomScale="55" zoomScaleNormal="55" workbookViewId="0">
      <selection activeCell="G8" sqref="G8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6.88671875" style="2" bestFit="1" customWidth="1"/>
    <col min="9" max="9" width="15.44140625" style="2" customWidth="1"/>
    <col min="10" max="10" width="11.33203125" style="2" customWidth="1"/>
    <col min="11" max="11" width="13" style="2" bestFit="1" customWidth="1"/>
    <col min="12" max="12" width="13.33203125" style="2" bestFit="1" customWidth="1"/>
    <col min="13" max="13" width="13.5546875" style="2" bestFit="1" customWidth="1"/>
    <col min="14" max="14" width="11.44140625" style="2" bestFit="1" customWidth="1"/>
    <col min="15" max="18" width="8.88671875" style="2"/>
    <col min="19" max="19" width="11" style="2" bestFit="1" customWidth="1"/>
    <col min="20" max="30" width="8.88671875" style="2"/>
    <col min="31" max="31" width="0.77734375" style="2" customWidth="1"/>
    <col min="32" max="32" width="14" style="2" customWidth="1"/>
    <col min="33" max="33" width="16.109375" style="2" customWidth="1"/>
    <col min="34" max="37" width="8.88671875" style="2"/>
    <col min="38" max="38" width="8.88671875" style="2" customWidth="1"/>
    <col min="39" max="16384" width="8.88671875" style="2"/>
  </cols>
  <sheetData>
    <row r="2" spans="2:46" ht="23.4" x14ac:dyDescent="0.45">
      <c r="B2" s="110" t="s">
        <v>11</v>
      </c>
      <c r="C2" s="110"/>
      <c r="D2" s="110"/>
      <c r="E2" s="110"/>
      <c r="F2" s="110"/>
      <c r="G2" s="110"/>
      <c r="H2" s="110"/>
    </row>
    <row r="3" spans="2:46" ht="17.399999999999999" customHeight="1" thickBot="1" x14ac:dyDescent="0.65">
      <c r="B3" s="12"/>
      <c r="C3" s="13"/>
      <c r="D3" s="13"/>
      <c r="E3" s="13"/>
      <c r="F3" s="13"/>
      <c r="G3" s="13"/>
      <c r="H3" s="113"/>
      <c r="I3" s="13"/>
      <c r="J3" s="13"/>
      <c r="O3" s="13"/>
      <c r="P3" s="13"/>
      <c r="Q3" s="13"/>
      <c r="R3" s="13"/>
      <c r="S3" s="13"/>
      <c r="T3" s="13"/>
      <c r="U3" s="13"/>
      <c r="W3" s="13"/>
      <c r="X3" s="13"/>
      <c r="Y3" s="13"/>
      <c r="Z3" s="13"/>
      <c r="AA3" s="13"/>
      <c r="AB3" s="13"/>
      <c r="AC3" s="13"/>
      <c r="AH3" s="79" t="s">
        <v>108</v>
      </c>
      <c r="AI3" s="109" t="s">
        <v>71</v>
      </c>
      <c r="AJ3" s="109"/>
      <c r="AK3" s="109"/>
      <c r="AL3" s="109"/>
      <c r="AM3" s="109"/>
    </row>
    <row r="4" spans="2:46" ht="20.399999999999999" thickBot="1" x14ac:dyDescent="0.45">
      <c r="B4" s="111" t="s">
        <v>49</v>
      </c>
      <c r="C4" s="111"/>
      <c r="D4" s="111"/>
      <c r="E4" s="111"/>
      <c r="F4" s="111"/>
      <c r="G4" s="111"/>
      <c r="H4" s="113"/>
      <c r="I4" s="13"/>
      <c r="J4" s="13"/>
      <c r="O4" s="13"/>
      <c r="P4" s="13"/>
      <c r="Q4" s="13"/>
      <c r="R4" s="13"/>
      <c r="S4" s="13"/>
      <c r="T4" s="13"/>
      <c r="U4" s="13"/>
      <c r="W4" s="13"/>
      <c r="X4" s="13"/>
      <c r="Y4" s="13"/>
      <c r="Z4" s="13"/>
      <c r="AA4" s="13"/>
      <c r="AB4" s="13"/>
      <c r="AC4" s="13"/>
      <c r="AH4" s="78" t="s">
        <v>93</v>
      </c>
      <c r="AI4" s="109" t="s">
        <v>71</v>
      </c>
      <c r="AJ4" s="109"/>
      <c r="AK4" s="109"/>
      <c r="AL4" s="109"/>
      <c r="AM4" s="109"/>
    </row>
    <row r="5" spans="2:46" ht="18.600000000000001" thickTop="1" thickBot="1" x14ac:dyDescent="0.4">
      <c r="B5" s="112" t="s">
        <v>58</v>
      </c>
      <c r="C5" s="112"/>
      <c r="D5" s="112"/>
      <c r="E5" s="112"/>
      <c r="F5" s="112"/>
      <c r="G5" s="112"/>
      <c r="H5" s="113"/>
      <c r="I5" s="13"/>
      <c r="J5" s="13"/>
      <c r="O5" s="13"/>
      <c r="P5" s="13"/>
      <c r="Q5" s="13"/>
      <c r="R5" s="13"/>
      <c r="S5" s="13"/>
      <c r="T5" s="13"/>
      <c r="U5" s="13"/>
      <c r="W5" s="13"/>
      <c r="X5" s="13"/>
      <c r="Y5" s="13"/>
      <c r="Z5" s="13"/>
      <c r="AA5" s="13"/>
      <c r="AB5" s="13"/>
      <c r="AC5" s="13"/>
      <c r="AH5" s="78" t="s">
        <v>1</v>
      </c>
      <c r="AI5" s="109" t="s">
        <v>71</v>
      </c>
      <c r="AJ5" s="109"/>
      <c r="AK5" s="109"/>
      <c r="AL5" s="109"/>
      <c r="AM5" s="109"/>
    </row>
    <row r="6" spans="2:46" ht="19.2" thickTop="1" thickBot="1" x14ac:dyDescent="0.4">
      <c r="B6" s="27"/>
      <c r="C6" s="13"/>
      <c r="D6" s="13"/>
      <c r="E6" s="13"/>
      <c r="F6" s="13"/>
      <c r="G6" s="13"/>
      <c r="H6" s="113"/>
      <c r="I6" s="13"/>
      <c r="J6" s="13"/>
      <c r="O6" s="13"/>
      <c r="P6" s="13"/>
      <c r="Q6" s="13"/>
      <c r="R6" s="13"/>
      <c r="S6" s="13"/>
      <c r="T6" s="13"/>
      <c r="U6" s="13"/>
      <c r="W6" s="13"/>
      <c r="X6" s="13"/>
      <c r="Y6" s="13"/>
      <c r="Z6" s="13"/>
      <c r="AA6" s="13"/>
      <c r="AB6" s="13"/>
      <c r="AC6" s="13"/>
      <c r="AH6" s="20"/>
      <c r="AI6" s="19"/>
      <c r="AJ6" s="16"/>
      <c r="AK6" s="16"/>
    </row>
    <row r="7" spans="2:46" ht="29.4" customHeight="1" x14ac:dyDescent="0.3">
      <c r="B7" s="4" t="s">
        <v>8</v>
      </c>
      <c r="C7" s="4" t="s">
        <v>9</v>
      </c>
      <c r="D7" s="4" t="s">
        <v>25</v>
      </c>
      <c r="E7" s="49" t="s">
        <v>26</v>
      </c>
      <c r="F7" s="57" t="s">
        <v>79</v>
      </c>
      <c r="G7" s="8" t="s">
        <v>59</v>
      </c>
      <c r="H7" s="8" t="s">
        <v>88</v>
      </c>
      <c r="I7" s="58" t="s">
        <v>80</v>
      </c>
      <c r="J7" s="8" t="s">
        <v>60</v>
      </c>
      <c r="K7" s="8" t="s">
        <v>61</v>
      </c>
      <c r="L7" s="8" t="s">
        <v>77</v>
      </c>
      <c r="M7" s="8" t="s">
        <v>78</v>
      </c>
      <c r="N7" s="8" t="s">
        <v>89</v>
      </c>
      <c r="O7" s="4" t="s">
        <v>73</v>
      </c>
      <c r="P7" s="51" t="s">
        <v>92</v>
      </c>
      <c r="Q7" s="61" t="s">
        <v>82</v>
      </c>
      <c r="R7" s="8" t="s">
        <v>74</v>
      </c>
      <c r="S7" s="8" t="s">
        <v>90</v>
      </c>
      <c r="T7" s="62" t="s">
        <v>83</v>
      </c>
      <c r="U7" s="8" t="s">
        <v>102</v>
      </c>
      <c r="V7" s="8" t="s">
        <v>103</v>
      </c>
      <c r="W7" s="4" t="s">
        <v>62</v>
      </c>
      <c r="X7" s="53" t="s">
        <v>63</v>
      </c>
      <c r="Y7" s="64" t="s">
        <v>84</v>
      </c>
      <c r="Z7" s="8" t="s">
        <v>64</v>
      </c>
      <c r="AA7" s="8" t="s">
        <v>91</v>
      </c>
      <c r="AB7" s="64" t="s">
        <v>85</v>
      </c>
      <c r="AC7" s="8" t="s">
        <v>104</v>
      </c>
      <c r="AD7" s="8" t="s">
        <v>105</v>
      </c>
      <c r="AE7" s="8"/>
      <c r="AF7" s="66" t="s">
        <v>46</v>
      </c>
      <c r="AG7" s="67" t="s">
        <v>54</v>
      </c>
      <c r="AH7" s="3"/>
      <c r="AT7" s="99" t="s">
        <v>72</v>
      </c>
    </row>
    <row r="8" spans="2:46" x14ac:dyDescent="0.3">
      <c r="B8" s="22">
        <v>43885</v>
      </c>
      <c r="C8" s="4">
        <v>0</v>
      </c>
      <c r="D8" s="10">
        <f>'dpc-covid19-ita-andamento-naz'!L2</f>
        <v>229</v>
      </c>
      <c r="E8" s="30">
        <f>'dpc-covid19-ita-andamento-naz'!I2</f>
        <v>221</v>
      </c>
      <c r="F8" s="56">
        <f>Tabella211[[#This Row],[Cum_confirmed]]*NOT(ISBLANK(Tabella211[[#This Row],[Cum_confirmed]]))</f>
        <v>229</v>
      </c>
      <c r="G8" s="50">
        <f>k*t0*_xlfn.GAMMA.DIST(Tabella211[[#This Row],[Day]]/t0,w+1,1,1)*_xlfn.GAMMA(w+1)</f>
        <v>0</v>
      </c>
      <c r="H8" s="10">
        <f>k*((Tabella211[[#This Row],[Day]]/t0)^w)*EXP(-(Tabella211[[#This Row],[Day]]/t0))</f>
        <v>0</v>
      </c>
      <c r="I8" s="56">
        <f>Tabella211[[#This Row],[Cum_fit]]*NOT(ISBLANK(Tabella211[[#This Row],[Cum_confirmed]]))</f>
        <v>0</v>
      </c>
      <c r="J8" s="10">
        <f>Tabella211[[#This Row],[Cum_fit]]+CI</f>
        <v>7330.6355560556203</v>
      </c>
      <c r="K8" s="10">
        <f>MAX(Tabella211[[#This Row],[Cum_fit]]-CI,0)</f>
        <v>0</v>
      </c>
      <c r="L8" s="54">
        <f>'dpc-covid19-ita-andamento-naz'!G2</f>
        <v>221</v>
      </c>
      <c r="M8" s="54">
        <f>'dpc-covid19-ita-andamento-naz'!H2</f>
        <v>0</v>
      </c>
      <c r="N8" s="54">
        <f>Tabella211[[#This Row],[New_cases_fit]]-Tabella211[[#This Row],[New_Recovered_fit]]-Tabella211[[#This Row],[New_Deaths_fit]]</f>
        <v>0</v>
      </c>
      <c r="O8" s="10">
        <f>'dpc-covid19-ita-andamento-naz'!J2</f>
        <v>1</v>
      </c>
      <c r="P8" s="52"/>
      <c r="Q8" s="60">
        <f>Tabella211[[#This Row],[Cum_recov]]*NOT(ISBLANK(Tabella211[[#This Row],[Cum_recov]]))</f>
        <v>1</v>
      </c>
      <c r="R8" s="50">
        <f>kr*t0r*_xlfn.GAMMA.DIST(Tabella211[[#This Row],[Day]]/t0r,wr+1,1,1)*_xlfn.GAMMA(wr+1)</f>
        <v>0</v>
      </c>
      <c r="S8" s="10">
        <f>kr*((Tabella211[[#This Row],[Day]]/t0r)^wr)*EXP(-(Tabella211[[#This Row],[Day]]/t0r))</f>
        <v>0</v>
      </c>
      <c r="T8" s="60">
        <f>Tabella211[[#This Row],[Cum_R_fit]]*NOT(ISBLANK(Tabella211[[#This Row],[Cum_recov]]))</f>
        <v>0</v>
      </c>
      <c r="U8" s="10">
        <f>Tabella211[[#This Row],[Cum_R_fit]]+CIr</f>
        <v>1021.671562890606</v>
      </c>
      <c r="V8" s="10">
        <f>MAX(Tabella211[[#This Row],[Cum_R_fit]]-CIr,0)</f>
        <v>0</v>
      </c>
      <c r="W8" s="10">
        <f>'dpc-covid19-ita-andamento-naz'!K2</f>
        <v>7</v>
      </c>
      <c r="X8" s="63"/>
      <c r="Y8" s="65">
        <f>Tabella211[[#This Row],[Cum_deaths]]*NOT(ISBLANK(Tabella211[[#This Row],[Cum_deaths]]))</f>
        <v>7</v>
      </c>
      <c r="Z8" s="50">
        <f>kh*t0h*_xlfn.GAMMA.DIST(Tabella211[[#This Row],[Day]]/t0h,wh+1,1,1)*_xlfn.GAMMA(wh+1)</f>
        <v>0</v>
      </c>
      <c r="AA8" s="10">
        <f>kh*((Tabella211[[#This Row],[Day]]/t0h)^wh)*EXP(-(Tabella211[[#This Row],[Day]]/t0h))</f>
        <v>0</v>
      </c>
      <c r="AB8" s="65">
        <f>Tabella211[[#This Row],[Cum_D_fit]]*NOT(ISBLANK(Tabella211[[#This Row],[Cum_deaths]]))</f>
        <v>0</v>
      </c>
      <c r="AC8" s="10">
        <f>Tabella211[[#This Row],[Cum_D_fit]]+CIh</f>
        <v>882.24702719091897</v>
      </c>
      <c r="AD8" s="10">
        <f>MAX(Tabella211[[#This Row],[Cum_D_fit]]-CIh,0)</f>
        <v>0</v>
      </c>
      <c r="AE8" s="8"/>
      <c r="AF8" s="91" t="s">
        <v>108</v>
      </c>
      <c r="AG8" s="92">
        <f>Kn</f>
        <v>292.46950525847791</v>
      </c>
      <c r="AH8" s="3"/>
      <c r="AT8" s="100">
        <f>MAX($AG$14)</f>
        <v>0.99701114062224838</v>
      </c>
    </row>
    <row r="9" spans="2:46" ht="15.6" x14ac:dyDescent="0.35">
      <c r="B9" s="9">
        <v>43886</v>
      </c>
      <c r="C9" s="4">
        <f>C8+1</f>
        <v>1</v>
      </c>
      <c r="D9" s="10">
        <f>'dpc-covid19-ita-andamento-naz'!L3</f>
        <v>322</v>
      </c>
      <c r="E9" s="30">
        <f>'dpc-covid19-ita-andamento-naz'!I3</f>
        <v>93</v>
      </c>
      <c r="F9" s="56">
        <f>Tabella211[[#This Row],[Cum_confirmed]]*NOT(ISBLANK(Tabella211[[#This Row],[Cum_confirmed]]))</f>
        <v>322</v>
      </c>
      <c r="G9" s="50">
        <f>k*t0*_xlfn.GAMMA.DIST(Tabella211[[#This Row],[Day]]/t0,w+1,1,1)*_xlfn.GAMMA(w+1)</f>
        <v>5.119566311204856E-3</v>
      </c>
      <c r="H9" s="10">
        <f>k*((Tabella211[[#This Row],[Day]]/t0)^w)*EXP(-(Tabella211[[#This Row],[Day]]/t0))</f>
        <v>2.9635064625462445E-2</v>
      </c>
      <c r="I9" s="56">
        <f>Tabella211[[#This Row],[Cum_fit]]*NOT(ISBLANK(Tabella211[[#This Row],[Cum_confirmed]]))</f>
        <v>5.119566311204856E-3</v>
      </c>
      <c r="J9" s="10">
        <f>Tabella211[[#This Row],[Cum_fit]]+CI</f>
        <v>7330.6406756219312</v>
      </c>
      <c r="K9" s="10">
        <f>MAX(Tabella211[[#This Row],[Cum_fit]]-CI,0)</f>
        <v>0</v>
      </c>
      <c r="L9" s="54">
        <f>'dpc-covid19-ita-andamento-naz'!G3</f>
        <v>311</v>
      </c>
      <c r="M9" s="54">
        <f>'dpc-covid19-ita-andamento-naz'!H3</f>
        <v>90</v>
      </c>
      <c r="N9" s="54">
        <f>Tabella211[[#This Row],[New_cases_fit]]-Tabella211[[#This Row],[New_Recovered_fit]]-Tabella211[[#This Row],[New_Deaths_fit]]</f>
        <v>-1.3304442666514824</v>
      </c>
      <c r="O9" s="10">
        <f>'dpc-covid19-ita-andamento-naz'!J3</f>
        <v>1</v>
      </c>
      <c r="P9" s="48">
        <f>Tabella211[[#This Row],[Cum_recov]]-O8</f>
        <v>0</v>
      </c>
      <c r="Q9" s="60">
        <f>Tabella211[[#This Row],[Cum_recov]]*NOT(ISBLANK(Tabella211[[#This Row],[Cum_recov]]))</f>
        <v>1</v>
      </c>
      <c r="R9" s="50">
        <f>kr*t0r*_xlfn.GAMMA.DIST(Tabella211[[#This Row],[Day]]/t0r,wr+1,1,1)*_xlfn.GAMMA(wr+1)</f>
        <v>0.46931142351148036</v>
      </c>
      <c r="S9" s="10">
        <f>kr*((Tabella211[[#This Row],[Day]]/t0r)^wr)*EXP(-(Tabella211[[#This Row],[Day]]/t0r))</f>
        <v>1.3600744944773195</v>
      </c>
      <c r="T9" s="60">
        <f>Tabella211[[#This Row],[Cum_R_fit]]*NOT(ISBLANK(Tabella211[[#This Row],[Cum_recov]]))</f>
        <v>0.46931142351148036</v>
      </c>
      <c r="U9" s="10">
        <f>Tabella211[[#This Row],[Cum_R_fit]]+CIr</f>
        <v>1022.1408743141175</v>
      </c>
      <c r="V9" s="10">
        <f>MAX(Tabella211[[#This Row],[Cum_R_fit]]-CIr,0)</f>
        <v>0</v>
      </c>
      <c r="W9" s="10">
        <f>'dpc-covid19-ita-andamento-naz'!K3</f>
        <v>10</v>
      </c>
      <c r="X9" s="26">
        <f>Tabella211[[#This Row],[Cum_deaths]]-W8</f>
        <v>3</v>
      </c>
      <c r="Y9" s="65">
        <f>Tabella211[[#This Row],[Cum_deaths]]*NOT(ISBLANK(Tabella211[[#This Row],[Cum_deaths]]))</f>
        <v>10</v>
      </c>
      <c r="Z9" s="50">
        <f>kh*t0h*_xlfn.GAMMA.DIST(Tabella211[[#This Row],[Day]]/t0h,wh+1,1,1)*_xlfn.GAMMA(wh+1)</f>
        <v>5.893084448677439E-7</v>
      </c>
      <c r="AA9" s="10">
        <f>kh*((Tabella211[[#This Row],[Day]]/t0h)^wh)*EXP(-(Tabella211[[#This Row],[Day]]/t0h))</f>
        <v>4.8367996252178042E-6</v>
      </c>
      <c r="AB9" s="65">
        <f>Tabella211[[#This Row],[Cum_D_fit]]*NOT(ISBLANK(Tabella211[[#This Row],[Cum_deaths]]))</f>
        <v>5.893084448677439E-7</v>
      </c>
      <c r="AC9" s="10">
        <f>Tabella211[[#This Row],[Cum_D_fit]]+CIh</f>
        <v>882.24702778022743</v>
      </c>
      <c r="AD9" s="10">
        <f>MAX(Tabella211[[#This Row],[Cum_D_fit]]-CIh,0)</f>
        <v>0</v>
      </c>
      <c r="AE9" s="8"/>
      <c r="AF9" s="91" t="s">
        <v>106</v>
      </c>
      <c r="AG9" s="92">
        <f>t0n</f>
        <v>6.2660041792830974</v>
      </c>
      <c r="AH9" s="3"/>
      <c r="AT9" s="101">
        <f>COUNT($AG$9,$AG$10)</f>
        <v>2</v>
      </c>
    </row>
    <row r="10" spans="2:46" x14ac:dyDescent="0.3">
      <c r="B10" s="9">
        <v>43887</v>
      </c>
      <c r="C10" s="4">
        <f t="shared" ref="C10:C73" si="0">C9+1</f>
        <v>2</v>
      </c>
      <c r="D10" s="10">
        <f>'dpc-covid19-ita-andamento-naz'!L4</f>
        <v>400</v>
      </c>
      <c r="E10" s="30">
        <f>'dpc-covid19-ita-andamento-naz'!I4</f>
        <v>78</v>
      </c>
      <c r="F10" s="56">
        <f>Tabella211[[#This Row],[Cum_confirmed]]*NOT(ISBLANK(Tabella211[[#This Row],[Cum_confirmed]]))</f>
        <v>400</v>
      </c>
      <c r="G10" s="50">
        <f>k*t0*_xlfn.GAMMA.DIST(Tabella211[[#This Row],[Day]]/t0,w+1,1,1)*_xlfn.GAMMA(w+1)</f>
        <v>0.27146777969793007</v>
      </c>
      <c r="H10" s="10">
        <f>k*((Tabella211[[#This Row],[Day]]/t0)^w)*EXP(-(Tabella211[[#This Row],[Day]]/t0))</f>
        <v>0.76734051582345641</v>
      </c>
      <c r="I10" s="56">
        <f>Tabella211[[#This Row],[Cum_fit]]*NOT(ISBLANK(Tabella211[[#This Row],[Cum_confirmed]]))</f>
        <v>0.27146777969793007</v>
      </c>
      <c r="J10" s="10">
        <f>Tabella211[[#This Row],[Cum_fit]]+CI</f>
        <v>7330.9070238353179</v>
      </c>
      <c r="K10" s="10">
        <f>MAX(Tabella211[[#This Row],[Cum_fit]]-CI,0)</f>
        <v>0</v>
      </c>
      <c r="L10" s="54">
        <f>'dpc-covid19-ita-andamento-naz'!G4</f>
        <v>385</v>
      </c>
      <c r="M10" s="54">
        <f>'dpc-covid19-ita-andamento-naz'!H4</f>
        <v>74</v>
      </c>
      <c r="N10" s="54">
        <f>Tabella211[[#This Row],[New_cases_fit]]-Tabella211[[#This Row],[New_Recovered_fit]]-Tabella211[[#This Row],[New_Deaths_fit]]</f>
        <v>-4.2995251158514849</v>
      </c>
      <c r="O10" s="10">
        <f>'dpc-covid19-ita-andamento-naz'!J4</f>
        <v>3</v>
      </c>
      <c r="P10" s="48">
        <f>Tabella211[[#This Row],[Cum_recov]]-O9</f>
        <v>2</v>
      </c>
      <c r="Q10" s="60">
        <f>Tabella211[[#This Row],[Cum_recov]]*NOT(ISBLANK(Tabella211[[#This Row],[Cum_recov]]))</f>
        <v>3</v>
      </c>
      <c r="R10" s="50">
        <f>kr*t0r*_xlfn.GAMMA.DIST(Tabella211[[#This Row],[Day]]/t0r,wr+1,1,1)*_xlfn.GAMMA(wr+1)</f>
        <v>3.4973493294039151</v>
      </c>
      <c r="S10" s="10">
        <f>kr*((Tabella211[[#This Row],[Day]]/t0r)^wr)*EXP(-(Tabella211[[#This Row],[Day]]/t0r))</f>
        <v>5.0662078024516903</v>
      </c>
      <c r="T10" s="60">
        <f>Tabella211[[#This Row],[Cum_R_fit]]*NOT(ISBLANK(Tabella211[[#This Row],[Cum_recov]]))</f>
        <v>3.4973493294039151</v>
      </c>
      <c r="U10" s="10">
        <f>Tabella211[[#This Row],[Cum_R_fit]]+CIr</f>
        <v>1025.1689122200098</v>
      </c>
      <c r="V10" s="10">
        <f>MAX(Tabella211[[#This Row],[Cum_R_fit]]-CIr,0)</f>
        <v>0</v>
      </c>
      <c r="W10" s="10">
        <f>'dpc-covid19-ita-andamento-naz'!K4</f>
        <v>12</v>
      </c>
      <c r="X10" s="26">
        <f>Tabella211[[#This Row],[Cum_deaths]]-W9</f>
        <v>2</v>
      </c>
      <c r="Y10" s="65">
        <f>Tabella211[[#This Row],[Cum_deaths]]*NOT(ISBLANK(Tabella211[[#This Row],[Cum_deaths]]))</f>
        <v>12</v>
      </c>
      <c r="Z10" s="50">
        <f>kh*t0h*_xlfn.GAMMA.DIST(Tabella211[[#This Row],[Day]]/t0h,wh+1,1,1)*_xlfn.GAMMA(wh+1)</f>
        <v>1.6416534637078353E-4</v>
      </c>
      <c r="AA10" s="10">
        <f>kh*((Tabella211[[#This Row],[Day]]/t0h)^wh)*EXP(-(Tabella211[[#This Row],[Day]]/t0h))</f>
        <v>6.5782922325141688E-4</v>
      </c>
      <c r="AB10" s="65">
        <f>Tabella211[[#This Row],[Cum_D_fit]]*NOT(ISBLANK(Tabella211[[#This Row],[Cum_deaths]]))</f>
        <v>1.6416534637078353E-4</v>
      </c>
      <c r="AC10" s="10">
        <f>Tabella211[[#This Row],[Cum_D_fit]]+CIh</f>
        <v>882.24719135626538</v>
      </c>
      <c r="AD10" s="10">
        <f>MAX(Tabella211[[#This Row],[Cum_D_fit]]-CIh,0)</f>
        <v>0</v>
      </c>
      <c r="AE10" s="8"/>
      <c r="AF10" s="91" t="s">
        <v>1</v>
      </c>
      <c r="AG10" s="92">
        <f>wn</f>
        <v>4.9247314569488436</v>
      </c>
      <c r="AH10" s="3"/>
      <c r="AT10" s="101">
        <f>{32767;32767;0.000001;0;FALSE;FALSE;TRUE;1;1;1;0.0001;TRUE}</f>
        <v>32767</v>
      </c>
    </row>
    <row r="11" spans="2:46" x14ac:dyDescent="0.3">
      <c r="B11" s="9">
        <v>43888</v>
      </c>
      <c r="C11" s="4">
        <f t="shared" si="0"/>
        <v>3</v>
      </c>
      <c r="D11" s="10">
        <f>'dpc-covid19-ita-andamento-naz'!L5</f>
        <v>650</v>
      </c>
      <c r="E11" s="30">
        <f>'dpc-covid19-ita-andamento-naz'!I5</f>
        <v>250</v>
      </c>
      <c r="F11" s="56">
        <f>Tabella211[[#This Row],[Cum_confirmed]]*NOT(ISBLANK(Tabella211[[#This Row],[Cum_confirmed]]))</f>
        <v>650</v>
      </c>
      <c r="G11" s="50">
        <f>k*t0*_xlfn.GAMMA.DIST(Tabella211[[#This Row],[Day]]/t0,w+1,1,1)*_xlfn.GAMMA(w+1)</f>
        <v>2.6191260751090919</v>
      </c>
      <c r="H11" s="10">
        <f>k*((Tabella211[[#This Row],[Day]]/t0)^w)*EXP(-(Tabella211[[#This Row],[Day]]/t0))</f>
        <v>4.8181537489856829</v>
      </c>
      <c r="I11" s="56">
        <f>Tabella211[[#This Row],[Cum_fit]]*NOT(ISBLANK(Tabella211[[#This Row],[Cum_confirmed]]))</f>
        <v>2.6191260751090919</v>
      </c>
      <c r="J11" s="10">
        <f>Tabella211[[#This Row],[Cum_fit]]+CI</f>
        <v>7333.2546821307296</v>
      </c>
      <c r="K11" s="10">
        <f>MAX(Tabella211[[#This Row],[Cum_fit]]-CI,0)</f>
        <v>0</v>
      </c>
      <c r="L11" s="54">
        <f>'dpc-covid19-ita-andamento-naz'!G5</f>
        <v>588</v>
      </c>
      <c r="M11" s="54">
        <f>'dpc-covid19-ita-andamento-naz'!H5</f>
        <v>203</v>
      </c>
      <c r="N11" s="54">
        <f>Tabella211[[#This Row],[New_cases_fit]]-Tabella211[[#This Row],[New_Recovered_fit]]-Tabella211[[#This Row],[New_Deaths_fit]]</f>
        <v>-6.1209848675932994</v>
      </c>
      <c r="O11" s="10">
        <f>'dpc-covid19-ita-andamento-naz'!J5</f>
        <v>45</v>
      </c>
      <c r="P11" s="48">
        <f>Tabella211[[#This Row],[Cum_recov]]-O10</f>
        <v>42</v>
      </c>
      <c r="Q11" s="60">
        <f>Tabella211[[#This Row],[Cum_recov]]*NOT(ISBLANK(Tabella211[[#This Row],[Cum_recov]]))</f>
        <v>45</v>
      </c>
      <c r="R11" s="50">
        <f>kr*t0r*_xlfn.GAMMA.DIST(Tabella211[[#This Row],[Day]]/t0r,wr+1,1,1)*_xlfn.GAMMA(wr+1)</f>
        <v>11.319713533706052</v>
      </c>
      <c r="S11" s="10">
        <f>kr*((Tabella211[[#This Row],[Day]]/t0r)^wr)*EXP(-(Tabella211[[#This Row],[Day]]/t0r))</f>
        <v>10.928499876116037</v>
      </c>
      <c r="T11" s="60">
        <f>Tabella211[[#This Row],[Cum_R_fit]]*NOT(ISBLANK(Tabella211[[#This Row],[Cum_recov]]))</f>
        <v>11.319713533706052</v>
      </c>
      <c r="U11" s="10">
        <f>Tabella211[[#This Row],[Cum_R_fit]]+CIr</f>
        <v>1032.991276424312</v>
      </c>
      <c r="V11" s="10">
        <f>MAX(Tabella211[[#This Row],[Cum_R_fit]]-CIr,0)</f>
        <v>0</v>
      </c>
      <c r="W11" s="10">
        <f>'dpc-covid19-ita-andamento-naz'!K5</f>
        <v>17</v>
      </c>
      <c r="X11" s="26">
        <f>Tabella211[[#This Row],[Cum_deaths]]-W10</f>
        <v>5</v>
      </c>
      <c r="Y11" s="65">
        <f>Tabella211[[#This Row],[Cum_deaths]]*NOT(ISBLANK(Tabella211[[#This Row],[Cum_deaths]]))</f>
        <v>17</v>
      </c>
      <c r="Z11" s="50">
        <f>kh*t0h*_xlfn.GAMMA.DIST(Tabella211[[#This Row],[Day]]/t0h,wh+1,1,1)*_xlfn.GAMMA(wh+1)</f>
        <v>4.0804090484227555E-3</v>
      </c>
      <c r="AA11" s="10">
        <f>kh*((Tabella211[[#This Row],[Day]]/t0h)^wh)*EXP(-(Tabella211[[#This Row],[Day]]/t0h))</f>
        <v>1.0638740462945358E-2</v>
      </c>
      <c r="AB11" s="65">
        <f>Tabella211[[#This Row],[Cum_D_fit]]*NOT(ISBLANK(Tabella211[[#This Row],[Cum_deaths]]))</f>
        <v>4.0804090484227555E-3</v>
      </c>
      <c r="AC11" s="10">
        <f>Tabella211[[#This Row],[Cum_D_fit]]+CIh</f>
        <v>882.25110759996744</v>
      </c>
      <c r="AD11" s="10">
        <f>MAX(Tabella211[[#This Row],[Cum_D_fit]]-CIh,0)</f>
        <v>0</v>
      </c>
      <c r="AE11" s="8"/>
      <c r="AF11" s="93" t="s">
        <v>2</v>
      </c>
      <c r="AG11" s="94">
        <f>AVERAGE(Tabella211[Cum_confirmed])</f>
        <v>55491.479166666664</v>
      </c>
      <c r="AH11" s="3"/>
      <c r="AT11" s="101">
        <f>{0;0;1;100;0;FALSE;TRUE;0.075;0;0;FALSE;30}</f>
        <v>0</v>
      </c>
    </row>
    <row r="12" spans="2:46" x14ac:dyDescent="0.3">
      <c r="B12" s="9">
        <v>43889</v>
      </c>
      <c r="C12" s="4">
        <f t="shared" si="0"/>
        <v>4</v>
      </c>
      <c r="D12" s="10">
        <f>'dpc-covid19-ita-andamento-naz'!L6</f>
        <v>888</v>
      </c>
      <c r="E12" s="30">
        <f>'dpc-covid19-ita-andamento-naz'!I6</f>
        <v>238</v>
      </c>
      <c r="F12" s="56">
        <f>Tabella211[[#This Row],[Cum_confirmed]]*NOT(ISBLANK(Tabella211[[#This Row],[Cum_confirmed]]))</f>
        <v>888</v>
      </c>
      <c r="G12" s="50">
        <f>k*t0*_xlfn.GAMMA.DIST(Tabella211[[#This Row],[Day]]/t0,w+1,1,1)*_xlfn.GAMMA(w+1)</f>
        <v>12.581014922400039</v>
      </c>
      <c r="H12" s="10">
        <f>k*((Tabella211[[#This Row],[Day]]/t0)^w)*EXP(-(Tabella211[[#This Row],[Day]]/t0))</f>
        <v>16.937945949303295</v>
      </c>
      <c r="I12" s="56">
        <f>Tabella211[[#This Row],[Cum_fit]]*NOT(ISBLANK(Tabella211[[#This Row],[Cum_confirmed]]))</f>
        <v>12.581014922400039</v>
      </c>
      <c r="J12" s="10">
        <f>Tabella211[[#This Row],[Cum_fit]]+CI</f>
        <v>7343.2165709780202</v>
      </c>
      <c r="K12" s="10">
        <f>MAX(Tabella211[[#This Row],[Cum_fit]]-CI,0)</f>
        <v>0</v>
      </c>
      <c r="L12" s="54">
        <f>'dpc-covid19-ita-andamento-naz'!G6</f>
        <v>821</v>
      </c>
      <c r="M12" s="54">
        <f>'dpc-covid19-ita-andamento-naz'!H6</f>
        <v>233</v>
      </c>
      <c r="N12" s="54">
        <f>Tabella211[[#This Row],[New_cases_fit]]-Tabella211[[#This Row],[New_Recovered_fit]]-Tabella211[[#This Row],[New_Deaths_fit]]</f>
        <v>-1.9837728428410408</v>
      </c>
      <c r="O12" s="10">
        <f>'dpc-covid19-ita-andamento-naz'!J6</f>
        <v>46</v>
      </c>
      <c r="P12" s="48">
        <f>Tabella211[[#This Row],[Cum_recov]]-O11</f>
        <v>1</v>
      </c>
      <c r="Q12" s="60">
        <f>Tabella211[[#This Row],[Cum_recov]]*NOT(ISBLANK(Tabella211[[#This Row],[Cum_recov]]))</f>
        <v>46</v>
      </c>
      <c r="R12" s="50">
        <f>kr*t0r*_xlfn.GAMMA.DIST(Tabella211[[#This Row],[Day]]/t0r,wr+1,1,1)*_xlfn.GAMMA(wr+1)</f>
        <v>26.040374913750011</v>
      </c>
      <c r="S12" s="10">
        <f>kr*((Tabella211[[#This Row],[Day]]/t0r)^wr)*EXP(-(Tabella211[[#This Row],[Day]]/t0r))</f>
        <v>18.849766625753858</v>
      </c>
      <c r="T12" s="60">
        <f>Tabella211[[#This Row],[Cum_R_fit]]*NOT(ISBLANK(Tabella211[[#This Row],[Cum_recov]]))</f>
        <v>26.040374913750011</v>
      </c>
      <c r="U12" s="10">
        <f>Tabella211[[#This Row],[Cum_R_fit]]+CIr</f>
        <v>1047.711937804356</v>
      </c>
      <c r="V12" s="10">
        <f>MAX(Tabella211[[#This Row],[Cum_R_fit]]-CIr,0)</f>
        <v>0</v>
      </c>
      <c r="W12" s="10">
        <f>'dpc-covid19-ita-andamento-naz'!K6</f>
        <v>21</v>
      </c>
      <c r="X12" s="26">
        <f>Tabella211[[#This Row],[Cum_deaths]]-W11</f>
        <v>4</v>
      </c>
      <c r="Y12" s="65">
        <f>Tabella211[[#This Row],[Cum_deaths]]*NOT(ISBLANK(Tabella211[[#This Row],[Cum_deaths]]))</f>
        <v>21</v>
      </c>
      <c r="Z12" s="50">
        <f>kh*t0h*_xlfn.GAMMA.DIST(Tabella211[[#This Row],[Day]]/t0h,wh+1,1,1)*_xlfn.GAMMA(wh+1)</f>
        <v>3.7718665748983332E-2</v>
      </c>
      <c r="AA12" s="10">
        <f>kh*((Tabella211[[#This Row],[Day]]/t0h)^wh)*EXP(-(Tabella211[[#This Row],[Day]]/t0h))</f>
        <v>7.1952166390477107E-2</v>
      </c>
      <c r="AB12" s="65">
        <f>Tabella211[[#This Row],[Cum_D_fit]]*NOT(ISBLANK(Tabella211[[#This Row],[Cum_deaths]]))</f>
        <v>3.7718665748983332E-2</v>
      </c>
      <c r="AC12" s="10">
        <f>Tabella211[[#This Row],[Cum_D_fit]]+CIh</f>
        <v>882.284745856668</v>
      </c>
      <c r="AD12" s="10">
        <f>MAX(Tabella211[[#This Row],[Cum_D_fit]]-CIh,0)</f>
        <v>0</v>
      </c>
      <c r="AE12" s="1"/>
      <c r="AF12" s="93" t="s">
        <v>3</v>
      </c>
      <c r="AG12" s="94">
        <f>COUNT(Tabella211[Cum_confirmed])-COUNT(AG8:AG10)</f>
        <v>45</v>
      </c>
      <c r="AT12" s="101">
        <f>{32767;32767;0.000001;0;FALSE;FALSE;FALSE;1;2;1;0.0001;TRUE}</f>
        <v>32767</v>
      </c>
    </row>
    <row r="13" spans="2:46" x14ac:dyDescent="0.3">
      <c r="B13" s="9">
        <v>43890</v>
      </c>
      <c r="C13" s="4">
        <f t="shared" si="0"/>
        <v>5</v>
      </c>
      <c r="D13" s="10">
        <f>'dpc-covid19-ita-andamento-naz'!L7</f>
        <v>1128</v>
      </c>
      <c r="E13" s="30">
        <f>'dpc-covid19-ita-andamento-naz'!I7</f>
        <v>240</v>
      </c>
      <c r="F13" s="56">
        <f>Tabella211[[#This Row],[Cum_confirmed]]*NOT(ISBLANK(Tabella211[[#This Row],[Cum_confirmed]]))</f>
        <v>1128</v>
      </c>
      <c r="G13" s="50">
        <f>k*t0*_xlfn.GAMMA.DIST(Tabella211[[#This Row],[Day]]/t0,w+1,1,1)*_xlfn.GAMMA(w+1)</f>
        <v>41.248026972281814</v>
      </c>
      <c r="H13" s="10">
        <f>k*((Tabella211[[#This Row],[Day]]/t0)^w)*EXP(-(Tabella211[[#This Row],[Day]]/t0))</f>
        <v>43.331816378348321</v>
      </c>
      <c r="I13" s="56">
        <f>Tabella211[[#This Row],[Cum_fit]]*NOT(ISBLANK(Tabella211[[#This Row],[Cum_confirmed]]))</f>
        <v>41.248026972281814</v>
      </c>
      <c r="J13" s="10">
        <f>Tabella211[[#This Row],[Cum_fit]]+CI</f>
        <v>7371.8835830279022</v>
      </c>
      <c r="K13" s="10">
        <f>MAX(Tabella211[[#This Row],[Cum_fit]]-CI,0)</f>
        <v>0</v>
      </c>
      <c r="L13" s="54">
        <f>'dpc-covid19-ita-andamento-naz'!G7</f>
        <v>1049</v>
      </c>
      <c r="M13" s="54">
        <f>'dpc-covid19-ita-andamento-naz'!H7</f>
        <v>228</v>
      </c>
      <c r="N13" s="54">
        <f>Tabella211[[#This Row],[New_cases_fit]]-Tabella211[[#This Row],[New_Recovered_fit]]-Tabella211[[#This Row],[New_Deaths_fit]]</f>
        <v>14.267387871349211</v>
      </c>
      <c r="O13" s="10">
        <f>'dpc-covid19-ita-andamento-naz'!J7</f>
        <v>50</v>
      </c>
      <c r="P13" s="48">
        <f>Tabella211[[#This Row],[Cum_recov]]-O12</f>
        <v>4</v>
      </c>
      <c r="Q13" s="60">
        <f>Tabella211[[#This Row],[Cum_recov]]*NOT(ISBLANK(Tabella211[[#This Row],[Cum_recov]]))</f>
        <v>50</v>
      </c>
      <c r="R13" s="50">
        <f>kr*t0r*_xlfn.GAMMA.DIST(Tabella211[[#This Row],[Day]]/t0r,wr+1,1,1)*_xlfn.GAMMA(wr+1)</f>
        <v>49.682947234899764</v>
      </c>
      <c r="S13" s="10">
        <f>kr*((Tabella211[[#This Row],[Day]]/t0r)^wr)*EXP(-(Tabella211[[#This Row],[Day]]/t0r))</f>
        <v>28.762618888675107</v>
      </c>
      <c r="T13" s="60">
        <f>Tabella211[[#This Row],[Cum_R_fit]]*NOT(ISBLANK(Tabella211[[#This Row],[Cum_recov]]))</f>
        <v>49.682947234899764</v>
      </c>
      <c r="U13" s="10">
        <f>Tabella211[[#This Row],[Cum_R_fit]]+CIr</f>
        <v>1071.3545101255058</v>
      </c>
      <c r="V13" s="10">
        <f>MAX(Tabella211[[#This Row],[Cum_R_fit]]-CIr,0)</f>
        <v>0</v>
      </c>
      <c r="W13" s="10">
        <f>'dpc-covid19-ita-andamento-naz'!K7</f>
        <v>29</v>
      </c>
      <c r="X13" s="26">
        <f>Tabella211[[#This Row],[Cum_deaths]]-W12</f>
        <v>8</v>
      </c>
      <c r="Y13" s="65">
        <f>Tabella211[[#This Row],[Cum_deaths]]*NOT(ISBLANK(Tabella211[[#This Row],[Cum_deaths]]))</f>
        <v>29</v>
      </c>
      <c r="Z13" s="50">
        <f>kh*t0h*_xlfn.GAMMA.DIST(Tabella211[[#This Row],[Day]]/t0h,wh+1,1,1)*_xlfn.GAMMA(wh+1)</f>
        <v>0.20282826028345446</v>
      </c>
      <c r="AA13" s="10">
        <f>kh*((Tabella211[[#This Row],[Day]]/t0h)^wh)*EXP(-(Tabella211[[#This Row],[Day]]/t0h))</f>
        <v>0.30180961832400338</v>
      </c>
      <c r="AB13" s="65">
        <f>Tabella211[[#This Row],[Cum_D_fit]]*NOT(ISBLANK(Tabella211[[#This Row],[Cum_deaths]]))</f>
        <v>0.20282826028345446</v>
      </c>
      <c r="AC13" s="10">
        <f>Tabella211[[#This Row],[Cum_D_fit]]+CIh</f>
        <v>882.44985545120244</v>
      </c>
      <c r="AD13" s="10">
        <f>MAX(Tabella211[[#This Row],[Cum_D_fit]]-CIh,0)</f>
        <v>0</v>
      </c>
      <c r="AE13" s="1"/>
      <c r="AF13" s="93" t="s">
        <v>4</v>
      </c>
      <c r="AG13" s="95" cm="1">
        <f t="array" ref="AG13">SQRT(SUM((Tabella211[Colonna1]-Tabella211[Colonna2])^2)/df)</f>
        <v>3639.6520638044071</v>
      </c>
      <c r="AT13" s="102">
        <f>{0;0;1;100;0;FALSE;FALSE;0.075;0;0;FALSE;30}</f>
        <v>0</v>
      </c>
    </row>
    <row r="14" spans="2:46" ht="16.2" x14ac:dyDescent="0.3">
      <c r="B14" s="22">
        <v>43891</v>
      </c>
      <c r="C14" s="4">
        <f t="shared" si="0"/>
        <v>6</v>
      </c>
      <c r="D14" s="10">
        <f>'dpc-covid19-ita-andamento-naz'!L8</f>
        <v>1694</v>
      </c>
      <c r="E14" s="30">
        <f>'dpc-covid19-ita-andamento-naz'!I8</f>
        <v>566</v>
      </c>
      <c r="F14" s="56">
        <f>Tabella211[[#This Row],[Cum_confirmed]]*NOT(ISBLANK(Tabella211[[#This Row],[Cum_confirmed]]))</f>
        <v>1694</v>
      </c>
      <c r="G14" s="50">
        <f>k*t0*_xlfn.GAMMA.DIST(Tabella211[[#This Row],[Day]]/t0,w+1,1,1)*_xlfn.GAMMA(w+1)</f>
        <v>106.23026588567843</v>
      </c>
      <c r="H14" s="10">
        <f>k*((Tabella211[[#This Row],[Day]]/t0)^w)*EXP(-(Tabella211[[#This Row],[Day]]/t0))</f>
        <v>90.66582741108725</v>
      </c>
      <c r="I14" s="56">
        <f>Tabella211[[#This Row],[Cum_fit]]*NOT(ISBLANK(Tabella211[[#This Row],[Cum_confirmed]]))</f>
        <v>106.23026588567843</v>
      </c>
      <c r="J14" s="10">
        <f>Tabella211[[#This Row],[Cum_fit]]+CI</f>
        <v>7436.8658219412991</v>
      </c>
      <c r="K14" s="10">
        <f>MAX(Tabella211[[#This Row],[Cum_fit]]-CI,0)</f>
        <v>0</v>
      </c>
      <c r="L14" s="54">
        <f>'dpc-covid19-ita-andamento-naz'!G8</f>
        <v>1577</v>
      </c>
      <c r="M14" s="54">
        <f>'dpc-covid19-ita-andamento-naz'!H8</f>
        <v>528</v>
      </c>
      <c r="N14" s="54">
        <f>Tabella211[[#This Row],[New_cases_fit]]-Tabella211[[#This Row],[New_Recovered_fit]]-Tabella211[[#This Row],[New_Deaths_fit]]</f>
        <v>49.11502186521578</v>
      </c>
      <c r="O14" s="10">
        <f>'dpc-covid19-ita-andamento-naz'!J8</f>
        <v>83</v>
      </c>
      <c r="P14" s="48">
        <f>Tabella211[[#This Row],[Cum_recov]]-O13</f>
        <v>33</v>
      </c>
      <c r="Q14" s="60">
        <f>Tabella211[[#This Row],[Cum_recov]]*NOT(ISBLANK(Tabella211[[#This Row],[Cum_recov]]))</f>
        <v>83</v>
      </c>
      <c r="R14" s="50">
        <f>kr*t0r*_xlfn.GAMMA.DIST(Tabella211[[#This Row],[Day]]/t0r,wr+1,1,1)*_xlfn.GAMMA(wr+1)</f>
        <v>84.21201381689967</v>
      </c>
      <c r="S14" s="10">
        <f>kr*((Tabella211[[#This Row],[Day]]/t0r)^wr)*EXP(-(Tabella211[[#This Row],[Day]]/t0r))</f>
        <v>40.614976389611151</v>
      </c>
      <c r="T14" s="60">
        <f>Tabella211[[#This Row],[Cum_R_fit]]*NOT(ISBLANK(Tabella211[[#This Row],[Cum_recov]]))</f>
        <v>84.21201381689967</v>
      </c>
      <c r="U14" s="10">
        <f>Tabella211[[#This Row],[Cum_R_fit]]+CIr</f>
        <v>1105.8835767075057</v>
      </c>
      <c r="V14" s="10">
        <f>MAX(Tabella211[[#This Row],[Cum_R_fit]]-CIr,0)</f>
        <v>0</v>
      </c>
      <c r="W14" s="10">
        <f>'dpc-covid19-ita-andamento-naz'!K8</f>
        <v>34</v>
      </c>
      <c r="X14" s="26">
        <f>Tabella211[[#This Row],[Cum_deaths]]-W13</f>
        <v>5</v>
      </c>
      <c r="Y14" s="65">
        <f>Tabella211[[#This Row],[Cum_deaths]]*NOT(ISBLANK(Tabella211[[#This Row],[Cum_deaths]]))</f>
        <v>34</v>
      </c>
      <c r="Z14" s="50">
        <f>kh*t0h*_xlfn.GAMMA.DIST(Tabella211[[#This Row],[Day]]/t0h,wh+1,1,1)*_xlfn.GAMMA(wh+1)</f>
        <v>0.77440018477729922</v>
      </c>
      <c r="AA14" s="10">
        <f>kh*((Tabella211[[#This Row],[Day]]/t0h)^wh)*EXP(-(Tabella211[[#This Row],[Day]]/t0h))</f>
        <v>0.93582915626031693</v>
      </c>
      <c r="AB14" s="65">
        <f>Tabella211[[#This Row],[Cum_D_fit]]*NOT(ISBLANK(Tabella211[[#This Row],[Cum_deaths]]))</f>
        <v>0.77440018477729922</v>
      </c>
      <c r="AC14" s="10">
        <f>Tabella211[[#This Row],[Cum_D_fit]]+CIh</f>
        <v>883.02142737569625</v>
      </c>
      <c r="AD14" s="10">
        <f>MAX(Tabella211[[#This Row],[Cum_D_fit]]-CIh,0)</f>
        <v>0</v>
      </c>
      <c r="AE14" s="1"/>
      <c r="AF14" s="93" t="s">
        <v>107</v>
      </c>
      <c r="AG14" s="96" cm="1">
        <f t="array" ref="AG14">1-SUM((Tabella211[Colonna1]-Tabella211[Colonna2])^2)/SUM((Tabella211[Colonna1]-Mean_of_y)^2)</f>
        <v>0.99701114062224838</v>
      </c>
      <c r="AT14" s="114" t="s">
        <v>98</v>
      </c>
    </row>
    <row r="15" spans="2:46" x14ac:dyDescent="0.3">
      <c r="B15" s="9">
        <v>43892</v>
      </c>
      <c r="C15" s="4">
        <f t="shared" si="0"/>
        <v>7</v>
      </c>
      <c r="D15" s="10">
        <f>'dpc-covid19-ita-andamento-naz'!L9</f>
        <v>2036</v>
      </c>
      <c r="E15" s="30">
        <f>'dpc-covid19-ita-andamento-naz'!I9</f>
        <v>342</v>
      </c>
      <c r="F15" s="56">
        <f>Tabella211[[#This Row],[Cum_confirmed]]*NOT(ISBLANK(Tabella211[[#This Row],[Cum_confirmed]]))</f>
        <v>2036</v>
      </c>
      <c r="G15" s="50">
        <f>k*t0*_xlfn.GAMMA.DIST(Tabella211[[#This Row],[Day]]/t0,w+1,1,1)*_xlfn.GAMMA(w+1)</f>
        <v>231.63716887138511</v>
      </c>
      <c r="H15" s="10">
        <f>k*((Tabella211[[#This Row],[Day]]/t0)^w)*EXP(-(Tabella211[[#This Row],[Day]]/t0))</f>
        <v>165.13112969378341</v>
      </c>
      <c r="I15" s="56">
        <f>Tabella211[[#This Row],[Cum_fit]]*NOT(ISBLANK(Tabella211[[#This Row],[Cum_confirmed]]))</f>
        <v>231.63716887138511</v>
      </c>
      <c r="J15" s="10">
        <f>Tabella211[[#This Row],[Cum_fit]]+CI</f>
        <v>7562.2727249270056</v>
      </c>
      <c r="K15" s="10">
        <f>MAX(Tabella211[[#This Row],[Cum_fit]]-CI,0)</f>
        <v>0</v>
      </c>
      <c r="L15" s="54">
        <f>'dpc-covid19-ita-andamento-naz'!G9</f>
        <v>1835</v>
      </c>
      <c r="M15" s="54">
        <f>'dpc-covid19-ita-andamento-naz'!H9</f>
        <v>258</v>
      </c>
      <c r="N15" s="54">
        <f>Tabella211[[#This Row],[New_cases_fit]]-Tabella211[[#This Row],[New_Recovered_fit]]-Tabella211[[#This Row],[New_Deaths_fit]]</f>
        <v>108.41141161175948</v>
      </c>
      <c r="O15" s="10">
        <f>'dpc-covid19-ita-andamento-naz'!J9</f>
        <v>149</v>
      </c>
      <c r="P15" s="48">
        <f>Tabella211[[#This Row],[Cum_recov]]-O14</f>
        <v>66</v>
      </c>
      <c r="Q15" s="60">
        <f>Tabella211[[#This Row],[Cum_recov]]*NOT(ISBLANK(Tabella211[[#This Row],[Cum_recov]]))</f>
        <v>149</v>
      </c>
      <c r="R15" s="50">
        <f>kr*t0r*_xlfn.GAMMA.DIST(Tabella211[[#This Row],[Day]]/t0r,wr+1,1,1)*_xlfn.GAMMA(wr+1)</f>
        <v>131.5450912190376</v>
      </c>
      <c r="S15" s="10">
        <f>kr*((Tabella211[[#This Row],[Day]]/t0r)^wr)*EXP(-(Tabella211[[#This Row],[Day]]/t0r))</f>
        <v>54.364113264229466</v>
      </c>
      <c r="T15" s="60">
        <f>Tabella211[[#This Row],[Cum_R_fit]]*NOT(ISBLANK(Tabella211[[#This Row],[Cum_recov]]))</f>
        <v>131.5450912190376</v>
      </c>
      <c r="U15" s="10">
        <f>Tabella211[[#This Row],[Cum_R_fit]]+CIr</f>
        <v>1153.2166541096435</v>
      </c>
      <c r="V15" s="10">
        <f>MAX(Tabella211[[#This Row],[Cum_R_fit]]-CIr,0)</f>
        <v>0</v>
      </c>
      <c r="W15" s="10">
        <f>'dpc-covid19-ita-andamento-naz'!K9</f>
        <v>52</v>
      </c>
      <c r="X15" s="26">
        <f>Tabella211[[#This Row],[Cum_deaths]]-W14</f>
        <v>18</v>
      </c>
      <c r="Y15" s="65">
        <f>Tabella211[[#This Row],[Cum_deaths]]*NOT(ISBLANK(Tabella211[[#This Row],[Cum_deaths]]))</f>
        <v>52</v>
      </c>
      <c r="Z15" s="50">
        <f>kh*t0h*_xlfn.GAMMA.DIST(Tabella211[[#This Row],[Day]]/t0h,wh+1,1,1)*_xlfn.GAMMA(wh+1)</f>
        <v>2.3347290053196765</v>
      </c>
      <c r="AA15" s="10">
        <f>kh*((Tabella211[[#This Row],[Day]]/t0h)^wh)*EXP(-(Tabella211[[#This Row],[Day]]/t0h))</f>
        <v>2.355604817794454</v>
      </c>
      <c r="AB15" s="65">
        <f>Tabella211[[#This Row],[Cum_D_fit]]*NOT(ISBLANK(Tabella211[[#This Row],[Cum_deaths]]))</f>
        <v>2.3347290053196765</v>
      </c>
      <c r="AC15" s="10">
        <f>Tabella211[[#This Row],[Cum_D_fit]]+CIh</f>
        <v>884.58175619623864</v>
      </c>
      <c r="AD15" s="10">
        <f>MAX(Tabella211[[#This Row],[Cum_D_fit]]-CIh,0)</f>
        <v>0</v>
      </c>
      <c r="AE15" s="1"/>
      <c r="AF15" s="93" t="s">
        <v>6</v>
      </c>
      <c r="AG15" s="96">
        <f>TINV(0.05,df)</f>
        <v>2.0141033888808457</v>
      </c>
      <c r="AT15" s="115"/>
    </row>
    <row r="16" spans="2:46" x14ac:dyDescent="0.3">
      <c r="B16" s="9">
        <v>43893</v>
      </c>
      <c r="C16" s="4">
        <f t="shared" si="0"/>
        <v>8</v>
      </c>
      <c r="D16" s="10">
        <f>'dpc-covid19-ita-andamento-naz'!L10</f>
        <v>2502</v>
      </c>
      <c r="E16" s="30">
        <f>'dpc-covid19-ita-andamento-naz'!I10</f>
        <v>466</v>
      </c>
      <c r="F16" s="56">
        <f>Tabella211[[#This Row],[Cum_confirmed]]*NOT(ISBLANK(Tabella211[[#This Row],[Cum_confirmed]]))</f>
        <v>2502</v>
      </c>
      <c r="G16" s="50">
        <f>k*t0*_xlfn.GAMMA.DIST(Tabella211[[#This Row],[Day]]/t0,w+1,1,1)*_xlfn.GAMMA(w+1)</f>
        <v>447.21776605621812</v>
      </c>
      <c r="H16" s="10">
        <f>k*((Tabella211[[#This Row],[Day]]/t0)^w)*EXP(-(Tabella211[[#This Row],[Day]]/t0))</f>
        <v>271.71529104105747</v>
      </c>
      <c r="I16" s="56">
        <f>Tabella211[[#This Row],[Cum_fit]]*NOT(ISBLANK(Tabella211[[#This Row],[Cum_confirmed]]))</f>
        <v>447.21776605621812</v>
      </c>
      <c r="J16" s="10">
        <f>Tabella211[[#This Row],[Cum_fit]]+CI</f>
        <v>7777.8533221118387</v>
      </c>
      <c r="K16" s="10">
        <f>MAX(Tabella211[[#This Row],[Cum_fit]]-CI,0)</f>
        <v>0</v>
      </c>
      <c r="L16" s="54">
        <f>'dpc-covid19-ita-andamento-naz'!G10</f>
        <v>2263</v>
      </c>
      <c r="M16" s="54">
        <f>'dpc-covid19-ita-andamento-naz'!H10</f>
        <v>428</v>
      </c>
      <c r="N16" s="54">
        <f>Tabella211[[#This Row],[New_cases_fit]]-Tabella211[[#This Row],[New_Recovered_fit]]-Tabella211[[#This Row],[New_Deaths_fit]]</f>
        <v>196.65158194740727</v>
      </c>
      <c r="O16" s="10">
        <f>'dpc-covid19-ita-andamento-naz'!J10</f>
        <v>160</v>
      </c>
      <c r="P16" s="48">
        <f>Tabella211[[#This Row],[Cum_recov]]-O15</f>
        <v>11</v>
      </c>
      <c r="Q16" s="60">
        <f>Tabella211[[#This Row],[Cum_recov]]*NOT(ISBLANK(Tabella211[[#This Row],[Cum_recov]]))</f>
        <v>160</v>
      </c>
      <c r="R16" s="50">
        <f>kr*t0r*_xlfn.GAMMA.DIST(Tabella211[[#This Row],[Day]]/t0r,wr+1,1,1)*_xlfn.GAMMA(wr+1)</f>
        <v>193.56031202013432</v>
      </c>
      <c r="S16" s="10">
        <f>kr*((Tabella211[[#This Row],[Day]]/t0r)^wr)*EXP(-(Tabella211[[#This Row],[Day]]/t0r))</f>
        <v>69.97361421433358</v>
      </c>
      <c r="T16" s="60">
        <f>Tabella211[[#This Row],[Cum_R_fit]]*NOT(ISBLANK(Tabella211[[#This Row],[Cum_recov]]))</f>
        <v>193.56031202013432</v>
      </c>
      <c r="U16" s="10">
        <f>Tabella211[[#This Row],[Cum_R_fit]]+CIr</f>
        <v>1215.2318749107403</v>
      </c>
      <c r="V16" s="10">
        <f>MAX(Tabella211[[#This Row],[Cum_R_fit]]-CIr,0)</f>
        <v>0</v>
      </c>
      <c r="W16" s="10">
        <f>'dpc-covid19-ita-andamento-naz'!K10</f>
        <v>79</v>
      </c>
      <c r="X16" s="26">
        <f>Tabella211[[#This Row],[Cum_deaths]]-W15</f>
        <v>27</v>
      </c>
      <c r="Y16" s="65">
        <f>Tabella211[[#This Row],[Cum_deaths]]*NOT(ISBLANK(Tabella211[[#This Row],[Cum_deaths]]))</f>
        <v>79</v>
      </c>
      <c r="Z16" s="50">
        <f>kh*t0h*_xlfn.GAMMA.DIST(Tabella211[[#This Row],[Day]]/t0h,wh+1,1,1)*_xlfn.GAMMA(wh+1)</f>
        <v>5.9224777924487073</v>
      </c>
      <c r="AA16" s="10">
        <f>kh*((Tabella211[[#This Row],[Day]]/t0h)^wh)*EXP(-(Tabella211[[#This Row],[Day]]/t0h))</f>
        <v>5.0900948793166476</v>
      </c>
      <c r="AB16" s="65">
        <f>Tabella211[[#This Row],[Cum_D_fit]]*NOT(ISBLANK(Tabella211[[#This Row],[Cum_deaths]]))</f>
        <v>5.9224777924487073</v>
      </c>
      <c r="AC16" s="10">
        <f>Tabella211[[#This Row],[Cum_D_fit]]+CIh</f>
        <v>888.16950498336769</v>
      </c>
      <c r="AD16" s="10">
        <f>MAX(Tabella211[[#This Row],[Cum_D_fit]]-CIh,0)</f>
        <v>0</v>
      </c>
      <c r="AE16" s="1"/>
      <c r="AF16" s="93" t="s">
        <v>7</v>
      </c>
      <c r="AG16" s="94">
        <f>Critical_t*SE_of_y</f>
        <v>7330.6355560556203</v>
      </c>
      <c r="AT16" s="115"/>
    </row>
    <row r="17" spans="2:46" ht="15" thickBot="1" x14ac:dyDescent="0.35">
      <c r="B17" s="9">
        <v>43894</v>
      </c>
      <c r="C17" s="4">
        <f t="shared" si="0"/>
        <v>9</v>
      </c>
      <c r="D17" s="10">
        <f>'dpc-covid19-ita-andamento-naz'!L11</f>
        <v>3089</v>
      </c>
      <c r="E17" s="30">
        <f>'dpc-covid19-ita-andamento-naz'!I11</f>
        <v>587</v>
      </c>
      <c r="F17" s="56">
        <f>Tabella211[[#This Row],[Cum_confirmed]]*NOT(ISBLANK(Tabella211[[#This Row],[Cum_confirmed]]))</f>
        <v>3089</v>
      </c>
      <c r="G17" s="50">
        <f>k*t0*_xlfn.GAMMA.DIST(Tabella211[[#This Row],[Day]]/t0,w+1,1,1)*_xlfn.GAMMA(w+1)</f>
        <v>786.89929630176505</v>
      </c>
      <c r="H17" s="10">
        <f>k*((Tabella211[[#This Row],[Day]]/t0)^w)*EXP(-(Tabella211[[#This Row],[Day]]/t0))</f>
        <v>413.72987098532269</v>
      </c>
      <c r="I17" s="56">
        <f>Tabella211[[#This Row],[Cum_fit]]*NOT(ISBLANK(Tabella211[[#This Row],[Cum_confirmed]]))</f>
        <v>786.89929630176505</v>
      </c>
      <c r="J17" s="10">
        <f>Tabella211[[#This Row],[Cum_fit]]+CI</f>
        <v>8117.5348523573857</v>
      </c>
      <c r="K17" s="10">
        <f>MAX(Tabella211[[#This Row],[Cum_fit]]-CI,0)</f>
        <v>0</v>
      </c>
      <c r="L17" s="54">
        <f>'dpc-covid19-ita-andamento-naz'!G11</f>
        <v>2706</v>
      </c>
      <c r="M17" s="54">
        <f>'dpc-covid19-ita-andamento-naz'!H11</f>
        <v>443</v>
      </c>
      <c r="N17" s="54">
        <f>Tabella211[[#This Row],[New_cases_fit]]-Tabella211[[#This Row],[New_Recovered_fit]]-Tabella211[[#This Row],[New_Deaths_fit]]</f>
        <v>316.52956568859275</v>
      </c>
      <c r="O17" s="10">
        <f>'dpc-covid19-ita-andamento-naz'!J11</f>
        <v>276</v>
      </c>
      <c r="P17" s="48">
        <f>Tabella211[[#This Row],[Cum_recov]]-O16</f>
        <v>116</v>
      </c>
      <c r="Q17" s="60">
        <f>Tabella211[[#This Row],[Cum_recov]]*NOT(ISBLANK(Tabella211[[#This Row],[Cum_recov]]))</f>
        <v>276</v>
      </c>
      <c r="R17" s="50">
        <f>kr*t0r*_xlfn.GAMMA.DIST(Tabella211[[#This Row],[Day]]/t0r,wr+1,1,1)*_xlfn.GAMMA(wr+1)</f>
        <v>272.10177952159859</v>
      </c>
      <c r="S17" s="10">
        <f>kr*((Tabella211[[#This Row],[Day]]/t0r)^wr)*EXP(-(Tabella211[[#This Row],[Day]]/t0r))</f>
        <v>87.411607643212605</v>
      </c>
      <c r="T17" s="60">
        <f>Tabella211[[#This Row],[Cum_R_fit]]*NOT(ISBLANK(Tabella211[[#This Row],[Cum_recov]]))</f>
        <v>272.10177952159859</v>
      </c>
      <c r="U17" s="10">
        <f>Tabella211[[#This Row],[Cum_R_fit]]+CIr</f>
        <v>1293.7733424122046</v>
      </c>
      <c r="V17" s="10">
        <f>MAX(Tabella211[[#This Row],[Cum_R_fit]]-CIr,0)</f>
        <v>0</v>
      </c>
      <c r="W17" s="10">
        <f>'dpc-covid19-ita-andamento-naz'!K11</f>
        <v>107</v>
      </c>
      <c r="X17" s="26">
        <f>Tabella211[[#This Row],[Cum_deaths]]-W16</f>
        <v>28</v>
      </c>
      <c r="Y17" s="65">
        <f>Tabella211[[#This Row],[Cum_deaths]]*NOT(ISBLANK(Tabella211[[#This Row],[Cum_deaths]]))</f>
        <v>107</v>
      </c>
      <c r="Z17" s="50">
        <f>kh*t0h*_xlfn.GAMMA.DIST(Tabella211[[#This Row],[Day]]/t0h,wh+1,1,1)*_xlfn.GAMMA(wh+1)</f>
        <v>13.168825689405452</v>
      </c>
      <c r="AA17" s="10">
        <f>kh*((Tabella211[[#This Row],[Day]]/t0h)^wh)*EXP(-(Tabella211[[#This Row],[Day]]/t0h))</f>
        <v>9.7886976535173353</v>
      </c>
      <c r="AB17" s="65">
        <f>Tabella211[[#This Row],[Cum_D_fit]]*NOT(ISBLANK(Tabella211[[#This Row],[Cum_deaths]]))</f>
        <v>13.168825689405452</v>
      </c>
      <c r="AC17" s="10">
        <f>Tabella211[[#This Row],[Cum_D_fit]]+CIh</f>
        <v>895.41585288032445</v>
      </c>
      <c r="AD17" s="10">
        <f>MAX(Tabella211[[#This Row],[Cum_D_fit]]-CIh,0)</f>
        <v>0</v>
      </c>
      <c r="AE17" s="1"/>
      <c r="AF17" s="93" t="s">
        <v>99</v>
      </c>
      <c r="AG17" s="98">
        <f>k*t0*_xlfn.GAMMA(w+1)</f>
        <v>193511.06871560728</v>
      </c>
      <c r="AT17" s="116"/>
    </row>
    <row r="18" spans="2:46" ht="15" thickTop="1" x14ac:dyDescent="0.3">
      <c r="B18" s="22">
        <v>43895</v>
      </c>
      <c r="C18" s="4">
        <f t="shared" si="0"/>
        <v>10</v>
      </c>
      <c r="D18" s="10">
        <f>'dpc-covid19-ita-andamento-naz'!L12</f>
        <v>3858</v>
      </c>
      <c r="E18" s="30">
        <f>'dpc-covid19-ita-andamento-naz'!I12</f>
        <v>769</v>
      </c>
      <c r="F18" s="56">
        <f>Tabella211[[#This Row],[Cum_confirmed]]*NOT(ISBLANK(Tabella211[[#This Row],[Cum_confirmed]]))</f>
        <v>3858</v>
      </c>
      <c r="G18" s="50">
        <f>k*t0*_xlfn.GAMMA.DIST(Tabella211[[#This Row],[Day]]/t0,w+1,1,1)*_xlfn.GAMMA(w+1)</f>
        <v>1286.9791896371814</v>
      </c>
      <c r="H18" s="10">
        <f>k*((Tabella211[[#This Row],[Day]]/t0)^w)*EXP(-(Tabella211[[#This Row],[Day]]/t0))</f>
        <v>592.58491645239997</v>
      </c>
      <c r="I18" s="56">
        <f>Tabella211[[#This Row],[Cum_fit]]*NOT(ISBLANK(Tabella211[[#This Row],[Cum_confirmed]]))</f>
        <v>1286.9791896371814</v>
      </c>
      <c r="J18" s="10">
        <f>Tabella211[[#This Row],[Cum_fit]]+CI</f>
        <v>8617.6147456928011</v>
      </c>
      <c r="K18" s="10">
        <f>MAX(Tabella211[[#This Row],[Cum_fit]]-CI,0)</f>
        <v>0</v>
      </c>
      <c r="L18" s="54">
        <f>'dpc-covid19-ita-andamento-naz'!G12</f>
        <v>3296</v>
      </c>
      <c r="M18" s="54">
        <f>'dpc-covid19-ita-andamento-naz'!H12</f>
        <v>590</v>
      </c>
      <c r="N18" s="54">
        <f>Tabella211[[#This Row],[New_cases_fit]]-Tabella211[[#This Row],[New_Recovered_fit]]-Tabella211[[#This Row],[New_Deaths_fit]]</f>
        <v>468.76445970908071</v>
      </c>
      <c r="O18" s="10">
        <f>'dpc-covid19-ita-andamento-naz'!J12</f>
        <v>414</v>
      </c>
      <c r="P18" s="48">
        <f>Tabella211[[#This Row],[Cum_recov]]-O17</f>
        <v>138</v>
      </c>
      <c r="Q18" s="60">
        <f>Tabella211[[#This Row],[Cum_recov]]*NOT(ISBLANK(Tabella211[[#This Row],[Cum_recov]]))</f>
        <v>414</v>
      </c>
      <c r="R18" s="50">
        <f>kr*t0r*_xlfn.GAMMA.DIST(Tabella211[[#This Row],[Day]]/t0r,wr+1,1,1)*_xlfn.GAMMA(wr+1)</f>
        <v>368.9835138331477</v>
      </c>
      <c r="S18" s="10">
        <f>kr*((Tabella211[[#This Row],[Day]]/t0r)^wr)*EXP(-(Tabella211[[#This Row],[Day]]/t0r))</f>
        <v>106.64964902987565</v>
      </c>
      <c r="T18" s="60">
        <f>Tabella211[[#This Row],[Cum_R_fit]]*NOT(ISBLANK(Tabella211[[#This Row],[Cum_recov]]))</f>
        <v>368.9835138331477</v>
      </c>
      <c r="U18" s="10">
        <f>Tabella211[[#This Row],[Cum_R_fit]]+CIr</f>
        <v>1390.6550767237536</v>
      </c>
      <c r="V18" s="10">
        <f>MAX(Tabella211[[#This Row],[Cum_R_fit]]-CIr,0)</f>
        <v>0</v>
      </c>
      <c r="W18" s="10">
        <f>'dpc-covid19-ita-andamento-naz'!K12</f>
        <v>148</v>
      </c>
      <c r="X18" s="26">
        <f>Tabella211[[#This Row],[Cum_deaths]]-W17</f>
        <v>41</v>
      </c>
      <c r="Y18" s="65">
        <f>Tabella211[[#This Row],[Cum_deaths]]*NOT(ISBLANK(Tabella211[[#This Row],[Cum_deaths]]))</f>
        <v>148</v>
      </c>
      <c r="Z18" s="50">
        <f>kh*t0h*_xlfn.GAMMA.DIST(Tabella211[[#This Row],[Day]]/t0h,wh+1,1,1)*_xlfn.GAMMA(wh+1)</f>
        <v>26.394315070578429</v>
      </c>
      <c r="AA18" s="10">
        <f>kh*((Tabella211[[#This Row],[Day]]/t0h)^wh)*EXP(-(Tabella211[[#This Row],[Day]]/t0h))</f>
        <v>17.170807713443576</v>
      </c>
      <c r="AB18" s="65">
        <f>Tabella211[[#This Row],[Cum_D_fit]]*NOT(ISBLANK(Tabella211[[#This Row],[Cum_deaths]]))</f>
        <v>26.394315070578429</v>
      </c>
      <c r="AC18" s="10">
        <f>Tabella211[[#This Row],[Cum_D_fit]]+CIh</f>
        <v>908.64134226149736</v>
      </c>
      <c r="AD18" s="10">
        <f>MAX(Tabella211[[#This Row],[Cum_D_fit]]-CIh,0)</f>
        <v>0</v>
      </c>
      <c r="AE18" s="1"/>
      <c r="AF18" s="68"/>
      <c r="AG18" s="82"/>
      <c r="AT18" s="103">
        <f>MAX($AG$26)</f>
        <v>0.99810784319498602</v>
      </c>
    </row>
    <row r="19" spans="2:46" ht="19.2" customHeight="1" x14ac:dyDescent="0.3">
      <c r="B19" s="9">
        <v>43896</v>
      </c>
      <c r="C19" s="4">
        <f t="shared" si="0"/>
        <v>11</v>
      </c>
      <c r="D19" s="10">
        <f>'dpc-covid19-ita-andamento-naz'!L13</f>
        <v>4636</v>
      </c>
      <c r="E19" s="30">
        <f>'dpc-covid19-ita-andamento-naz'!I13</f>
        <v>778</v>
      </c>
      <c r="F19" s="56">
        <f>Tabella211[[#This Row],[Cum_confirmed]]*NOT(ISBLANK(Tabella211[[#This Row],[Cum_confirmed]]))</f>
        <v>4636</v>
      </c>
      <c r="G19" s="50">
        <f>k*t0*_xlfn.GAMMA.DIST(Tabella211[[#This Row],[Day]]/t0,w+1,1,1)*_xlfn.GAMMA(w+1)</f>
        <v>1984.1996991950944</v>
      </c>
      <c r="H19" s="10">
        <f>k*((Tabella211[[#This Row],[Day]]/t0)^w)*EXP(-(Tabella211[[#This Row],[Day]]/t0))</f>
        <v>807.77203421625541</v>
      </c>
      <c r="I19" s="56">
        <f>Tabella211[[#This Row],[Cum_fit]]*NOT(ISBLANK(Tabella211[[#This Row],[Cum_confirmed]]))</f>
        <v>1984.1996991950944</v>
      </c>
      <c r="J19" s="10">
        <f>Tabella211[[#This Row],[Cum_fit]]+CI</f>
        <v>9314.8352552507149</v>
      </c>
      <c r="K19" s="10">
        <f>MAX(Tabella211[[#This Row],[Cum_fit]]-CI,0)</f>
        <v>0</v>
      </c>
      <c r="L19" s="54">
        <f>'dpc-covid19-ita-andamento-naz'!G13</f>
        <v>3916</v>
      </c>
      <c r="M19" s="54">
        <f>'dpc-covid19-ita-andamento-naz'!H13</f>
        <v>620</v>
      </c>
      <c r="N19" s="54">
        <f>Tabella211[[#This Row],[New_cases_fit]]-Tabella211[[#This Row],[New_Recovered_fit]]-Tabella211[[#This Row],[New_Deaths_fit]]</f>
        <v>652.14930876775622</v>
      </c>
      <c r="O19" s="10">
        <f>'dpc-covid19-ita-andamento-naz'!J13</f>
        <v>523</v>
      </c>
      <c r="P19" s="48">
        <f>Tabella211[[#This Row],[Cum_recov]]-O18</f>
        <v>109</v>
      </c>
      <c r="Q19" s="60">
        <f>Tabella211[[#This Row],[Cum_recov]]*NOT(ISBLANK(Tabella211[[#This Row],[Cum_recov]]))</f>
        <v>523</v>
      </c>
      <c r="R19" s="50">
        <f>kr*t0r*_xlfn.GAMMA.DIST(Tabella211[[#This Row],[Day]]/t0r,wr+1,1,1)*_xlfn.GAMMA(wr+1)</f>
        <v>485.9924806083979</v>
      </c>
      <c r="S19" s="10">
        <f>kr*((Tabella211[[#This Row],[Day]]/t0r)^wr)*EXP(-(Tabella211[[#This Row],[Day]]/t0r))</f>
        <v>127.66197056463038</v>
      </c>
      <c r="T19" s="60">
        <f>Tabella211[[#This Row],[Cum_R_fit]]*NOT(ISBLANK(Tabella211[[#This Row],[Cum_recov]]))</f>
        <v>485.9924806083979</v>
      </c>
      <c r="U19" s="10">
        <f>Tabella211[[#This Row],[Cum_R_fit]]+CIr</f>
        <v>1507.6640434990038</v>
      </c>
      <c r="V19" s="10">
        <f>MAX(Tabella211[[#This Row],[Cum_R_fit]]-CIr,0)</f>
        <v>0</v>
      </c>
      <c r="W19" s="10">
        <f>'dpc-covid19-ita-andamento-naz'!K13</f>
        <v>197</v>
      </c>
      <c r="X19" s="26">
        <f>Tabella211[[#This Row],[Cum_deaths]]-W18</f>
        <v>49</v>
      </c>
      <c r="Y19" s="65">
        <f>Tabella211[[#This Row],[Cum_deaths]]*NOT(ISBLANK(Tabella211[[#This Row],[Cum_deaths]]))</f>
        <v>197</v>
      </c>
      <c r="Z19" s="50">
        <f>kh*t0h*_xlfn.GAMMA.DIST(Tabella211[[#This Row],[Day]]/t0h,wh+1,1,1)*_xlfn.GAMMA(wh+1)</f>
        <v>48.64711083151856</v>
      </c>
      <c r="AA19" s="10">
        <f>kh*((Tabella211[[#This Row],[Day]]/t0h)^wh)*EXP(-(Tabella211[[#This Row],[Day]]/t0h))</f>
        <v>27.960754883868894</v>
      </c>
      <c r="AB19" s="65">
        <f>Tabella211[[#This Row],[Cum_D_fit]]*NOT(ISBLANK(Tabella211[[#This Row],[Cum_deaths]]))</f>
        <v>48.64711083151856</v>
      </c>
      <c r="AC19" s="10">
        <f>Tabella211[[#This Row],[Cum_D_fit]]+CIh</f>
        <v>930.89413802243757</v>
      </c>
      <c r="AD19" s="10">
        <f>MAX(Tabella211[[#This Row],[Cum_D_fit]]-CIh,0)</f>
        <v>0</v>
      </c>
      <c r="AE19" s="1"/>
      <c r="AF19" s="59" t="s">
        <v>81</v>
      </c>
      <c r="AG19" s="80" t="s">
        <v>97</v>
      </c>
      <c r="AT19" s="104">
        <f>COUNT($AG$21,$AG$22)</f>
        <v>2</v>
      </c>
    </row>
    <row r="20" spans="2:46" x14ac:dyDescent="0.3">
      <c r="B20" s="9">
        <v>43897</v>
      </c>
      <c r="C20" s="4">
        <f t="shared" si="0"/>
        <v>12</v>
      </c>
      <c r="D20" s="10">
        <f>'dpc-covid19-ita-andamento-naz'!L14</f>
        <v>5883</v>
      </c>
      <c r="E20" s="30">
        <f>'dpc-covid19-ita-andamento-naz'!I14</f>
        <v>1247</v>
      </c>
      <c r="F20" s="56">
        <f>Tabella211[[#This Row],[Cum_confirmed]]*NOT(ISBLANK(Tabella211[[#This Row],[Cum_confirmed]]))</f>
        <v>5883</v>
      </c>
      <c r="G20" s="50">
        <f>k*t0*_xlfn.GAMMA.DIST(Tabella211[[#This Row],[Day]]/t0,w+1,1,1)*_xlfn.GAMMA(w+1)</f>
        <v>2913.8894279465298</v>
      </c>
      <c r="H20" s="10">
        <f>k*((Tabella211[[#This Row],[Day]]/t0)^w)*EXP(-(Tabella211[[#This Row],[Day]]/t0))</f>
        <v>1057.006577615962</v>
      </c>
      <c r="I20" s="56">
        <f>Tabella211[[#This Row],[Cum_fit]]*NOT(ISBLANK(Tabella211[[#This Row],[Cum_confirmed]]))</f>
        <v>2913.8894279465298</v>
      </c>
      <c r="J20" s="10">
        <f>Tabella211[[#This Row],[Cum_fit]]+CI</f>
        <v>10244.52498400215</v>
      </c>
      <c r="K20" s="10">
        <f>MAX(Tabella211[[#This Row],[Cum_fit]]-CI,0)</f>
        <v>0</v>
      </c>
      <c r="L20" s="54">
        <f>'dpc-covid19-ita-andamento-naz'!G14</f>
        <v>5061</v>
      </c>
      <c r="M20" s="54">
        <f>'dpc-covid19-ita-andamento-naz'!H14</f>
        <v>1145</v>
      </c>
      <c r="N20" s="54">
        <f>Tabella211[[#This Row],[New_cases_fit]]-Tabella211[[#This Row],[New_Recovered_fit]]-Tabella211[[#This Row],[New_Deaths_fit]]</f>
        <v>863.76328085322325</v>
      </c>
      <c r="O20" s="10">
        <f>'dpc-covid19-ita-andamento-naz'!J14</f>
        <v>589</v>
      </c>
      <c r="P20" s="48">
        <f>Tabella211[[#This Row],[Cum_recov]]-O19</f>
        <v>66</v>
      </c>
      <c r="Q20" s="60">
        <f>Tabella211[[#This Row],[Cum_recov]]*NOT(ISBLANK(Tabella211[[#This Row],[Cum_recov]]))</f>
        <v>589</v>
      </c>
      <c r="R20" s="50">
        <f>kr*t0r*_xlfn.GAMMA.DIST(Tabella211[[#This Row],[Day]]/t0r,wr+1,1,1)*_xlfn.GAMMA(wr+1)</f>
        <v>624.89098908599715</v>
      </c>
      <c r="S20" s="10">
        <f>kr*((Tabella211[[#This Row],[Day]]/t0r)^wr)*EXP(-(Tabella211[[#This Row],[Day]]/t0r))</f>
        <v>150.42495285354883</v>
      </c>
      <c r="T20" s="60">
        <f>Tabella211[[#This Row],[Cum_R_fit]]*NOT(ISBLANK(Tabella211[[#This Row],[Cum_recov]]))</f>
        <v>624.89098908599715</v>
      </c>
      <c r="U20" s="10">
        <f>Tabella211[[#This Row],[Cum_R_fit]]+CIr</f>
        <v>1646.5625519766031</v>
      </c>
      <c r="V20" s="10">
        <f>MAX(Tabella211[[#This Row],[Cum_R_fit]]-CIr,0)</f>
        <v>0</v>
      </c>
      <c r="W20" s="10">
        <f>'dpc-covid19-ita-andamento-naz'!K14</f>
        <v>233</v>
      </c>
      <c r="X20" s="26">
        <f>Tabella211[[#This Row],[Cum_deaths]]-W19</f>
        <v>36</v>
      </c>
      <c r="Y20" s="65">
        <f>Tabella211[[#This Row],[Cum_deaths]]*NOT(ISBLANK(Tabella211[[#This Row],[Cum_deaths]]))</f>
        <v>233</v>
      </c>
      <c r="Z20" s="50">
        <f>kh*t0h*_xlfn.GAMMA.DIST(Tabella211[[#This Row],[Day]]/t0h,wh+1,1,1)*_xlfn.GAMMA(wh+1)</f>
        <v>83.673155464807678</v>
      </c>
      <c r="AA20" s="10">
        <f>kh*((Tabella211[[#This Row],[Day]]/t0h)^wh)*EXP(-(Tabella211[[#This Row],[Day]]/t0h))</f>
        <v>42.818343909189899</v>
      </c>
      <c r="AB20" s="65">
        <f>Tabella211[[#This Row],[Cum_D_fit]]*NOT(ISBLANK(Tabella211[[#This Row],[Cum_deaths]]))</f>
        <v>83.673155464807678</v>
      </c>
      <c r="AC20" s="10">
        <f>Tabella211[[#This Row],[Cum_D_fit]]+CIh</f>
        <v>965.92018265572665</v>
      </c>
      <c r="AD20" s="10">
        <f>MAX(Tabella211[[#This Row],[Cum_D_fit]]-CIh,0)</f>
        <v>0</v>
      </c>
      <c r="AE20" s="1"/>
      <c r="AF20" s="83" t="s">
        <v>108</v>
      </c>
      <c r="AG20" s="84">
        <f>Kd</f>
        <v>523501.90761184006</v>
      </c>
      <c r="AT20" s="104">
        <f>{32767;32767;0.000001;0;FALSE;FALSE;TRUE;1;1;1;0.0001;TRUE}</f>
        <v>32767</v>
      </c>
    </row>
    <row r="21" spans="2:46" ht="15.6" x14ac:dyDescent="0.35">
      <c r="B21" s="22">
        <v>43898</v>
      </c>
      <c r="C21" s="4">
        <f t="shared" si="0"/>
        <v>13</v>
      </c>
      <c r="D21" s="10">
        <f>'dpc-covid19-ita-andamento-naz'!L15</f>
        <v>7375</v>
      </c>
      <c r="E21" s="30">
        <f>'dpc-covid19-ita-andamento-naz'!I15</f>
        <v>1492</v>
      </c>
      <c r="F21" s="56">
        <f>Tabella211[[#This Row],[Cum_confirmed]]*NOT(ISBLANK(Tabella211[[#This Row],[Cum_confirmed]]))</f>
        <v>7375</v>
      </c>
      <c r="G21" s="50">
        <f>k*t0*_xlfn.GAMMA.DIST(Tabella211[[#This Row],[Day]]/t0,w+1,1,1)*_xlfn.GAMMA(w+1)</f>
        <v>4108.3055736474607</v>
      </c>
      <c r="H21" s="10">
        <f>k*((Tabella211[[#This Row],[Day]]/t0)^w)*EXP(-(Tabella211[[#This Row],[Day]]/t0))</f>
        <v>1336.4788488608388</v>
      </c>
      <c r="I21" s="56">
        <f>Tabella211[[#This Row],[Cum_fit]]*NOT(ISBLANK(Tabella211[[#This Row],[Cum_confirmed]]))</f>
        <v>4108.3055736474607</v>
      </c>
      <c r="J21" s="10">
        <f>Tabella211[[#This Row],[Cum_fit]]+CI</f>
        <v>11438.941129703082</v>
      </c>
      <c r="K21" s="10">
        <f>MAX(Tabella211[[#This Row],[Cum_fit]]-CI,0)</f>
        <v>0</v>
      </c>
      <c r="L21" s="54">
        <f>'dpc-covid19-ita-andamento-naz'!G15</f>
        <v>6387</v>
      </c>
      <c r="M21" s="54">
        <f>'dpc-covid19-ita-andamento-naz'!H15</f>
        <v>1326</v>
      </c>
      <c r="N21" s="54">
        <f>Tabella211[[#This Row],[New_cases_fit]]-Tabella211[[#This Row],[New_Recovered_fit]]-Tabella211[[#This Row],[New_Deaths_fit]]</f>
        <v>1099.2877213817239</v>
      </c>
      <c r="O21" s="10">
        <f>'dpc-covid19-ita-andamento-naz'!J15</f>
        <v>622</v>
      </c>
      <c r="P21" s="48">
        <f>Tabella211[[#This Row],[Cum_recov]]-O20</f>
        <v>33</v>
      </c>
      <c r="Q21" s="60">
        <f>Tabella211[[#This Row],[Cum_recov]]*NOT(ISBLANK(Tabella211[[#This Row],[Cum_recov]]))</f>
        <v>622</v>
      </c>
      <c r="R21" s="50">
        <f>kr*t0r*_xlfn.GAMMA.DIST(Tabella211[[#This Row],[Day]]/t0r,wr+1,1,1)*_xlfn.GAMMA(wr+1)</f>
        <v>787.41863802055786</v>
      </c>
      <c r="S21" s="10">
        <f>kr*((Tabella211[[#This Row],[Day]]/t0r)^wr)*EXP(-(Tabella211[[#This Row],[Day]]/t0r))</f>
        <v>174.91673907608347</v>
      </c>
      <c r="T21" s="60">
        <f>Tabella211[[#This Row],[Cum_R_fit]]*NOT(ISBLANK(Tabella211[[#This Row],[Cum_recov]]))</f>
        <v>787.41863802055786</v>
      </c>
      <c r="U21" s="10">
        <f>Tabella211[[#This Row],[Cum_R_fit]]+CIr</f>
        <v>1809.0902009111637</v>
      </c>
      <c r="V21" s="10">
        <f>MAX(Tabella211[[#This Row],[Cum_R_fit]]-CIr,0)</f>
        <v>0</v>
      </c>
      <c r="W21" s="10">
        <f>'dpc-covid19-ita-andamento-naz'!K15</f>
        <v>366</v>
      </c>
      <c r="X21" s="26">
        <f>Tabella211[[#This Row],[Cum_deaths]]-W20</f>
        <v>133</v>
      </c>
      <c r="Y21" s="65">
        <f>Tabella211[[#This Row],[Cum_deaths]]*NOT(ISBLANK(Tabella211[[#This Row],[Cum_deaths]]))</f>
        <v>366</v>
      </c>
      <c r="Z21" s="50">
        <f>kh*t0h*_xlfn.GAMMA.DIST(Tabella211[[#This Row],[Day]]/t0h,wh+1,1,1)*_xlfn.GAMMA(wh+1)</f>
        <v>135.81865332632171</v>
      </c>
      <c r="AA21" s="10">
        <f>kh*((Tabella211[[#This Row],[Day]]/t0h)^wh)*EXP(-(Tabella211[[#This Row],[Day]]/t0h))</f>
        <v>62.274388403031345</v>
      </c>
      <c r="AB21" s="65">
        <f>Tabella211[[#This Row],[Cum_D_fit]]*NOT(ISBLANK(Tabella211[[#This Row],[Cum_deaths]]))</f>
        <v>135.81865332632171</v>
      </c>
      <c r="AC21" s="10">
        <f>Tabella211[[#This Row],[Cum_D_fit]]+CIh</f>
        <v>1018.0656805172407</v>
      </c>
      <c r="AD21" s="10">
        <f>MAX(Tabella211[[#This Row],[Cum_D_fit]]-CIh,0)</f>
        <v>0</v>
      </c>
      <c r="AE21" s="1"/>
      <c r="AF21" s="83" t="s">
        <v>100</v>
      </c>
      <c r="AG21" s="84">
        <f>t0d</f>
        <v>873.26121200828402</v>
      </c>
      <c r="AT21" s="104">
        <f>{0;0;1;100;0;FALSE;TRUE;0.075;0;0;FALSE;30}</f>
        <v>0</v>
      </c>
    </row>
    <row r="22" spans="2:46" x14ac:dyDescent="0.3">
      <c r="B22" s="9">
        <v>43899</v>
      </c>
      <c r="C22" s="4">
        <f t="shared" si="0"/>
        <v>14</v>
      </c>
      <c r="D22" s="10">
        <f>'dpc-covid19-ita-andamento-naz'!L16</f>
        <v>9172</v>
      </c>
      <c r="E22" s="30">
        <f>'dpc-covid19-ita-andamento-naz'!I16</f>
        <v>1797</v>
      </c>
      <c r="F22" s="56">
        <f>Tabella211[[#This Row],[Cum_confirmed]]*NOT(ISBLANK(Tabella211[[#This Row],[Cum_confirmed]]))</f>
        <v>9172</v>
      </c>
      <c r="G22" s="50">
        <f>k*t0*_xlfn.GAMMA.DIST(Tabella211[[#This Row],[Day]]/t0,w+1,1,1)*_xlfn.GAMMA(w+1)</f>
        <v>5595.2628144807941</v>
      </c>
      <c r="H22" s="10">
        <f>k*((Tabella211[[#This Row],[Day]]/t0)^w)*EXP(-(Tabella211[[#This Row],[Day]]/t0))</f>
        <v>1641.1692628094859</v>
      </c>
      <c r="I22" s="56">
        <f>Tabella211[[#This Row],[Cum_fit]]*NOT(ISBLANK(Tabella211[[#This Row],[Cum_confirmed]]))</f>
        <v>5595.2628144807941</v>
      </c>
      <c r="J22" s="10">
        <f>Tabella211[[#This Row],[Cum_fit]]+CI</f>
        <v>12925.898370536415</v>
      </c>
      <c r="K22" s="10">
        <f>MAX(Tabella211[[#This Row],[Cum_fit]]-CI,0)</f>
        <v>0</v>
      </c>
      <c r="L22" s="54">
        <f>'dpc-covid19-ita-andamento-naz'!G16</f>
        <v>7985</v>
      </c>
      <c r="M22" s="54">
        <f>'dpc-covid19-ita-andamento-naz'!H16</f>
        <v>1598</v>
      </c>
      <c r="N22" s="54">
        <f>Tabella211[[#This Row],[New_cases_fit]]-Tabella211[[#This Row],[New_Recovered_fit]]-Tabella211[[#This Row],[New_Deaths_fit]]</f>
        <v>1353.3738207765671</v>
      </c>
      <c r="O22" s="10">
        <f>'dpc-covid19-ita-andamento-naz'!J16</f>
        <v>724</v>
      </c>
      <c r="P22" s="48">
        <f>Tabella211[[#This Row],[Cum_recov]]-O21</f>
        <v>102</v>
      </c>
      <c r="Q22" s="60">
        <f>Tabella211[[#This Row],[Cum_recov]]*NOT(ISBLANK(Tabella211[[#This Row],[Cum_recov]]))</f>
        <v>724</v>
      </c>
      <c r="R22" s="50">
        <f>kr*t0r*_xlfn.GAMMA.DIST(Tabella211[[#This Row],[Day]]/t0r,wr+1,1,1)*_xlfn.GAMMA(wr+1)</f>
        <v>975.29392656201958</v>
      </c>
      <c r="S22" s="10">
        <f>kr*((Tabella211[[#This Row],[Day]]/t0r)^wr)*EXP(-(Tabella211[[#This Row],[Day]]/t0r))</f>
        <v>201.11694470063057</v>
      </c>
      <c r="T22" s="60">
        <f>Tabella211[[#This Row],[Cum_R_fit]]*NOT(ISBLANK(Tabella211[[#This Row],[Cum_recov]]))</f>
        <v>975.29392656201958</v>
      </c>
      <c r="U22" s="10">
        <f>Tabella211[[#This Row],[Cum_R_fit]]+CIr</f>
        <v>1996.9654894526257</v>
      </c>
      <c r="V22" s="10">
        <f>MAX(Tabella211[[#This Row],[Cum_R_fit]]-CIr,0)</f>
        <v>0</v>
      </c>
      <c r="W22" s="10">
        <f>'dpc-covid19-ita-andamento-naz'!K16</f>
        <v>463</v>
      </c>
      <c r="X22" s="26">
        <f>Tabella211[[#This Row],[Cum_deaths]]-W21</f>
        <v>97</v>
      </c>
      <c r="Y22" s="65">
        <f>Tabella211[[#This Row],[Cum_deaths]]*NOT(ISBLANK(Tabella211[[#This Row],[Cum_deaths]]))</f>
        <v>463</v>
      </c>
      <c r="Z22" s="50">
        <f>kh*t0h*_xlfn.GAMMA.DIST(Tabella211[[#This Row],[Day]]/t0h,wh+1,1,1)*_xlfn.GAMMA(wh+1)</f>
        <v>209.87371896627786</v>
      </c>
      <c r="AA22" s="10">
        <f>kh*((Tabella211[[#This Row],[Day]]/t0h)^wh)*EXP(-(Tabella211[[#This Row],[Day]]/t0h))</f>
        <v>86.678497332288231</v>
      </c>
      <c r="AB22" s="65">
        <f>Tabella211[[#This Row],[Cum_D_fit]]*NOT(ISBLANK(Tabella211[[#This Row],[Cum_deaths]]))</f>
        <v>209.87371896627786</v>
      </c>
      <c r="AC22" s="10">
        <f>Tabella211[[#This Row],[Cum_D_fit]]+CIh</f>
        <v>1092.1207461571969</v>
      </c>
      <c r="AD22" s="10">
        <f>MAX(Tabella211[[#This Row],[Cum_D_fit]]-CIh,0)</f>
        <v>0</v>
      </c>
      <c r="AE22" s="1"/>
      <c r="AF22" s="83" t="s">
        <v>1</v>
      </c>
      <c r="AG22" s="84">
        <f>wd</f>
        <v>1.8988726576801191</v>
      </c>
      <c r="AT22" s="104">
        <f>{32767;32767;0.000001;0;FALSE;FALSE;FALSE;1;2;1;0.0001;TRUE}</f>
        <v>32767</v>
      </c>
    </row>
    <row r="23" spans="2:46" ht="15" thickBot="1" x14ac:dyDescent="0.35">
      <c r="B23" s="22">
        <v>43900</v>
      </c>
      <c r="C23" s="4">
        <f t="shared" si="0"/>
        <v>15</v>
      </c>
      <c r="D23" s="10">
        <f>'dpc-covid19-ita-andamento-naz'!L17</f>
        <v>10149</v>
      </c>
      <c r="E23" s="30">
        <f>'dpc-covid19-ita-andamento-naz'!I17</f>
        <v>977</v>
      </c>
      <c r="F23" s="56">
        <f>Tabella211[[#This Row],[Cum_confirmed]]*NOT(ISBLANK(Tabella211[[#This Row],[Cum_confirmed]]))</f>
        <v>10149</v>
      </c>
      <c r="G23" s="50">
        <f>k*t0*_xlfn.GAMMA.DIST(Tabella211[[#This Row],[Day]]/t0,w+1,1,1)*_xlfn.GAMMA(w+1)</f>
        <v>7397.0934131900312</v>
      </c>
      <c r="H23" s="10">
        <f>k*((Tabella211[[#This Row],[Day]]/t0)^w)*EXP(-(Tabella211[[#This Row],[Day]]/t0))</f>
        <v>1965.1900888826895</v>
      </c>
      <c r="I23" s="56">
        <f>Tabella211[[#This Row],[Cum_fit]]*NOT(ISBLANK(Tabella211[[#This Row],[Cum_confirmed]]))</f>
        <v>7397.0934131900312</v>
      </c>
      <c r="J23" s="10">
        <f>Tabella211[[#This Row],[Cum_fit]]+CI</f>
        <v>14727.728969245651</v>
      </c>
      <c r="K23" s="10">
        <f>MAX(Tabella211[[#This Row],[Cum_fit]]-CI,0)</f>
        <v>66.457857134410915</v>
      </c>
      <c r="L23" s="54">
        <f>'dpc-covid19-ita-andamento-naz'!G17</f>
        <v>8514</v>
      </c>
      <c r="M23" s="54">
        <f>'dpc-covid19-ita-andamento-naz'!H17</f>
        <v>529</v>
      </c>
      <c r="N23" s="54">
        <f>Tabella211[[#This Row],[New_cases_fit]]-Tabella211[[#This Row],[New_Recovered_fit]]-Tabella211[[#This Row],[New_Deaths_fit]]</f>
        <v>1620.019976016418</v>
      </c>
      <c r="O23" s="10">
        <f>'dpc-covid19-ita-andamento-naz'!J17</f>
        <v>1004</v>
      </c>
      <c r="P23" s="48">
        <f>Tabella211[[#This Row],[Cum_recov]]-O22</f>
        <v>280</v>
      </c>
      <c r="Q23" s="60">
        <f>Tabella211[[#This Row],[Cum_recov]]*NOT(ISBLANK(Tabella211[[#This Row],[Cum_recov]]))</f>
        <v>1004</v>
      </c>
      <c r="R23" s="50">
        <f>kr*t0r*_xlfn.GAMMA.DIST(Tabella211[[#This Row],[Day]]/t0r,wr+1,1,1)*_xlfn.GAMMA(wr+1)</f>
        <v>1190.2156100024374</v>
      </c>
      <c r="S23" s="10">
        <f>kr*((Tabella211[[#This Row],[Day]]/t0r)^wr)*EXP(-(Tabella211[[#This Row],[Day]]/t0r))</f>
        <v>229.00643367452588</v>
      </c>
      <c r="T23" s="60">
        <f>Tabella211[[#This Row],[Cum_R_fit]]*NOT(ISBLANK(Tabella211[[#This Row],[Cum_recov]]))</f>
        <v>1190.2156100024374</v>
      </c>
      <c r="U23" s="10">
        <f>Tabella211[[#This Row],[Cum_R_fit]]+CIr</f>
        <v>2211.8871728930435</v>
      </c>
      <c r="V23" s="10">
        <f>MAX(Tabella211[[#This Row],[Cum_R_fit]]-CIr,0)</f>
        <v>168.54404711183145</v>
      </c>
      <c r="W23" s="10">
        <f>'dpc-covid19-ita-andamento-naz'!K17</f>
        <v>631</v>
      </c>
      <c r="X23" s="26">
        <f>Tabella211[[#This Row],[Cum_deaths]]-W22</f>
        <v>168</v>
      </c>
      <c r="Y23" s="65">
        <f>Tabella211[[#This Row],[Cum_deaths]]*NOT(ISBLANK(Tabella211[[#This Row],[Cum_deaths]]))</f>
        <v>631</v>
      </c>
      <c r="Z23" s="50">
        <f>kh*t0h*_xlfn.GAMMA.DIST(Tabella211[[#This Row],[Day]]/t0h,wh+1,1,1)*_xlfn.GAMMA(wh+1)</f>
        <v>310.8719556626649</v>
      </c>
      <c r="AA23" s="10">
        <f>kh*((Tabella211[[#This Row],[Day]]/t0h)^wh)*EXP(-(Tabella211[[#This Row],[Day]]/t0h))</f>
        <v>116.16367919174552</v>
      </c>
      <c r="AB23" s="65">
        <f>Tabella211[[#This Row],[Cum_D_fit]]*NOT(ISBLANK(Tabella211[[#This Row],[Cum_deaths]]))</f>
        <v>310.8719556626649</v>
      </c>
      <c r="AC23" s="10">
        <f>Tabella211[[#This Row],[Cum_D_fit]]+CIh</f>
        <v>1193.1189828535839</v>
      </c>
      <c r="AD23" s="10">
        <f>MAX(Tabella211[[#This Row],[Cum_D_fit]]-CIh,0)</f>
        <v>0</v>
      </c>
      <c r="AE23" s="1"/>
      <c r="AF23" s="85" t="s">
        <v>2</v>
      </c>
      <c r="AG23" s="86">
        <f>AVERAGE(Tabella211[Cum_recov])</f>
        <v>8545.4166666666661</v>
      </c>
      <c r="AT23" s="105">
        <f>{0;0;1;100;0;FALSE;FALSE;0.075;0;0;FALSE;30}</f>
        <v>0</v>
      </c>
    </row>
    <row r="24" spans="2:46" x14ac:dyDescent="0.3">
      <c r="B24" s="9">
        <v>43901</v>
      </c>
      <c r="C24" s="4">
        <f t="shared" si="0"/>
        <v>16</v>
      </c>
      <c r="D24" s="10">
        <f>'dpc-covid19-ita-andamento-naz'!L18</f>
        <v>12462</v>
      </c>
      <c r="E24" s="30">
        <f>'dpc-covid19-ita-andamento-naz'!I18</f>
        <v>2313</v>
      </c>
      <c r="F24" s="56">
        <f>Tabella211[[#This Row],[Cum_confirmed]]*NOT(ISBLANK(Tabella211[[#This Row],[Cum_confirmed]]))</f>
        <v>12462</v>
      </c>
      <c r="G24" s="50">
        <f>k*t0*_xlfn.GAMMA.DIST(Tabella211[[#This Row],[Day]]/t0,w+1,1,1)*_xlfn.GAMMA(w+1)</f>
        <v>9529.9499350437127</v>
      </c>
      <c r="H24" s="10">
        <f>k*((Tabella211[[#This Row],[Day]]/t0)^w)*EXP(-(Tabella211[[#This Row],[Day]]/t0))</f>
        <v>2302.1248027775509</v>
      </c>
      <c r="I24" s="56">
        <f>Tabella211[[#This Row],[Cum_fit]]*NOT(ISBLANK(Tabella211[[#This Row],[Cum_confirmed]]))</f>
        <v>9529.9499350437127</v>
      </c>
      <c r="J24" s="10">
        <f>Tabella211[[#This Row],[Cum_fit]]+CI</f>
        <v>16860.585491099333</v>
      </c>
      <c r="K24" s="10">
        <f>MAX(Tabella211[[#This Row],[Cum_fit]]-CI,0)</f>
        <v>2199.3143789880924</v>
      </c>
      <c r="L24" s="54">
        <f>'dpc-covid19-ita-andamento-naz'!G18</f>
        <v>10590</v>
      </c>
      <c r="M24" s="54">
        <f>'dpc-covid19-ita-andamento-naz'!H18</f>
        <v>2076</v>
      </c>
      <c r="N24" s="54">
        <f>Tabella211[[#This Row],[New_cases_fit]]-Tabella211[[#This Row],[New_Recovered_fit]]-Tabella211[[#This Row],[New_Deaths_fit]]</f>
        <v>1892.9280118537467</v>
      </c>
      <c r="O24" s="10">
        <f>'dpc-covid19-ita-andamento-naz'!J18</f>
        <v>1045</v>
      </c>
      <c r="P24" s="48">
        <f>Tabella211[[#This Row],[Cum_recov]]-O23</f>
        <v>41</v>
      </c>
      <c r="Q24" s="60">
        <f>Tabella211[[#This Row],[Cum_recov]]*NOT(ISBLANK(Tabella211[[#This Row],[Cum_recov]]))</f>
        <v>1045</v>
      </c>
      <c r="R24" s="50">
        <f>kr*t0r*_xlfn.GAMMA.DIST(Tabella211[[#This Row],[Day]]/t0r,wr+1,1,1)*_xlfn.GAMMA(wr+1)</f>
        <v>1433.8638568071019</v>
      </c>
      <c r="S24" s="10">
        <f>kr*((Tabella211[[#This Row],[Day]]/t0r)^wr)*EXP(-(Tabella211[[#This Row],[Day]]/t0r))</f>
        <v>258.56714227457701</v>
      </c>
      <c r="T24" s="60">
        <f>Tabella211[[#This Row],[Cum_R_fit]]*NOT(ISBLANK(Tabella211[[#This Row],[Cum_recov]]))</f>
        <v>1433.8638568071019</v>
      </c>
      <c r="U24" s="10">
        <f>Tabella211[[#This Row],[Cum_R_fit]]+CIr</f>
        <v>2455.5354196977078</v>
      </c>
      <c r="V24" s="10">
        <f>MAX(Tabella211[[#This Row],[Cum_R_fit]]-CIr,0)</f>
        <v>412.19229391649594</v>
      </c>
      <c r="W24" s="10">
        <f>'dpc-covid19-ita-andamento-naz'!K18</f>
        <v>827</v>
      </c>
      <c r="X24" s="26">
        <f>Tabella211[[#This Row],[Cum_deaths]]-W23</f>
        <v>196</v>
      </c>
      <c r="Y24" s="65">
        <f>Tabella211[[#This Row],[Cum_deaths]]*NOT(ISBLANK(Tabella211[[#This Row],[Cum_deaths]]))</f>
        <v>827</v>
      </c>
      <c r="Z24" s="50">
        <f>kh*t0h*_xlfn.GAMMA.DIST(Tabella211[[#This Row],[Day]]/t0h,wh+1,1,1)*_xlfn.GAMMA(wh+1)</f>
        <v>443.86393590570839</v>
      </c>
      <c r="AA24" s="10">
        <f>kh*((Tabella211[[#This Row],[Day]]/t0h)^wh)*EXP(-(Tabella211[[#This Row],[Day]]/t0h))</f>
        <v>150.62964864922716</v>
      </c>
      <c r="AB24" s="65">
        <f>Tabella211[[#This Row],[Cum_D_fit]]*NOT(ISBLANK(Tabella211[[#This Row],[Cum_deaths]]))</f>
        <v>443.86393590570839</v>
      </c>
      <c r="AC24" s="10">
        <f>Tabella211[[#This Row],[Cum_D_fit]]+CIh</f>
        <v>1326.1109630966273</v>
      </c>
      <c r="AD24" s="10">
        <f>MAX(Tabella211[[#This Row],[Cum_D_fit]]-CIh,0)</f>
        <v>0</v>
      </c>
      <c r="AE24" s="1"/>
      <c r="AF24" s="85" t="s">
        <v>3</v>
      </c>
      <c r="AG24" s="86">
        <f>COUNT(Tabella211[Cum_recov])-COUNT(AG20:AG22)</f>
        <v>45</v>
      </c>
      <c r="AT24" s="114" t="s">
        <v>98</v>
      </c>
    </row>
    <row r="25" spans="2:46" x14ac:dyDescent="0.3">
      <c r="B25" s="22">
        <v>43902</v>
      </c>
      <c r="C25" s="4">
        <f t="shared" si="0"/>
        <v>17</v>
      </c>
      <c r="D25" s="10">
        <f>'dpc-covid19-ita-andamento-naz'!L19</f>
        <v>15113</v>
      </c>
      <c r="E25" s="30">
        <f>'dpc-covid19-ita-andamento-naz'!I19</f>
        <v>2651</v>
      </c>
      <c r="F25" s="56">
        <f>Tabella211[[#This Row],[Cum_confirmed]]*NOT(ISBLANK(Tabella211[[#This Row],[Cum_confirmed]]))</f>
        <v>15113</v>
      </c>
      <c r="G25" s="50">
        <f>k*t0*_xlfn.GAMMA.DIST(Tabella211[[#This Row],[Day]]/t0,w+1,1,1)*_xlfn.GAMMA(w+1)</f>
        <v>12003.43709687599</v>
      </c>
      <c r="H25" s="10">
        <f>k*((Tabella211[[#This Row],[Day]]/t0)^w)*EXP(-(Tabella211[[#This Row],[Day]]/t0))</f>
        <v>2645.3441398590858</v>
      </c>
      <c r="I25" s="56">
        <f>Tabella211[[#This Row],[Cum_fit]]*NOT(ISBLANK(Tabella211[[#This Row],[Cum_confirmed]]))</f>
        <v>12003.43709687599</v>
      </c>
      <c r="J25" s="10">
        <f>Tabella211[[#This Row],[Cum_fit]]+CI</f>
        <v>19334.072652931609</v>
      </c>
      <c r="K25" s="10">
        <f>MAX(Tabella211[[#This Row],[Cum_fit]]-CI,0)</f>
        <v>4672.8015408203701</v>
      </c>
      <c r="L25" s="54">
        <f>'dpc-covid19-ita-andamento-naz'!G19</f>
        <v>12839</v>
      </c>
      <c r="M25" s="54">
        <f>'dpc-covid19-ita-andamento-naz'!H19</f>
        <v>2249</v>
      </c>
      <c r="N25" s="54">
        <f>Tabella211[[#This Row],[New_cases_fit]]-Tabella211[[#This Row],[New_Recovered_fit]]-Tabella211[[#This Row],[New_Deaths_fit]]</f>
        <v>2165.8177824645895</v>
      </c>
      <c r="O25" s="10">
        <f>'dpc-covid19-ita-andamento-naz'!J19</f>
        <v>1258</v>
      </c>
      <c r="P25" s="48">
        <f>Tabella211[[#This Row],[Cum_recov]]-O24</f>
        <v>213</v>
      </c>
      <c r="Q25" s="60">
        <f>Tabella211[[#This Row],[Cum_recov]]*NOT(ISBLANK(Tabella211[[#This Row],[Cum_recov]]))</f>
        <v>1258</v>
      </c>
      <c r="R25" s="50">
        <f>kr*t0r*_xlfn.GAMMA.DIST(Tabella211[[#This Row],[Day]]/t0r,wr+1,1,1)*_xlfn.GAMMA(wr+1)</f>
        <v>1707.9012478848977</v>
      </c>
      <c r="S25" s="10">
        <f>kr*((Tabella211[[#This Row],[Day]]/t0r)^wr)*EXP(-(Tabella211[[#This Row],[Day]]/t0r))</f>
        <v>289.78193801178293</v>
      </c>
      <c r="T25" s="60">
        <f>Tabella211[[#This Row],[Cum_R_fit]]*NOT(ISBLANK(Tabella211[[#This Row],[Cum_recov]]))</f>
        <v>1707.9012478848977</v>
      </c>
      <c r="U25" s="10">
        <f>Tabella211[[#This Row],[Cum_R_fit]]+CIr</f>
        <v>2729.5728107755035</v>
      </c>
      <c r="V25" s="10">
        <f>MAX(Tabella211[[#This Row],[Cum_R_fit]]-CIr,0)</f>
        <v>686.22968499429169</v>
      </c>
      <c r="W25" s="10">
        <f>'dpc-covid19-ita-andamento-naz'!K19</f>
        <v>1016</v>
      </c>
      <c r="X25" s="26">
        <f>Tabella211[[#This Row],[Cum_deaths]]-W24</f>
        <v>189</v>
      </c>
      <c r="Y25" s="65">
        <f>Tabella211[[#This Row],[Cum_deaths]]*NOT(ISBLANK(Tabella211[[#This Row],[Cum_deaths]]))</f>
        <v>1016</v>
      </c>
      <c r="Z25" s="50">
        <f>kh*t0h*_xlfn.GAMMA.DIST(Tabella211[[#This Row],[Day]]/t0h,wh+1,1,1)*_xlfn.GAMMA(wh+1)</f>
        <v>613.68324798994377</v>
      </c>
      <c r="AA25" s="10">
        <f>kh*((Tabella211[[#This Row],[Day]]/t0h)^wh)*EXP(-(Tabella211[[#This Row],[Day]]/t0h))</f>
        <v>189.74441938271323</v>
      </c>
      <c r="AB25" s="65">
        <f>Tabella211[[#This Row],[Cum_D_fit]]*NOT(ISBLANK(Tabella211[[#This Row],[Cum_deaths]]))</f>
        <v>613.68324798994377</v>
      </c>
      <c r="AC25" s="10">
        <f>Tabella211[[#This Row],[Cum_D_fit]]+CIh</f>
        <v>1495.9302751808627</v>
      </c>
      <c r="AD25" s="10">
        <f>MAX(Tabella211[[#This Row],[Cum_D_fit]]-CIh,0)</f>
        <v>0</v>
      </c>
      <c r="AE25" s="1"/>
      <c r="AF25" s="85" t="s">
        <v>4</v>
      </c>
      <c r="AG25" s="87" cm="1">
        <f t="array" ref="AG25">SQRT(SUM((Tabella211[Colonna3]-Tabella211[Colonna4])^2)/dfr)</f>
        <v>507.25874775391088</v>
      </c>
      <c r="AT25" s="115"/>
    </row>
    <row r="26" spans="2:46" ht="16.2" x14ac:dyDescent="0.3">
      <c r="B26" s="9">
        <v>43903</v>
      </c>
      <c r="C26" s="4">
        <f t="shared" si="0"/>
        <v>18</v>
      </c>
      <c r="D26" s="10">
        <f>'dpc-covid19-ita-andamento-naz'!L20</f>
        <v>17660</v>
      </c>
      <c r="E26" s="30">
        <f>'dpc-covid19-ita-andamento-naz'!I20</f>
        <v>2547</v>
      </c>
      <c r="F26" s="56">
        <f>Tabella211[[#This Row],[Cum_confirmed]]*NOT(ISBLANK(Tabella211[[#This Row],[Cum_confirmed]]))</f>
        <v>17660</v>
      </c>
      <c r="G26" s="50">
        <f>k*t0*_xlfn.GAMMA.DIST(Tabella211[[#This Row],[Day]]/t0,w+1,1,1)*_xlfn.GAMMA(w+1)</f>
        <v>14820.542009897721</v>
      </c>
      <c r="H26" s="10">
        <f>k*((Tabella211[[#This Row],[Day]]/t0)^w)*EXP(-(Tabella211[[#This Row],[Day]]/t0))</f>
        <v>2988.2850639446206</v>
      </c>
      <c r="I26" s="56">
        <f>Tabella211[[#This Row],[Cum_fit]]*NOT(ISBLANK(Tabella211[[#This Row],[Cum_confirmed]]))</f>
        <v>14820.542009897721</v>
      </c>
      <c r="J26" s="10">
        <f>Tabella211[[#This Row],[Cum_fit]]+CI</f>
        <v>22151.177565953341</v>
      </c>
      <c r="K26" s="10">
        <f>MAX(Tabella211[[#This Row],[Cum_fit]]-CI,0)</f>
        <v>7489.9064538421007</v>
      </c>
      <c r="L26" s="54">
        <f>'dpc-covid19-ita-andamento-naz'!G20</f>
        <v>14955</v>
      </c>
      <c r="M26" s="54">
        <f>'dpc-covid19-ita-andamento-naz'!H20</f>
        <v>2116</v>
      </c>
      <c r="N26" s="54">
        <f>Tabella211[[#This Row],[New_cases_fit]]-Tabella211[[#This Row],[New_Recovered_fit]]-Tabella211[[#This Row],[New_Deaths_fit]]</f>
        <v>2432.6885271807996</v>
      </c>
      <c r="O26" s="10">
        <f>'dpc-covid19-ita-andamento-naz'!J20</f>
        <v>1439</v>
      </c>
      <c r="P26" s="48">
        <f>Tabella211[[#This Row],[Cum_recov]]-O25</f>
        <v>181</v>
      </c>
      <c r="Q26" s="60">
        <f>Tabella211[[#This Row],[Cum_recov]]*NOT(ISBLANK(Tabella211[[#This Row],[Cum_recov]]))</f>
        <v>1439</v>
      </c>
      <c r="R26" s="50">
        <f>kr*t0r*_xlfn.GAMMA.DIST(Tabella211[[#This Row],[Day]]/t0r,wr+1,1,1)*_xlfn.GAMMA(wr+1)</f>
        <v>2013.9736485425854</v>
      </c>
      <c r="S26" s="10">
        <f>kr*((Tabella211[[#This Row],[Day]]/t0r)^wr)*EXP(-(Tabella211[[#This Row],[Day]]/t0r))</f>
        <v>322.63450488749885</v>
      </c>
      <c r="T26" s="60">
        <f>Tabella211[[#This Row],[Cum_R_fit]]*NOT(ISBLANK(Tabella211[[#This Row],[Cum_recov]]))</f>
        <v>2013.9736485425854</v>
      </c>
      <c r="U26" s="10">
        <f>Tabella211[[#This Row],[Cum_R_fit]]+CIr</f>
        <v>3035.6452114331914</v>
      </c>
      <c r="V26" s="10">
        <f>MAX(Tabella211[[#This Row],[Cum_R_fit]]-CIr,0)</f>
        <v>992.30208565197938</v>
      </c>
      <c r="W26" s="10">
        <f>'dpc-covid19-ita-andamento-naz'!K20</f>
        <v>1266</v>
      </c>
      <c r="X26" s="26">
        <f>Tabella211[[#This Row],[Cum_deaths]]-W25</f>
        <v>250</v>
      </c>
      <c r="Y26" s="65">
        <f>Tabella211[[#This Row],[Cum_deaths]]*NOT(ISBLANK(Tabella211[[#This Row],[Cum_deaths]]))</f>
        <v>1266</v>
      </c>
      <c r="Z26" s="50">
        <f>kh*t0h*_xlfn.GAMMA.DIST(Tabella211[[#This Row],[Day]]/t0h,wh+1,1,1)*_xlfn.GAMMA(wh+1)</f>
        <v>824.72243813600039</v>
      </c>
      <c r="AA26" s="10">
        <f>kh*((Tabella211[[#This Row],[Day]]/t0h)^wh)*EXP(-(Tabella211[[#This Row],[Day]]/t0h))</f>
        <v>232.96203187632224</v>
      </c>
      <c r="AB26" s="65">
        <f>Tabella211[[#This Row],[Cum_D_fit]]*NOT(ISBLANK(Tabella211[[#This Row],[Cum_deaths]]))</f>
        <v>824.72243813600039</v>
      </c>
      <c r="AC26" s="10">
        <f>Tabella211[[#This Row],[Cum_D_fit]]+CIh</f>
        <v>1706.9694653269194</v>
      </c>
      <c r="AD26" s="10">
        <f>MAX(Tabella211[[#This Row],[Cum_D_fit]]-CIh,0)</f>
        <v>0</v>
      </c>
      <c r="AE26" s="1"/>
      <c r="AF26" s="85" t="s">
        <v>101</v>
      </c>
      <c r="AG26" s="88" cm="1">
        <f t="array" ref="AG26">1-SUM((Tabella211[Colonna3]-Tabella211[Colonna4])^2)/SUM((Tabella211[Colonna3]-Mean_of_yr)^2)</f>
        <v>0.99810784319498602</v>
      </c>
      <c r="AT26" s="115"/>
    </row>
    <row r="27" spans="2:46" ht="15" thickBot="1" x14ac:dyDescent="0.35">
      <c r="B27" s="9">
        <v>43904</v>
      </c>
      <c r="C27" s="4">
        <f t="shared" si="0"/>
        <v>19</v>
      </c>
      <c r="D27" s="10">
        <f>'dpc-covid19-ita-andamento-naz'!L21</f>
        <v>21157</v>
      </c>
      <c r="E27" s="30">
        <f>'dpc-covid19-ita-andamento-naz'!I21</f>
        <v>3497</v>
      </c>
      <c r="F27" s="56">
        <f>Tabella211[[#This Row],[Cum_confirmed]]*NOT(ISBLANK(Tabella211[[#This Row],[Cum_confirmed]]))</f>
        <v>21157</v>
      </c>
      <c r="G27" s="50">
        <f>k*t0*_xlfn.GAMMA.DIST(Tabella211[[#This Row],[Day]]/t0,w+1,1,1)*_xlfn.GAMMA(w+1)</f>
        <v>17977.821361882288</v>
      </c>
      <c r="H27" s="10">
        <f>k*((Tabella211[[#This Row],[Day]]/t0)^w)*EXP(-(Tabella211[[#This Row],[Day]]/t0))</f>
        <v>3324.6847965080492</v>
      </c>
      <c r="I27" s="56">
        <f>Tabella211[[#This Row],[Cum_fit]]*NOT(ISBLANK(Tabella211[[#This Row],[Cum_confirmed]]))</f>
        <v>17977.821361882288</v>
      </c>
      <c r="J27" s="10">
        <f>Tabella211[[#This Row],[Cum_fit]]+CI</f>
        <v>25308.45691793791</v>
      </c>
      <c r="K27" s="10">
        <f>MAX(Tabella211[[#This Row],[Cum_fit]]-CI,0)</f>
        <v>10647.185805826668</v>
      </c>
      <c r="L27" s="54">
        <f>'dpc-covid19-ita-andamento-naz'!G21</f>
        <v>17750</v>
      </c>
      <c r="M27" s="54">
        <f>'dpc-covid19-ita-andamento-naz'!H21</f>
        <v>2795</v>
      </c>
      <c r="N27" s="54">
        <f>Tabella211[[#This Row],[New_cases_fit]]-Tabella211[[#This Row],[New_Recovered_fit]]-Tabella211[[#This Row],[New_Deaths_fit]]</f>
        <v>2688.0224022564807</v>
      </c>
      <c r="O27" s="10">
        <f>'dpc-covid19-ita-andamento-naz'!J21</f>
        <v>1966</v>
      </c>
      <c r="P27" s="48">
        <f>Tabella211[[#This Row],[Cum_recov]]-O26</f>
        <v>527</v>
      </c>
      <c r="Q27" s="60">
        <f>Tabella211[[#This Row],[Cum_recov]]*NOT(ISBLANK(Tabella211[[#This Row],[Cum_recov]]))</f>
        <v>1966</v>
      </c>
      <c r="R27" s="50">
        <f>kr*t0r*_xlfn.GAMMA.DIST(Tabella211[[#This Row],[Day]]/t0r,wr+1,1,1)*_xlfn.GAMMA(wr+1)</f>
        <v>2353.7109762219202</v>
      </c>
      <c r="S27" s="10">
        <f>kr*((Tabella211[[#This Row],[Day]]/t0r)^wr)*EXP(-(Tabella211[[#This Row],[Day]]/t0r))</f>
        <v>357.10924883718519</v>
      </c>
      <c r="T27" s="60">
        <f>Tabella211[[#This Row],[Cum_R_fit]]*NOT(ISBLANK(Tabella211[[#This Row],[Cum_recov]]))</f>
        <v>2353.7109762219202</v>
      </c>
      <c r="U27" s="10">
        <f>Tabella211[[#This Row],[Cum_R_fit]]+CIr</f>
        <v>3375.382539112526</v>
      </c>
      <c r="V27" s="10">
        <f>MAX(Tabella211[[#This Row],[Cum_R_fit]]-CIr,0)</f>
        <v>1332.0394133313143</v>
      </c>
      <c r="W27" s="10">
        <f>'dpc-covid19-ita-andamento-naz'!K21</f>
        <v>1441</v>
      </c>
      <c r="X27" s="26">
        <f>Tabella211[[#This Row],[Cum_deaths]]-W26</f>
        <v>175</v>
      </c>
      <c r="Y27" s="65">
        <f>Tabella211[[#This Row],[Cum_deaths]]*NOT(ISBLANK(Tabella211[[#This Row],[Cum_deaths]]))</f>
        <v>1441</v>
      </c>
      <c r="Z27" s="50">
        <f>kh*t0h*_xlfn.GAMMA.DIST(Tabella211[[#This Row],[Day]]/t0h,wh+1,1,1)*_xlfn.GAMMA(wh+1)</f>
        <v>1080.7334159948655</v>
      </c>
      <c r="AA27" s="10">
        <f>kh*((Tabella211[[#This Row],[Day]]/t0h)^wh)*EXP(-(Tabella211[[#This Row],[Day]]/t0h))</f>
        <v>279.55314541438361</v>
      </c>
      <c r="AB27" s="65">
        <f>Tabella211[[#This Row],[Cum_D_fit]]*NOT(ISBLANK(Tabella211[[#This Row],[Cum_deaths]]))</f>
        <v>1080.7334159948655</v>
      </c>
      <c r="AC27" s="10">
        <f>Tabella211[[#This Row],[Cum_D_fit]]+CIh</f>
        <v>1962.9804431857845</v>
      </c>
      <c r="AD27" s="10">
        <f>MAX(Tabella211[[#This Row],[Cum_D_fit]]-CIh,0)</f>
        <v>198.48638880394651</v>
      </c>
      <c r="AE27" s="1"/>
      <c r="AF27" s="85" t="s">
        <v>6</v>
      </c>
      <c r="AG27" s="88">
        <f>TINV(0.05,dfr)</f>
        <v>2.0141033888808457</v>
      </c>
      <c r="AT27" s="116"/>
    </row>
    <row r="28" spans="2:46" ht="15" thickTop="1" x14ac:dyDescent="0.3">
      <c r="B28" s="9">
        <v>43905</v>
      </c>
      <c r="C28" s="4">
        <f t="shared" si="0"/>
        <v>20</v>
      </c>
      <c r="D28" s="10">
        <f>'dpc-covid19-ita-andamento-naz'!L22</f>
        <v>24747</v>
      </c>
      <c r="E28" s="30">
        <f>'dpc-covid19-ita-andamento-naz'!I22</f>
        <v>3590</v>
      </c>
      <c r="F28" s="56">
        <f>Tabella211[[#This Row],[Cum_confirmed]]*NOT(ISBLANK(Tabella211[[#This Row],[Cum_confirmed]]))</f>
        <v>24747</v>
      </c>
      <c r="G28" s="50">
        <f>k*t0*_xlfn.GAMMA.DIST(Tabella211[[#This Row],[Day]]/t0,w+1,1,1)*_xlfn.GAMMA(w+1)</f>
        <v>21465.798677750488</v>
      </c>
      <c r="H28" s="10">
        <f>k*((Tabella211[[#This Row],[Day]]/t0)^w)*EXP(-(Tabella211[[#This Row],[Day]]/t0))</f>
        <v>3648.7667453621507</v>
      </c>
      <c r="I28" s="56">
        <f>Tabella211[[#This Row],[Cum_fit]]*NOT(ISBLANK(Tabella211[[#This Row],[Cum_confirmed]]))</f>
        <v>21465.798677750488</v>
      </c>
      <c r="J28" s="10">
        <f>Tabella211[[#This Row],[Cum_fit]]+CI</f>
        <v>28796.434233806111</v>
      </c>
      <c r="K28" s="10">
        <f>MAX(Tabella211[[#This Row],[Cum_fit]]-CI,0)</f>
        <v>14135.163121694868</v>
      </c>
      <c r="L28" s="54">
        <f>'dpc-covid19-ita-andamento-naz'!G22</f>
        <v>20603</v>
      </c>
      <c r="M28" s="54">
        <f>'dpc-covid19-ita-andamento-naz'!H22</f>
        <v>2853</v>
      </c>
      <c r="N28" s="54">
        <f>Tabella211[[#This Row],[New_cases_fit]]-Tabella211[[#This Row],[New_Recovered_fit]]-Tabella211[[#This Row],[New_Deaths_fit]]</f>
        <v>2926.930850284135</v>
      </c>
      <c r="O28" s="10">
        <f>'dpc-covid19-ita-andamento-naz'!J22</f>
        <v>2335</v>
      </c>
      <c r="P28" s="48">
        <f>Tabella211[[#This Row],[Cum_recov]]-O27</f>
        <v>369</v>
      </c>
      <c r="Q28" s="60">
        <f>Tabella211[[#This Row],[Cum_recov]]*NOT(ISBLANK(Tabella211[[#This Row],[Cum_recov]]))</f>
        <v>2335</v>
      </c>
      <c r="R28" s="50">
        <f>kr*t0r*_xlfn.GAMMA.DIST(Tabella211[[#This Row],[Day]]/t0r,wr+1,1,1)*_xlfn.GAMMA(wr+1)</f>
        <v>2728.7278818592195</v>
      </c>
      <c r="S28" s="10">
        <f>kr*((Tabella211[[#This Row],[Day]]/t0r)^wr)*EXP(-(Tabella211[[#This Row],[Day]]/t0r))</f>
        <v>393.19121889772975</v>
      </c>
      <c r="T28" s="60">
        <f>Tabella211[[#This Row],[Cum_R_fit]]*NOT(ISBLANK(Tabella211[[#This Row],[Cum_recov]]))</f>
        <v>2728.7278818592195</v>
      </c>
      <c r="U28" s="10">
        <f>Tabella211[[#This Row],[Cum_R_fit]]+CIr</f>
        <v>3750.3994447498253</v>
      </c>
      <c r="V28" s="10">
        <f>MAX(Tabella211[[#This Row],[Cum_R_fit]]-CIr,0)</f>
        <v>1707.0563189686136</v>
      </c>
      <c r="W28" s="10">
        <f>'dpc-covid19-ita-andamento-naz'!K22</f>
        <v>1809</v>
      </c>
      <c r="X28" s="26">
        <f>Tabella211[[#This Row],[Cum_deaths]]-W27</f>
        <v>368</v>
      </c>
      <c r="Y28" s="65">
        <f>Tabella211[[#This Row],[Cum_deaths]]*NOT(ISBLANK(Tabella211[[#This Row],[Cum_deaths]]))</f>
        <v>1809</v>
      </c>
      <c r="Z28" s="50">
        <f>kh*t0h*_xlfn.GAMMA.DIST(Tabella211[[#This Row],[Day]]/t0h,wh+1,1,1)*_xlfn.GAMMA(wh+1)</f>
        <v>1384.6633027455402</v>
      </c>
      <c r="AA28" s="10">
        <f>kh*((Tabella211[[#This Row],[Day]]/t0h)^wh)*EXP(-(Tabella211[[#This Row],[Day]]/t0h))</f>
        <v>328.6446761802859</v>
      </c>
      <c r="AB28" s="65">
        <f>Tabella211[[#This Row],[Cum_D_fit]]*NOT(ISBLANK(Tabella211[[#This Row],[Cum_deaths]]))</f>
        <v>1384.6633027455402</v>
      </c>
      <c r="AC28" s="10">
        <f>Tabella211[[#This Row],[Cum_D_fit]]+CIh</f>
        <v>2266.9103299364592</v>
      </c>
      <c r="AD28" s="10">
        <f>MAX(Tabella211[[#This Row],[Cum_D_fit]]-CIh,0)</f>
        <v>502.41627555462128</v>
      </c>
      <c r="AE28" s="1"/>
      <c r="AF28" s="85" t="s">
        <v>7</v>
      </c>
      <c r="AG28" s="86">
        <f>Critical_tr*SE_of_yr</f>
        <v>1021.671562890606</v>
      </c>
      <c r="AT28" s="106">
        <f>MAX($AG$38)</f>
        <v>0.99708540012650482</v>
      </c>
    </row>
    <row r="29" spans="2:46" x14ac:dyDescent="0.3">
      <c r="B29" s="9">
        <v>43906</v>
      </c>
      <c r="C29" s="4">
        <f t="shared" si="0"/>
        <v>21</v>
      </c>
      <c r="D29" s="10">
        <f>'dpc-covid19-ita-andamento-naz'!L23</f>
        <v>27980</v>
      </c>
      <c r="E29" s="30">
        <f>'dpc-covid19-ita-andamento-naz'!I23</f>
        <v>3233</v>
      </c>
      <c r="F29" s="56">
        <f>Tabella211[[#This Row],[Cum_confirmed]]*NOT(ISBLANK(Tabella211[[#This Row],[Cum_confirmed]]))</f>
        <v>27980</v>
      </c>
      <c r="G29" s="50">
        <f>k*t0*_xlfn.GAMMA.DIST(Tabella211[[#This Row],[Day]]/t0,w+1,1,1)*_xlfn.GAMMA(w+1)</f>
        <v>25269.523493608795</v>
      </c>
      <c r="H29" s="10">
        <f>k*((Tabella211[[#This Row],[Day]]/t0)^w)*EXP(-(Tabella211[[#This Row],[Day]]/t0))</f>
        <v>3955.3787019382548</v>
      </c>
      <c r="I29" s="56">
        <f>Tabella211[[#This Row],[Cum_fit]]*NOT(ISBLANK(Tabella211[[#This Row],[Cum_confirmed]]))</f>
        <v>25269.523493608795</v>
      </c>
      <c r="J29" s="10">
        <f>Tabella211[[#This Row],[Cum_fit]]+CI</f>
        <v>32600.159049664413</v>
      </c>
      <c r="K29" s="10">
        <f>MAX(Tabella211[[#This Row],[Cum_fit]]-CI,0)</f>
        <v>17938.887937553176</v>
      </c>
      <c r="L29" s="54">
        <f>'dpc-covid19-ita-andamento-naz'!G23</f>
        <v>23073</v>
      </c>
      <c r="M29" s="54">
        <f>'dpc-covid19-ita-andamento-naz'!H23</f>
        <v>2470</v>
      </c>
      <c r="N29" s="54">
        <f>Tabella211[[#This Row],[New_cases_fit]]-Tabella211[[#This Row],[New_Recovered_fit]]-Tabella211[[#This Row],[New_Deaths_fit]]</f>
        <v>3145.2480693091402</v>
      </c>
      <c r="O29" s="10">
        <f>'dpc-covid19-ita-andamento-naz'!J23</f>
        <v>2749</v>
      </c>
      <c r="P29" s="48">
        <f>Tabella211[[#This Row],[Cum_recov]]-O28</f>
        <v>414</v>
      </c>
      <c r="Q29" s="60">
        <f>Tabella211[[#This Row],[Cum_recov]]*NOT(ISBLANK(Tabella211[[#This Row],[Cum_recov]]))</f>
        <v>2749</v>
      </c>
      <c r="R29" s="50">
        <f>kr*t0r*_xlfn.GAMMA.DIST(Tabella211[[#This Row],[Day]]/t0r,wr+1,1,1)*_xlfn.GAMMA(wr+1)</f>
        <v>3140.6243588619695</v>
      </c>
      <c r="S29" s="10">
        <f>kr*((Tabella211[[#This Row],[Day]]/t0r)^wr)*EXP(-(Tabella211[[#This Row],[Day]]/t0r))</f>
        <v>430.86604080162493</v>
      </c>
      <c r="T29" s="60">
        <f>Tabella211[[#This Row],[Cum_R_fit]]*NOT(ISBLANK(Tabella211[[#This Row],[Cum_recov]]))</f>
        <v>3140.6243588619695</v>
      </c>
      <c r="U29" s="10">
        <f>Tabella211[[#This Row],[Cum_R_fit]]+CIr</f>
        <v>4162.2959217525759</v>
      </c>
      <c r="V29" s="10">
        <f>MAX(Tabella211[[#This Row],[Cum_R_fit]]-CIr,0)</f>
        <v>2118.9527959713637</v>
      </c>
      <c r="W29" s="10">
        <f>'dpc-covid19-ita-andamento-naz'!K23</f>
        <v>2158</v>
      </c>
      <c r="X29" s="26">
        <f>Tabella211[[#This Row],[Cum_deaths]]-W28</f>
        <v>349</v>
      </c>
      <c r="Y29" s="65">
        <f>Tabella211[[#This Row],[Cum_deaths]]*NOT(ISBLANK(Tabella211[[#This Row],[Cum_deaths]]))</f>
        <v>2158</v>
      </c>
      <c r="Z29" s="50">
        <f>kh*t0h*_xlfn.GAMMA.DIST(Tabella211[[#This Row],[Day]]/t0h,wh+1,1,1)*_xlfn.GAMMA(wh+1)</f>
        <v>1738.5328122879873</v>
      </c>
      <c r="AA29" s="10">
        <f>kh*((Tabella211[[#This Row],[Day]]/t0h)^wh)*EXP(-(Tabella211[[#This Row],[Day]]/t0h))</f>
        <v>379.26459182748982</v>
      </c>
      <c r="AB29" s="65">
        <f>Tabella211[[#This Row],[Cum_D_fit]]*NOT(ISBLANK(Tabella211[[#This Row],[Cum_deaths]]))</f>
        <v>1738.5328122879873</v>
      </c>
      <c r="AC29" s="10">
        <f>Tabella211[[#This Row],[Cum_D_fit]]+CIh</f>
        <v>2620.7798394789061</v>
      </c>
      <c r="AD29" s="10">
        <f>MAX(Tabella211[[#This Row],[Cum_D_fit]]-CIh,0)</f>
        <v>856.28578509706836</v>
      </c>
      <c r="AE29" s="1"/>
      <c r="AF29" s="89" t="s">
        <v>99</v>
      </c>
      <c r="AG29" s="86">
        <f>kr*t0r*_xlfn.GAMMA(wr+1)</f>
        <v>834552046.95059609</v>
      </c>
      <c r="AT29" s="107">
        <f>COUNT($AG$33,$AG$34)</f>
        <v>2</v>
      </c>
    </row>
    <row r="30" spans="2:46" x14ac:dyDescent="0.3">
      <c r="B30" s="9">
        <v>43907</v>
      </c>
      <c r="C30" s="4">
        <f t="shared" si="0"/>
        <v>22</v>
      </c>
      <c r="D30" s="10">
        <f>'dpc-covid19-ita-andamento-naz'!L24</f>
        <v>31506</v>
      </c>
      <c r="E30" s="30">
        <f>'dpc-covid19-ita-andamento-naz'!I24</f>
        <v>3526</v>
      </c>
      <c r="F30" s="56">
        <f>Tabella211[[#This Row],[Cum_confirmed]]*NOT(ISBLANK(Tabella211[[#This Row],[Cum_confirmed]]))</f>
        <v>31506</v>
      </c>
      <c r="G30" s="50">
        <f>k*t0*_xlfn.GAMMA.DIST(Tabella211[[#This Row],[Day]]/t0,w+1,1,1)*_xlfn.GAMMA(w+1)</f>
        <v>29369.245978759023</v>
      </c>
      <c r="H30" s="10">
        <f>k*((Tabella211[[#This Row],[Day]]/t0)^w)*EXP(-(Tabella211[[#This Row],[Day]]/t0))</f>
        <v>4240.0861789373339</v>
      </c>
      <c r="I30" s="56">
        <f>Tabella211[[#This Row],[Cum_fit]]*NOT(ISBLANK(Tabella211[[#This Row],[Cum_confirmed]]))</f>
        <v>29369.245978759023</v>
      </c>
      <c r="J30" s="10">
        <f>Tabella211[[#This Row],[Cum_fit]]+CI</f>
        <v>36699.881534814645</v>
      </c>
      <c r="K30" s="10">
        <f>MAX(Tabella211[[#This Row],[Cum_fit]]-CI,0)</f>
        <v>22038.610422703401</v>
      </c>
      <c r="L30" s="54">
        <f>'dpc-covid19-ita-andamento-naz'!G24</f>
        <v>26062</v>
      </c>
      <c r="M30" s="54">
        <f>'dpc-covid19-ita-andamento-naz'!H24</f>
        <v>2989</v>
      </c>
      <c r="N30" s="54">
        <f>Tabella211[[#This Row],[New_cases_fit]]-Tabella211[[#This Row],[New_Recovered_fit]]-Tabella211[[#This Row],[New_Deaths_fit]]</f>
        <v>3339.5780602064501</v>
      </c>
      <c r="O30" s="10">
        <f>'dpc-covid19-ita-andamento-naz'!J24</f>
        <v>2941</v>
      </c>
      <c r="P30" s="48">
        <f>Tabella211[[#This Row],[Cum_recov]]-O29</f>
        <v>192</v>
      </c>
      <c r="Q30" s="60">
        <f>Tabella211[[#This Row],[Cum_recov]]*NOT(ISBLANK(Tabella211[[#This Row],[Cum_recov]]))</f>
        <v>2941</v>
      </c>
      <c r="R30" s="50">
        <f>kr*t0r*_xlfn.GAMMA.DIST(Tabella211[[#This Row],[Day]]/t0r,wr+1,1,1)*_xlfn.GAMMA(wr+1)</f>
        <v>3590.9862908335485</v>
      </c>
      <c r="S30" s="10">
        <f>kr*((Tabella211[[#This Row],[Day]]/t0r)^wr)*EXP(-(Tabella211[[#This Row],[Day]]/t0r))</f>
        <v>470.11986052086201</v>
      </c>
      <c r="T30" s="60">
        <f>Tabella211[[#This Row],[Cum_R_fit]]*NOT(ISBLANK(Tabella211[[#This Row],[Cum_recov]]))</f>
        <v>3590.9862908335485</v>
      </c>
      <c r="U30" s="10">
        <f>Tabella211[[#This Row],[Cum_R_fit]]+CIr</f>
        <v>4612.6578537241548</v>
      </c>
      <c r="V30" s="10">
        <f>MAX(Tabella211[[#This Row],[Cum_R_fit]]-CIr,0)</f>
        <v>2569.3147279429427</v>
      </c>
      <c r="W30" s="10">
        <f>'dpc-covid19-ita-andamento-naz'!K24</f>
        <v>2503</v>
      </c>
      <c r="X30" s="26">
        <f>Tabella211[[#This Row],[Cum_deaths]]-W29</f>
        <v>345</v>
      </c>
      <c r="Y30" s="65">
        <f>Tabella211[[#This Row],[Cum_deaths]]*NOT(ISBLANK(Tabella211[[#This Row],[Cum_deaths]]))</f>
        <v>2503</v>
      </c>
      <c r="Z30" s="50">
        <f>kh*t0h*_xlfn.GAMMA.DIST(Tabella211[[#This Row],[Day]]/t0h,wh+1,1,1)*_xlfn.GAMMA(wh+1)</f>
        <v>2143.3604844308065</v>
      </c>
      <c r="AA30" s="10">
        <f>kh*((Tabella211[[#This Row],[Day]]/t0h)^wh)*EXP(-(Tabella211[[#This Row],[Day]]/t0h))</f>
        <v>430.38825821002183</v>
      </c>
      <c r="AB30" s="65">
        <f>Tabella211[[#This Row],[Cum_D_fit]]*NOT(ISBLANK(Tabella211[[#This Row],[Cum_deaths]]))</f>
        <v>2143.3604844308065</v>
      </c>
      <c r="AC30" s="10">
        <f>Tabella211[[#This Row],[Cum_D_fit]]+CIh</f>
        <v>3025.6075116217253</v>
      </c>
      <c r="AD30" s="10">
        <f>MAX(Tabella211[[#This Row],[Cum_D_fit]]-CIh,0)</f>
        <v>1261.1134572398876</v>
      </c>
      <c r="AE30" s="1"/>
      <c r="AF30" s="89"/>
      <c r="AG30" s="90"/>
      <c r="AT30" s="107">
        <f>{32767;32767;0.000001;0;FALSE;FALSE;TRUE;1;1;1;0.0001;TRUE}</f>
        <v>32767</v>
      </c>
    </row>
    <row r="31" spans="2:46" ht="14.4" customHeight="1" x14ac:dyDescent="0.3">
      <c r="B31" s="9">
        <v>43908</v>
      </c>
      <c r="C31" s="4">
        <f t="shared" si="0"/>
        <v>23</v>
      </c>
      <c r="D31" s="10">
        <f>'dpc-covid19-ita-andamento-naz'!L25</f>
        <v>35713</v>
      </c>
      <c r="E31" s="30">
        <f>'dpc-covid19-ita-andamento-naz'!I25</f>
        <v>4207</v>
      </c>
      <c r="F31" s="56">
        <f>Tabella211[[#This Row],[Cum_confirmed]]*NOT(ISBLANK(Tabella211[[#This Row],[Cum_confirmed]]))</f>
        <v>35713</v>
      </c>
      <c r="G31" s="50">
        <f>k*t0*_xlfn.GAMMA.DIST(Tabella211[[#This Row],[Day]]/t0,w+1,1,1)*_xlfn.GAMMA(w+1)</f>
        <v>33741.1642961045</v>
      </c>
      <c r="H31" s="10">
        <f>k*((Tabella211[[#This Row],[Day]]/t0)^w)*EXP(-(Tabella211[[#This Row],[Day]]/t0))</f>
        <v>4499.2253983212295</v>
      </c>
      <c r="I31" s="56">
        <f>Tabella211[[#This Row],[Cum_fit]]*NOT(ISBLANK(Tabella211[[#This Row],[Cum_confirmed]]))</f>
        <v>33741.1642961045</v>
      </c>
      <c r="J31" s="10">
        <f>Tabella211[[#This Row],[Cum_fit]]+CI</f>
        <v>41071.799852160118</v>
      </c>
      <c r="K31" s="10">
        <f>MAX(Tabella211[[#This Row],[Cum_fit]]-CI,0)</f>
        <v>26410.528740048881</v>
      </c>
      <c r="L31" s="54">
        <f>'dpc-covid19-ita-andamento-naz'!G25</f>
        <v>28710</v>
      </c>
      <c r="M31" s="54">
        <f>'dpc-covid19-ita-andamento-naz'!H25</f>
        <v>2648</v>
      </c>
      <c r="N31" s="54">
        <f>Tabella211[[#This Row],[New_cases_fit]]-Tabella211[[#This Row],[New_Recovered_fit]]-Tabella211[[#This Row],[New_Deaths_fit]]</f>
        <v>3507.3028462755315</v>
      </c>
      <c r="O31" s="10">
        <f>'dpc-covid19-ita-andamento-naz'!J25</f>
        <v>4025</v>
      </c>
      <c r="P31" s="48">
        <f>Tabella211[[#This Row],[Cum_recov]]-O30</f>
        <v>1084</v>
      </c>
      <c r="Q31" s="60">
        <f>Tabella211[[#This Row],[Cum_recov]]*NOT(ISBLANK(Tabella211[[#This Row],[Cum_recov]]))</f>
        <v>4025</v>
      </c>
      <c r="R31" s="50">
        <f>kr*t0r*_xlfn.GAMMA.DIST(Tabella211[[#This Row],[Day]]/t0r,wr+1,1,1)*_xlfn.GAMMA(wr+1)</f>
        <v>4081.385947009343</v>
      </c>
      <c r="S31" s="10">
        <f>kr*((Tabella211[[#This Row],[Day]]/t0r)^wr)*EXP(-(Tabella211[[#This Row],[Day]]/t0r))</f>
        <v>510.93929587034415</v>
      </c>
      <c r="T31" s="60">
        <f>Tabella211[[#This Row],[Cum_R_fit]]*NOT(ISBLANK(Tabella211[[#This Row],[Cum_recov]]))</f>
        <v>4081.385947009343</v>
      </c>
      <c r="U31" s="10">
        <f>Tabella211[[#This Row],[Cum_R_fit]]+CIr</f>
        <v>5103.0575098999489</v>
      </c>
      <c r="V31" s="10">
        <f>MAX(Tabella211[[#This Row],[Cum_R_fit]]-CIr,0)</f>
        <v>3059.7143841187371</v>
      </c>
      <c r="W31" s="10">
        <f>'dpc-covid19-ita-andamento-naz'!K25</f>
        <v>2978</v>
      </c>
      <c r="X31" s="26">
        <f>Tabella211[[#This Row],[Cum_deaths]]-W30</f>
        <v>475</v>
      </c>
      <c r="Y31" s="65">
        <f>Tabella211[[#This Row],[Cum_deaths]]*NOT(ISBLANK(Tabella211[[#This Row],[Cum_deaths]]))</f>
        <v>2978</v>
      </c>
      <c r="Z31" s="50">
        <f>kh*t0h*_xlfn.GAMMA.DIST(Tabella211[[#This Row],[Day]]/t0h,wh+1,1,1)*_xlfn.GAMMA(wh+1)</f>
        <v>2599.1327307689835</v>
      </c>
      <c r="AA31" s="10">
        <f>kh*((Tabella211[[#This Row],[Day]]/t0h)^wh)*EXP(-(Tabella211[[#This Row],[Day]]/t0h))</f>
        <v>480.98325617535363</v>
      </c>
      <c r="AB31" s="65">
        <f>Tabella211[[#This Row],[Cum_D_fit]]*NOT(ISBLANK(Tabella211[[#This Row],[Cum_deaths]]))</f>
        <v>2599.1327307689835</v>
      </c>
      <c r="AC31" s="10">
        <f>Tabella211[[#This Row],[Cum_D_fit]]+CIh</f>
        <v>3481.3797579599022</v>
      </c>
      <c r="AD31" s="10">
        <f>MAX(Tabella211[[#This Row],[Cum_D_fit]]-CIh,0)</f>
        <v>1716.8857035780645</v>
      </c>
      <c r="AE31" s="1"/>
      <c r="AF31" s="23" t="s">
        <v>53</v>
      </c>
      <c r="AG31" s="69" t="s">
        <v>55</v>
      </c>
      <c r="AT31" s="107">
        <f>{0;0;1;100;0;FALSE;TRUE;0.075;0;0;FALSE;30}</f>
        <v>0</v>
      </c>
    </row>
    <row r="32" spans="2:46" x14ac:dyDescent="0.3">
      <c r="B32" s="9">
        <v>43909</v>
      </c>
      <c r="C32" s="4">
        <f t="shared" si="0"/>
        <v>24</v>
      </c>
      <c r="D32" s="10">
        <f>'dpc-covid19-ita-andamento-naz'!L26</f>
        <v>41035</v>
      </c>
      <c r="E32" s="30">
        <f>'dpc-covid19-ita-andamento-naz'!I26</f>
        <v>5322</v>
      </c>
      <c r="F32" s="56">
        <f>Tabella211[[#This Row],[Cum_confirmed]]*NOT(ISBLANK(Tabella211[[#This Row],[Cum_confirmed]]))</f>
        <v>41035</v>
      </c>
      <c r="G32" s="50">
        <f>k*t0*_xlfn.GAMMA.DIST(Tabella211[[#This Row],[Day]]/t0,w+1,1,1)*_xlfn.GAMMA(w+1)</f>
        <v>38358.207022803355</v>
      </c>
      <c r="H32" s="10">
        <f>k*((Tabella211[[#This Row],[Day]]/t0)^w)*EXP(-(Tabella211[[#This Row],[Day]]/t0))</f>
        <v>4729.9213796272743</v>
      </c>
      <c r="I32" s="56">
        <f>Tabella211[[#This Row],[Cum_fit]]*NOT(ISBLANK(Tabella211[[#This Row],[Cum_confirmed]]))</f>
        <v>38358.207022803355</v>
      </c>
      <c r="J32" s="10">
        <f>Tabella211[[#This Row],[Cum_fit]]+CI</f>
        <v>45688.842578858974</v>
      </c>
      <c r="K32" s="10">
        <f>MAX(Tabella211[[#This Row],[Cum_fit]]-CI,0)</f>
        <v>31027.571466747737</v>
      </c>
      <c r="L32" s="54">
        <f>'dpc-covid19-ita-andamento-naz'!G26</f>
        <v>33190</v>
      </c>
      <c r="M32" s="54">
        <f>'dpc-covid19-ita-andamento-naz'!H26</f>
        <v>4480</v>
      </c>
      <c r="N32" s="54">
        <f>Tabella211[[#This Row],[New_cases_fit]]-Tabella211[[#This Row],[New_Recovered_fit]]-Tabella211[[#This Row],[New_Deaths_fit]]</f>
        <v>3646.5597470412408</v>
      </c>
      <c r="O32" s="10">
        <f>'dpc-covid19-ita-andamento-naz'!J26</f>
        <v>4440</v>
      </c>
      <c r="P32" s="48">
        <f>Tabella211[[#This Row],[Cum_recov]]-O31</f>
        <v>415</v>
      </c>
      <c r="Q32" s="60">
        <f>Tabella211[[#This Row],[Cum_recov]]*NOT(ISBLANK(Tabella211[[#This Row],[Cum_recov]]))</f>
        <v>4440</v>
      </c>
      <c r="R32" s="50">
        <f>kr*t0r*_xlfn.GAMMA.DIST(Tabella211[[#This Row],[Day]]/t0r,wr+1,1,1)*_xlfn.GAMMA(wr+1)</f>
        <v>4613.382432702012</v>
      </c>
      <c r="S32" s="10">
        <f>kr*((Tabella211[[#This Row],[Day]]/t0r)^wr)*EXP(-(Tabella211[[#This Row],[Day]]/t0r))</f>
        <v>553.31139470839673</v>
      </c>
      <c r="T32" s="60">
        <f>Tabella211[[#This Row],[Cum_R_fit]]*NOT(ISBLANK(Tabella211[[#This Row],[Cum_recov]]))</f>
        <v>4613.382432702012</v>
      </c>
      <c r="U32" s="10">
        <f>Tabella211[[#This Row],[Cum_R_fit]]+CIr</f>
        <v>5635.0539955926179</v>
      </c>
      <c r="V32" s="10">
        <f>MAX(Tabella211[[#This Row],[Cum_R_fit]]-CIr,0)</f>
        <v>3591.7108698114062</v>
      </c>
      <c r="W32" s="10">
        <f>'dpc-covid19-ita-andamento-naz'!K26</f>
        <v>3405</v>
      </c>
      <c r="X32" s="26">
        <f>Tabella211[[#This Row],[Cum_deaths]]-W31</f>
        <v>427</v>
      </c>
      <c r="Y32" s="65">
        <f>Tabella211[[#This Row],[Cum_deaths]]*NOT(ISBLANK(Tabella211[[#This Row],[Cum_deaths]]))</f>
        <v>3405</v>
      </c>
      <c r="Z32" s="50">
        <f>kh*t0h*_xlfn.GAMMA.DIST(Tabella211[[#This Row],[Day]]/t0h,wh+1,1,1)*_xlfn.GAMMA(wh+1)</f>
        <v>3104.8168908481084</v>
      </c>
      <c r="AA32" s="10">
        <f>kh*((Tabella211[[#This Row],[Day]]/t0h)^wh)*EXP(-(Tabella211[[#This Row],[Day]]/t0h))</f>
        <v>530.05023787763673</v>
      </c>
      <c r="AB32" s="65">
        <f>Tabella211[[#This Row],[Cum_D_fit]]*NOT(ISBLANK(Tabella211[[#This Row],[Cum_deaths]]))</f>
        <v>3104.8168908481084</v>
      </c>
      <c r="AC32" s="10">
        <f>Tabella211[[#This Row],[Cum_D_fit]]+CIh</f>
        <v>3987.0639180390272</v>
      </c>
      <c r="AD32" s="10">
        <f>MAX(Tabella211[[#This Row],[Cum_D_fit]]-CIh,0)</f>
        <v>2222.5698636571897</v>
      </c>
      <c r="AE32" s="1"/>
      <c r="AF32" s="70" t="s">
        <v>108</v>
      </c>
      <c r="AG32" s="71">
        <f>kt</f>
        <v>0.47598161106866466</v>
      </c>
      <c r="AT32" s="107"/>
    </row>
    <row r="33" spans="2:46" ht="16.2" thickBot="1" x14ac:dyDescent="0.4">
      <c r="B33" s="9">
        <v>43910</v>
      </c>
      <c r="C33" s="4">
        <f t="shared" si="0"/>
        <v>25</v>
      </c>
      <c r="D33" s="10">
        <f>'dpc-covid19-ita-andamento-naz'!L27</f>
        <v>47021</v>
      </c>
      <c r="E33" s="30">
        <f>'dpc-covid19-ita-andamento-naz'!I27</f>
        <v>5986</v>
      </c>
      <c r="F33" s="56">
        <f>Tabella211[[#This Row],[Cum_confirmed]]*NOT(ISBLANK(Tabella211[[#This Row],[Cum_confirmed]]))</f>
        <v>47021</v>
      </c>
      <c r="G33" s="50">
        <f>k*t0*_xlfn.GAMMA.DIST(Tabella211[[#This Row],[Day]]/t0,w+1,1,1)*_xlfn.GAMMA(w+1)</f>
        <v>43190.818641041711</v>
      </c>
      <c r="H33" s="10">
        <f>k*((Tabella211[[#This Row],[Day]]/t0)^w)*EXP(-(Tabella211[[#This Row],[Day]]/t0))</f>
        <v>4930.0769764500619</v>
      </c>
      <c r="I33" s="56">
        <f>Tabella211[[#This Row],[Cum_fit]]*NOT(ISBLANK(Tabella211[[#This Row],[Cum_confirmed]]))</f>
        <v>43190.818641041711</v>
      </c>
      <c r="J33" s="10">
        <f>Tabella211[[#This Row],[Cum_fit]]+CI</f>
        <v>50521.45419709733</v>
      </c>
      <c r="K33" s="10">
        <f>MAX(Tabella211[[#This Row],[Cum_fit]]-CI,0)</f>
        <v>35860.183084986093</v>
      </c>
      <c r="L33" s="54">
        <f>'dpc-covid19-ita-andamento-naz'!G27</f>
        <v>37860</v>
      </c>
      <c r="M33" s="54">
        <f>'dpc-covid19-ita-andamento-naz'!H27</f>
        <v>4670</v>
      </c>
      <c r="N33" s="54">
        <f>Tabella211[[#This Row],[New_cases_fit]]-Tabella211[[#This Row],[New_Recovered_fit]]-Tabella211[[#This Row],[New_Deaths_fit]]</f>
        <v>3756.1952930139678</v>
      </c>
      <c r="O33" s="10">
        <f>'dpc-covid19-ita-andamento-naz'!J27</f>
        <v>5129</v>
      </c>
      <c r="P33" s="48">
        <f>Tabella211[[#This Row],[Cum_recov]]-O32</f>
        <v>689</v>
      </c>
      <c r="Q33" s="60">
        <f>Tabella211[[#This Row],[Cum_recov]]*NOT(ISBLANK(Tabella211[[#This Row],[Cum_recov]]))</f>
        <v>5129</v>
      </c>
      <c r="R33" s="50">
        <f>kr*t0r*_xlfn.GAMMA.DIST(Tabella211[[#This Row],[Day]]/t0r,wr+1,1,1)*_xlfn.GAMMA(wr+1)</f>
        <v>5188.5221007575692</v>
      </c>
      <c r="S33" s="10">
        <f>kr*((Tabella211[[#This Row],[Day]]/t0r)^wr)*EXP(-(Tabella211[[#This Row],[Day]]/t0r))</f>
        <v>597.22359858873426</v>
      </c>
      <c r="T33" s="60">
        <f>Tabella211[[#This Row],[Cum_R_fit]]*NOT(ISBLANK(Tabella211[[#This Row],[Cum_recov]]))</f>
        <v>5188.5221007575692</v>
      </c>
      <c r="U33" s="10">
        <f>Tabella211[[#This Row],[Cum_R_fit]]+CIr</f>
        <v>6210.1936636481751</v>
      </c>
      <c r="V33" s="10">
        <f>MAX(Tabella211[[#This Row],[Cum_R_fit]]-CIr,0)</f>
        <v>4166.8505378669634</v>
      </c>
      <c r="W33" s="10">
        <f>'dpc-covid19-ita-andamento-naz'!K27</f>
        <v>4032</v>
      </c>
      <c r="X33" s="26">
        <f>Tabella211[[#This Row],[Cum_deaths]]-W32</f>
        <v>627</v>
      </c>
      <c r="Y33" s="65">
        <f>Tabella211[[#This Row],[Cum_deaths]]*NOT(ISBLANK(Tabella211[[#This Row],[Cum_deaths]]))</f>
        <v>4032</v>
      </c>
      <c r="Z33" s="50">
        <f>kh*t0h*_xlfn.GAMMA.DIST(Tabella211[[#This Row],[Day]]/t0h,wh+1,1,1)*_xlfn.GAMMA(wh+1)</f>
        <v>3658.4124117209003</v>
      </c>
      <c r="AA33" s="10">
        <f>kh*((Tabella211[[#This Row],[Day]]/t0h)^wh)*EXP(-(Tabella211[[#This Row],[Day]]/t0h))</f>
        <v>576.65808484735953</v>
      </c>
      <c r="AB33" s="65">
        <f>Tabella211[[#This Row],[Cum_D_fit]]*NOT(ISBLANK(Tabella211[[#This Row],[Cum_deaths]]))</f>
        <v>3658.4124117209003</v>
      </c>
      <c r="AC33" s="10">
        <f>Tabella211[[#This Row],[Cum_D_fit]]+CIh</f>
        <v>4540.6594389118191</v>
      </c>
      <c r="AD33" s="10">
        <f>MAX(Tabella211[[#This Row],[Cum_D_fit]]-CIh,0)</f>
        <v>2776.1653845299816</v>
      </c>
      <c r="AE33" s="1"/>
      <c r="AF33" s="70" t="s">
        <v>86</v>
      </c>
      <c r="AG33" s="71">
        <f>t0t</f>
        <v>4.589669166567492</v>
      </c>
      <c r="AT33" s="108"/>
    </row>
    <row r="34" spans="2:46" x14ac:dyDescent="0.3">
      <c r="B34" s="9">
        <v>43911</v>
      </c>
      <c r="C34" s="4">
        <f t="shared" si="0"/>
        <v>26</v>
      </c>
      <c r="D34" s="10">
        <f>'dpc-covid19-ita-andamento-naz'!L28</f>
        <v>53578</v>
      </c>
      <c r="E34" s="30">
        <f>'dpc-covid19-ita-andamento-naz'!I28</f>
        <v>6557</v>
      </c>
      <c r="F34" s="56">
        <f>Tabella211[[#This Row],[Cum_confirmed]]*NOT(ISBLANK(Tabella211[[#This Row],[Cum_confirmed]]))</f>
        <v>53578</v>
      </c>
      <c r="G34" s="50">
        <f>k*t0*_xlfn.GAMMA.DIST(Tabella211[[#This Row],[Day]]/t0,w+1,1,1)*_xlfn.GAMMA(w+1)</f>
        <v>48207.721982163923</v>
      </c>
      <c r="H34" s="10">
        <f>k*((Tabella211[[#This Row],[Day]]/t0)^w)*EXP(-(Tabella211[[#This Row],[Day]]/t0))</f>
        <v>5098.3387031947823</v>
      </c>
      <c r="I34" s="56">
        <f>Tabella211[[#This Row],[Cum_fit]]*NOT(ISBLANK(Tabella211[[#This Row],[Cum_confirmed]]))</f>
        <v>48207.721982163923</v>
      </c>
      <c r="J34" s="10">
        <f>Tabella211[[#This Row],[Cum_fit]]+CI</f>
        <v>55538.357538219541</v>
      </c>
      <c r="K34" s="10">
        <f>MAX(Tabella211[[#This Row],[Cum_fit]]-CI,0)</f>
        <v>40877.086426108304</v>
      </c>
      <c r="L34" s="54">
        <f>'dpc-covid19-ita-andamento-naz'!G28</f>
        <v>42681</v>
      </c>
      <c r="M34" s="54">
        <f>'dpc-covid19-ita-andamento-naz'!H28</f>
        <v>4821</v>
      </c>
      <c r="N34" s="54">
        <f>Tabella211[[#This Row],[New_cases_fit]]-Tabella211[[#This Row],[New_Recovered_fit]]-Tabella211[[#This Row],[New_Deaths_fit]]</f>
        <v>3835.7026944898957</v>
      </c>
      <c r="O34" s="10">
        <f>'dpc-covid19-ita-andamento-naz'!J28</f>
        <v>6072</v>
      </c>
      <c r="P34" s="48">
        <f>Tabella211[[#This Row],[Cum_recov]]-O33</f>
        <v>943</v>
      </c>
      <c r="Q34" s="60">
        <f>Tabella211[[#This Row],[Cum_recov]]*NOT(ISBLANK(Tabella211[[#This Row],[Cum_recov]]))</f>
        <v>6072</v>
      </c>
      <c r="R34" s="50">
        <f>kr*t0r*_xlfn.GAMMA.DIST(Tabella211[[#This Row],[Day]]/t0r,wr+1,1,1)*_xlfn.GAMMA(wr+1)</f>
        <v>5808.3389290027235</v>
      </c>
      <c r="S34" s="10">
        <f>kr*((Tabella211[[#This Row],[Day]]/t0r)^wr)*EXP(-(Tabella211[[#This Row],[Day]]/t0r))</f>
        <v>642.66371095619377</v>
      </c>
      <c r="T34" s="60">
        <f>Tabella211[[#This Row],[Cum_R_fit]]*NOT(ISBLANK(Tabella211[[#This Row],[Cum_recov]]))</f>
        <v>5808.3389290027235</v>
      </c>
      <c r="U34" s="10">
        <f>Tabella211[[#This Row],[Cum_R_fit]]+CIr</f>
        <v>6830.0104918933293</v>
      </c>
      <c r="V34" s="10">
        <f>MAX(Tabella211[[#This Row],[Cum_R_fit]]-CIr,0)</f>
        <v>4786.6673661121176</v>
      </c>
      <c r="W34" s="10">
        <f>'dpc-covid19-ita-andamento-naz'!K28</f>
        <v>4825</v>
      </c>
      <c r="X34" s="26">
        <f>Tabella211[[#This Row],[Cum_deaths]]-W33</f>
        <v>793</v>
      </c>
      <c r="Y34" s="65">
        <f>Tabella211[[#This Row],[Cum_deaths]]*NOT(ISBLANK(Tabella211[[#This Row],[Cum_deaths]]))</f>
        <v>4825</v>
      </c>
      <c r="Z34" s="50">
        <f>kh*t0h*_xlfn.GAMMA.DIST(Tabella211[[#This Row],[Day]]/t0h,wh+1,1,1)*_xlfn.GAMMA(wh+1)</f>
        <v>4257.0338643669902</v>
      </c>
      <c r="AA34" s="10">
        <f>kh*((Tabella211[[#This Row],[Day]]/t0h)^wh)*EXP(-(Tabella211[[#This Row],[Day]]/t0h))</f>
        <v>619.97229774869299</v>
      </c>
      <c r="AB34" s="65">
        <f>Tabella211[[#This Row],[Cum_D_fit]]*NOT(ISBLANK(Tabella211[[#This Row],[Cum_deaths]]))</f>
        <v>4257.0338643669902</v>
      </c>
      <c r="AC34" s="10">
        <f>Tabella211[[#This Row],[Cum_D_fit]]+CIh</f>
        <v>5139.2808915579089</v>
      </c>
      <c r="AD34" s="10">
        <f>MAX(Tabella211[[#This Row],[Cum_D_fit]]-CIh,0)</f>
        <v>3374.7868371760715</v>
      </c>
      <c r="AE34" s="1"/>
      <c r="AF34" s="70" t="s">
        <v>1</v>
      </c>
      <c r="AG34" s="71">
        <f>wt</f>
        <v>7.4018518184477351</v>
      </c>
    </row>
    <row r="35" spans="2:46" x14ac:dyDescent="0.3">
      <c r="B35" s="9">
        <v>43912</v>
      </c>
      <c r="C35" s="4">
        <f t="shared" si="0"/>
        <v>27</v>
      </c>
      <c r="D35" s="10">
        <f>'dpc-covid19-ita-andamento-naz'!L29</f>
        <v>59138</v>
      </c>
      <c r="E35" s="30">
        <f>'dpc-covid19-ita-andamento-naz'!I29</f>
        <v>5560</v>
      </c>
      <c r="F35" s="56">
        <f>Tabella211[[#This Row],[Cum_confirmed]]*NOT(ISBLANK(Tabella211[[#This Row],[Cum_confirmed]]))</f>
        <v>59138</v>
      </c>
      <c r="G35" s="50">
        <f>k*t0*_xlfn.GAMMA.DIST(Tabella211[[#This Row],[Day]]/t0,w+1,1,1)*_xlfn.GAMMA(w+1)</f>
        <v>53376.63722328622</v>
      </c>
      <c r="H35" s="10">
        <f>k*((Tabella211[[#This Row],[Day]]/t0)^w)*EXP(-(Tabella211[[#This Row],[Day]]/t0))</f>
        <v>5234.0449029012634</v>
      </c>
      <c r="I35" s="56">
        <f>Tabella211[[#This Row],[Cum_fit]]*NOT(ISBLANK(Tabella211[[#This Row],[Cum_confirmed]]))</f>
        <v>53376.63722328622</v>
      </c>
      <c r="J35" s="10">
        <f>Tabella211[[#This Row],[Cum_fit]]+CI</f>
        <v>60707.272779341838</v>
      </c>
      <c r="K35" s="10">
        <f>MAX(Tabella211[[#This Row],[Cum_fit]]-CI,0)</f>
        <v>46046.001667230601</v>
      </c>
      <c r="L35" s="54">
        <f>'dpc-covid19-ita-andamento-naz'!G29</f>
        <v>46638</v>
      </c>
      <c r="M35" s="54">
        <f>'dpc-covid19-ita-andamento-naz'!H29</f>
        <v>3957</v>
      </c>
      <c r="N35" s="54">
        <f>Tabella211[[#This Row],[New_cases_fit]]-Tabella211[[#This Row],[New_Recovered_fit]]-Tabella211[[#This Row],[New_Deaths_fit]]</f>
        <v>3885.1488885969006</v>
      </c>
      <c r="O35" s="10">
        <f>'dpc-covid19-ita-andamento-naz'!J29</f>
        <v>7024</v>
      </c>
      <c r="P35" s="48">
        <f>Tabella211[[#This Row],[Cum_recov]]-O34</f>
        <v>952</v>
      </c>
      <c r="Q35" s="60">
        <f>Tabella211[[#This Row],[Cum_recov]]*NOT(ISBLANK(Tabella211[[#This Row],[Cum_recov]]))</f>
        <v>7024</v>
      </c>
      <c r="R35" s="50">
        <f>kr*t0r*_xlfn.GAMMA.DIST(Tabella211[[#This Row],[Day]]/t0r,wr+1,1,1)*_xlfn.GAMMA(wr+1)</f>
        <v>6474.3548678505977</v>
      </c>
      <c r="S35" s="10">
        <f>kr*((Tabella211[[#This Row],[Day]]/t0r)^wr)*EXP(-(Tabella211[[#This Row],[Day]]/t0r))</f>
        <v>689.61986915960824</v>
      </c>
      <c r="T35" s="60">
        <f>Tabella211[[#This Row],[Cum_R_fit]]*NOT(ISBLANK(Tabella211[[#This Row],[Cum_recov]]))</f>
        <v>6474.3548678505977</v>
      </c>
      <c r="U35" s="10">
        <f>Tabella211[[#This Row],[Cum_R_fit]]+CIr</f>
        <v>7496.0264307412035</v>
      </c>
      <c r="V35" s="10">
        <f>MAX(Tabella211[[#This Row],[Cum_R_fit]]-CIr,0)</f>
        <v>5452.6833049599918</v>
      </c>
      <c r="W35" s="10">
        <f>'dpc-covid19-ita-andamento-naz'!K29</f>
        <v>5476</v>
      </c>
      <c r="X35" s="26">
        <f>Tabella211[[#This Row],[Cum_deaths]]-W34</f>
        <v>651</v>
      </c>
      <c r="Y35" s="65">
        <f>Tabella211[[#This Row],[Cum_deaths]]*NOT(ISBLANK(Tabella211[[#This Row],[Cum_deaths]]))</f>
        <v>5476</v>
      </c>
      <c r="Z35" s="50">
        <f>kh*t0h*_xlfn.GAMMA.DIST(Tabella211[[#This Row],[Day]]/t0h,wh+1,1,1)*_xlfn.GAMMA(wh+1)</f>
        <v>4897.0187463020611</v>
      </c>
      <c r="AA35" s="10">
        <f>kh*((Tabella211[[#This Row],[Day]]/t0h)^wh)*EXP(-(Tabella211[[#This Row],[Day]]/t0h))</f>
        <v>659.27614514475454</v>
      </c>
      <c r="AB35" s="65">
        <f>Tabella211[[#This Row],[Cum_D_fit]]*NOT(ISBLANK(Tabella211[[#This Row],[Cum_deaths]]))</f>
        <v>4897.0187463020611</v>
      </c>
      <c r="AC35" s="10">
        <f>Tabella211[[#This Row],[Cum_D_fit]]+CIh</f>
        <v>5779.2657734929799</v>
      </c>
      <c r="AD35" s="10">
        <f>MAX(Tabella211[[#This Row],[Cum_D_fit]]-CIh,0)</f>
        <v>4014.7717191111424</v>
      </c>
      <c r="AF35" s="72" t="s">
        <v>2</v>
      </c>
      <c r="AG35" s="35">
        <f>AVERAGE(Tabella211[Cum_deaths])</f>
        <v>6199.520833333333</v>
      </c>
      <c r="AJ35" s="1"/>
    </row>
    <row r="36" spans="2:46" x14ac:dyDescent="0.3">
      <c r="B36" s="22">
        <v>43913</v>
      </c>
      <c r="C36" s="4">
        <f t="shared" si="0"/>
        <v>28</v>
      </c>
      <c r="D36" s="10">
        <f>'dpc-covid19-ita-andamento-naz'!L30</f>
        <v>63927</v>
      </c>
      <c r="E36" s="30">
        <f>'dpc-covid19-ita-andamento-naz'!I30</f>
        <v>4789</v>
      </c>
      <c r="F36" s="56">
        <f>Tabella211[[#This Row],[Cum_confirmed]]*NOT(ISBLANK(Tabella211[[#This Row],[Cum_confirmed]]))</f>
        <v>63927</v>
      </c>
      <c r="G36" s="50">
        <f>k*t0*_xlfn.GAMMA.DIST(Tabella211[[#This Row],[Day]]/t0,w+1,1,1)*_xlfn.GAMMA(w+1)</f>
        <v>58664.942358632987</v>
      </c>
      <c r="H36" s="10">
        <f>k*((Tabella211[[#This Row],[Day]]/t0)^w)*EXP(-(Tabella211[[#This Row],[Day]]/t0))</f>
        <v>5337.1613271794922</v>
      </c>
      <c r="I36" s="56">
        <f>Tabella211[[#This Row],[Cum_fit]]*NOT(ISBLANK(Tabella211[[#This Row],[Cum_confirmed]]))</f>
        <v>58664.942358632987</v>
      </c>
      <c r="J36" s="10">
        <f>Tabella211[[#This Row],[Cum_fit]]+CI</f>
        <v>65995.577914688605</v>
      </c>
      <c r="K36" s="10">
        <f>MAX(Tabella211[[#This Row],[Cum_fit]]-CI,0)</f>
        <v>51334.306802577368</v>
      </c>
      <c r="L36" s="54">
        <f>'dpc-covid19-ita-andamento-naz'!G30</f>
        <v>50418</v>
      </c>
      <c r="M36" s="54">
        <f>'dpc-covid19-ita-andamento-naz'!H30</f>
        <v>3780</v>
      </c>
      <c r="N36" s="54">
        <f>Tabella211[[#This Row],[New_cases_fit]]-Tabella211[[#This Row],[New_Recovered_fit]]-Tabella211[[#This Row],[New_Deaths_fit]]</f>
        <v>3905.0962085117753</v>
      </c>
      <c r="O36" s="10">
        <f>'dpc-covid19-ita-andamento-naz'!J30</f>
        <v>7432</v>
      </c>
      <c r="P36" s="48">
        <f>Tabella211[[#This Row],[Cum_recov]]-O35</f>
        <v>408</v>
      </c>
      <c r="Q36" s="60">
        <f>Tabella211[[#This Row],[Cum_recov]]*NOT(ISBLANK(Tabella211[[#This Row],[Cum_recov]]))</f>
        <v>7432</v>
      </c>
      <c r="R36" s="50">
        <f>kr*t0r*_xlfn.GAMMA.DIST(Tabella211[[#This Row],[Day]]/t0r,wr+1,1,1)*_xlfn.GAMMA(wr+1)</f>
        <v>7188.0801615784694</v>
      </c>
      <c r="S36" s="10">
        <f>kr*((Tabella211[[#This Row],[Day]]/t0r)^wr)*EXP(-(Tabella211[[#This Row],[Day]]/t0r))</f>
        <v>738.08051969466567</v>
      </c>
      <c r="T36" s="60">
        <f>Tabella211[[#This Row],[Cum_R_fit]]*NOT(ISBLANK(Tabella211[[#This Row],[Cum_recov]]))</f>
        <v>7188.0801615784694</v>
      </c>
      <c r="U36" s="10">
        <f>Tabella211[[#This Row],[Cum_R_fit]]+CIr</f>
        <v>8209.7517244690753</v>
      </c>
      <c r="V36" s="10">
        <f>MAX(Tabella211[[#This Row],[Cum_R_fit]]-CIr,0)</f>
        <v>6166.4085986878636</v>
      </c>
      <c r="W36" s="10">
        <f>'dpc-covid19-ita-andamento-naz'!K30</f>
        <v>6077</v>
      </c>
      <c r="X36" s="26">
        <f>Tabella211[[#This Row],[Cum_deaths]]-W35</f>
        <v>601</v>
      </c>
      <c r="Y36" s="65">
        <f>Tabella211[[#This Row],[Cum_deaths]]*NOT(ISBLANK(Tabella211[[#This Row],[Cum_deaths]]))</f>
        <v>6077</v>
      </c>
      <c r="Z36" s="50">
        <f>kh*t0h*_xlfn.GAMMA.DIST(Tabella211[[#This Row],[Day]]/t0h,wh+1,1,1)*_xlfn.GAMMA(wh+1)</f>
        <v>5574.0528059842582</v>
      </c>
      <c r="AA36" s="10">
        <f>kh*((Tabella211[[#This Row],[Day]]/t0h)^wh)*EXP(-(Tabella211[[#This Row],[Day]]/t0h))</f>
        <v>693.98459897305122</v>
      </c>
      <c r="AB36" s="65">
        <f>Tabella211[[#This Row],[Cum_D_fit]]*NOT(ISBLANK(Tabella211[[#This Row],[Cum_deaths]]))</f>
        <v>5574.0528059842582</v>
      </c>
      <c r="AC36" s="10">
        <f>Tabella211[[#This Row],[Cum_D_fit]]+CIh</f>
        <v>6456.2998331751769</v>
      </c>
      <c r="AD36" s="10">
        <f>MAX(Tabella211[[#This Row],[Cum_D_fit]]-CIh,0)</f>
        <v>4691.8057787933394</v>
      </c>
      <c r="AF36" s="72" t="s">
        <v>3</v>
      </c>
      <c r="AG36" s="35">
        <f>COUNT(Tabella211[Cum_deaths])-COUNT(AG32:AG34)</f>
        <v>45</v>
      </c>
    </row>
    <row r="37" spans="2:46" x14ac:dyDescent="0.3">
      <c r="B37" s="9">
        <v>43914</v>
      </c>
      <c r="C37" s="4">
        <f t="shared" si="0"/>
        <v>29</v>
      </c>
      <c r="D37" s="10">
        <f>'dpc-covid19-ita-andamento-naz'!L31</f>
        <v>69176</v>
      </c>
      <c r="E37" s="30">
        <f>'dpc-covid19-ita-andamento-naz'!I31</f>
        <v>5249</v>
      </c>
      <c r="F37" s="56">
        <f>Tabella211[[#This Row],[Cum_confirmed]]*NOT(ISBLANK(Tabella211[[#This Row],[Cum_confirmed]]))</f>
        <v>69176</v>
      </c>
      <c r="G37" s="50">
        <f>k*t0*_xlfn.GAMMA.DIST(Tabella211[[#This Row],[Day]]/t0,w+1,1,1)*_xlfn.GAMMA(w+1)</f>
        <v>64040.264849971296</v>
      </c>
      <c r="H37" s="10">
        <f>k*((Tabella211[[#This Row],[Day]]/t0)^w)*EXP(-(Tabella211[[#This Row],[Day]]/t0))</f>
        <v>5408.2086084537777</v>
      </c>
      <c r="I37" s="56">
        <f>Tabella211[[#This Row],[Cum_fit]]*NOT(ISBLANK(Tabella211[[#This Row],[Cum_confirmed]]))</f>
        <v>64040.264849971296</v>
      </c>
      <c r="J37" s="10">
        <f>Tabella211[[#This Row],[Cum_fit]]+CI</f>
        <v>71370.900406026922</v>
      </c>
      <c r="K37" s="10">
        <f>MAX(Tabella211[[#This Row],[Cum_fit]]-CI,0)</f>
        <v>56709.629293915677</v>
      </c>
      <c r="L37" s="54">
        <f>'dpc-covid19-ita-andamento-naz'!G31</f>
        <v>54030</v>
      </c>
      <c r="M37" s="54">
        <f>'dpc-covid19-ita-andamento-naz'!H31</f>
        <v>3612</v>
      </c>
      <c r="N37" s="54">
        <f>Tabella211[[#This Row],[New_cases_fit]]-Tabella211[[#This Row],[New_Recovered_fit]]-Tabella211[[#This Row],[New_Deaths_fit]]</f>
        <v>3896.5227360639865</v>
      </c>
      <c r="O37" s="10">
        <f>'dpc-covid19-ita-andamento-naz'!J31</f>
        <v>8326</v>
      </c>
      <c r="P37" s="48">
        <f>Tabella211[[#This Row],[Cum_recov]]-O36</f>
        <v>894</v>
      </c>
      <c r="Q37" s="60">
        <f>Tabella211[[#This Row],[Cum_recov]]*NOT(ISBLANK(Tabella211[[#This Row],[Cum_recov]]))</f>
        <v>8326</v>
      </c>
      <c r="R37" s="50">
        <f>kr*t0r*_xlfn.GAMMA.DIST(Tabella211[[#This Row],[Day]]/t0r,wr+1,1,1)*_xlfn.GAMMA(wr+1)</f>
        <v>7951.0136462599348</v>
      </c>
      <c r="S37" s="10">
        <f>kr*((Tabella211[[#This Row],[Day]]/t0r)^wr)*EXP(-(Tabella211[[#This Row],[Day]]/t0r))</f>
        <v>788.03439619812502</v>
      </c>
      <c r="T37" s="60">
        <f>Tabella211[[#This Row],[Cum_R_fit]]*NOT(ISBLANK(Tabella211[[#This Row],[Cum_recov]]))</f>
        <v>7951.0136462599348</v>
      </c>
      <c r="U37" s="10">
        <f>Tabella211[[#This Row],[Cum_R_fit]]+CIr</f>
        <v>8972.6852091505407</v>
      </c>
      <c r="V37" s="10">
        <f>MAX(Tabella211[[#This Row],[Cum_R_fit]]-CIr,0)</f>
        <v>6929.342083369329</v>
      </c>
      <c r="W37" s="10">
        <f>'dpc-covid19-ita-andamento-naz'!K31</f>
        <v>6820</v>
      </c>
      <c r="X37" s="26">
        <f>Tabella211[[#This Row],[Cum_deaths]]-W36</f>
        <v>743</v>
      </c>
      <c r="Y37" s="65">
        <f>Tabella211[[#This Row],[Cum_deaths]]*NOT(ISBLANK(Tabella211[[#This Row],[Cum_deaths]]))</f>
        <v>6820</v>
      </c>
      <c r="Z37" s="50">
        <f>kh*t0h*_xlfn.GAMMA.DIST(Tabella211[[#This Row],[Day]]/t0h,wh+1,1,1)*_xlfn.GAMMA(wh+1)</f>
        <v>6283.3058574138595</v>
      </c>
      <c r="AA37" s="10">
        <f>kh*((Tabella211[[#This Row],[Day]]/t0h)^wh)*EXP(-(Tabella211[[#This Row],[Day]]/t0h))</f>
        <v>723.65147619166612</v>
      </c>
      <c r="AB37" s="65">
        <f>Tabella211[[#This Row],[Cum_D_fit]]*NOT(ISBLANK(Tabella211[[#This Row],[Cum_deaths]]))</f>
        <v>6283.3058574138595</v>
      </c>
      <c r="AC37" s="10">
        <f>Tabella211[[#This Row],[Cum_D_fit]]+CIh</f>
        <v>7165.5528846047782</v>
      </c>
      <c r="AD37" s="10">
        <f>MAX(Tabella211[[#This Row],[Cum_D_fit]]-CIh,0)</f>
        <v>5401.0588302229407</v>
      </c>
      <c r="AF37" s="72" t="s">
        <v>4</v>
      </c>
      <c r="AG37" s="73" cm="1">
        <f t="array" ref="AG37">SQRT(SUM((Tabella211[Colonna5]-Tabella211[Colonna6])^2)/dfh)</f>
        <v>438.03462724976958</v>
      </c>
    </row>
    <row r="38" spans="2:46" ht="16.2" x14ac:dyDescent="0.3">
      <c r="B38" s="9">
        <v>43915</v>
      </c>
      <c r="C38" s="4">
        <f t="shared" si="0"/>
        <v>30</v>
      </c>
      <c r="D38" s="10">
        <f>'dpc-covid19-ita-andamento-naz'!L32</f>
        <v>74386</v>
      </c>
      <c r="E38" s="30">
        <f>'dpc-covid19-ita-andamento-naz'!I32</f>
        <v>5210</v>
      </c>
      <c r="F38" s="56">
        <f>Tabella211[[#This Row],[Cum_confirmed]]*NOT(ISBLANK(Tabella211[[#This Row],[Cum_confirmed]]))</f>
        <v>74386</v>
      </c>
      <c r="G38" s="50">
        <f>k*t0*_xlfn.GAMMA.DIST(Tabella211[[#This Row],[Day]]/t0,w+1,1,1)*_xlfn.GAMMA(w+1)</f>
        <v>69470.998321807594</v>
      </c>
      <c r="H38" s="10">
        <f>k*((Tabella211[[#This Row],[Day]]/t0)^w)*EXP(-(Tabella211[[#This Row],[Day]]/t0))</f>
        <v>5448.1854624466678</v>
      </c>
      <c r="I38" s="56">
        <f>Tabella211[[#This Row],[Cum_fit]]*NOT(ISBLANK(Tabella211[[#This Row],[Cum_confirmed]]))</f>
        <v>69470.998321807594</v>
      </c>
      <c r="J38" s="10">
        <f>Tabella211[[#This Row],[Cum_fit]]+CI</f>
        <v>76801.63387786322</v>
      </c>
      <c r="K38" s="10">
        <f>MAX(Tabella211[[#This Row],[Cum_fit]]-CI,0)</f>
        <v>62140.362765751976</v>
      </c>
      <c r="L38" s="54">
        <f>'dpc-covid19-ita-andamento-naz'!G32</f>
        <v>57521</v>
      </c>
      <c r="M38" s="54">
        <f>'dpc-covid19-ita-andamento-naz'!H32</f>
        <v>3491</v>
      </c>
      <c r="N38" s="54">
        <f>Tabella211[[#This Row],[New_cases_fit]]-Tabella211[[#This Row],[New_Recovered_fit]]-Tabella211[[#This Row],[New_Deaths_fit]]</f>
        <v>3860.7444736403495</v>
      </c>
      <c r="O38" s="10">
        <f>'dpc-covid19-ita-andamento-naz'!J32</f>
        <v>9362</v>
      </c>
      <c r="P38" s="48">
        <f>Tabella211[[#This Row],[Cum_recov]]-O37</f>
        <v>1036</v>
      </c>
      <c r="Q38" s="60">
        <f>Tabella211[[#This Row],[Cum_recov]]*NOT(ISBLANK(Tabella211[[#This Row],[Cum_recov]]))</f>
        <v>9362</v>
      </c>
      <c r="R38" s="50">
        <f>kr*t0r*_xlfn.GAMMA.DIST(Tabella211[[#This Row],[Day]]/t0r,wr+1,1,1)*_xlfn.GAMMA(wr+1)</f>
        <v>8764.6430269001394</v>
      </c>
      <c r="S38" s="10">
        <f>kr*((Tabella211[[#This Row],[Day]]/t0r)^wr)*EXP(-(Tabella211[[#This Row],[Day]]/t0r))</f>
        <v>839.47049980014435</v>
      </c>
      <c r="T38" s="60">
        <f>Tabella211[[#This Row],[Cum_R_fit]]*NOT(ISBLANK(Tabella211[[#This Row],[Cum_recov]]))</f>
        <v>8764.6430269001394</v>
      </c>
      <c r="U38" s="10">
        <f>Tabella211[[#This Row],[Cum_R_fit]]+CIr</f>
        <v>9786.3145897907452</v>
      </c>
      <c r="V38" s="10">
        <f>MAX(Tabella211[[#This Row],[Cum_R_fit]]-CIr,0)</f>
        <v>7742.9714640095335</v>
      </c>
      <c r="W38" s="10">
        <f>'dpc-covid19-ita-andamento-naz'!K32</f>
        <v>7503</v>
      </c>
      <c r="X38" s="26">
        <f>Tabella211[[#This Row],[Cum_deaths]]-W37</f>
        <v>683</v>
      </c>
      <c r="Y38" s="65">
        <f>Tabella211[[#This Row],[Cum_deaths]]*NOT(ISBLANK(Tabella211[[#This Row],[Cum_deaths]]))</f>
        <v>7503</v>
      </c>
      <c r="Z38" s="50">
        <f>kh*t0h*_xlfn.GAMMA.DIST(Tabella211[[#This Row],[Day]]/t0h,wh+1,1,1)*_xlfn.GAMMA(wh+1)</f>
        <v>7019.5716230974658</v>
      </c>
      <c r="AA38" s="10">
        <f>kh*((Tabella211[[#This Row],[Day]]/t0h)^wh)*EXP(-(Tabella211[[#This Row],[Day]]/t0h))</f>
        <v>747.97048900617369</v>
      </c>
      <c r="AB38" s="65">
        <f>Tabella211[[#This Row],[Cum_D_fit]]*NOT(ISBLANK(Tabella211[[#This Row],[Cum_deaths]]))</f>
        <v>7019.5716230974658</v>
      </c>
      <c r="AC38" s="10">
        <f>Tabella211[[#This Row],[Cum_D_fit]]+CIh</f>
        <v>7901.8186502883846</v>
      </c>
      <c r="AD38" s="10">
        <f>MAX(Tabella211[[#This Row],[Cum_D_fit]]-CIh,0)</f>
        <v>6137.3245959065471</v>
      </c>
      <c r="AF38" s="72" t="s">
        <v>87</v>
      </c>
      <c r="AG38" s="74" cm="1">
        <f t="array" ref="AG38">1-SUM((Tabella211[Colonna5]-Tabella211[Colonna6])^2)/SUM((Tabella211[Colonna5]-Mean_of_yh)^2)</f>
        <v>0.99708540012650482</v>
      </c>
    </row>
    <row r="39" spans="2:46" x14ac:dyDescent="0.3">
      <c r="B39" s="9">
        <v>43916</v>
      </c>
      <c r="C39" s="4">
        <f t="shared" si="0"/>
        <v>31</v>
      </c>
      <c r="D39" s="10">
        <f>'dpc-covid19-ita-andamento-naz'!L33</f>
        <v>80539</v>
      </c>
      <c r="E39" s="30">
        <f>'dpc-covid19-ita-andamento-naz'!I33</f>
        <v>6153</v>
      </c>
      <c r="F39" s="56">
        <f>Tabella211[[#This Row],[Cum_confirmed]]*NOT(ISBLANK(Tabella211[[#This Row],[Cum_confirmed]]))</f>
        <v>80539</v>
      </c>
      <c r="G39" s="50">
        <f>k*t0*_xlfn.GAMMA.DIST(Tabella211[[#This Row],[Day]]/t0,w+1,1,1)*_xlfn.GAMMA(w+1)</f>
        <v>74926.741679377112</v>
      </c>
      <c r="H39" s="10">
        <f>k*((Tabella211[[#This Row],[Day]]/t0)^w)*EXP(-(Tabella211[[#This Row],[Day]]/t0))</f>
        <v>5458.4908095228848</v>
      </c>
      <c r="I39" s="56">
        <f>Tabella211[[#This Row],[Cum_fit]]*NOT(ISBLANK(Tabella211[[#This Row],[Cum_confirmed]]))</f>
        <v>74926.741679377112</v>
      </c>
      <c r="J39" s="10">
        <f>Tabella211[[#This Row],[Cum_fit]]+CI</f>
        <v>82257.377235432738</v>
      </c>
      <c r="K39" s="10">
        <f>MAX(Tabella211[[#This Row],[Cum_fit]]-CI,0)</f>
        <v>67596.106123321486</v>
      </c>
      <c r="L39" s="54">
        <f>'dpc-covid19-ita-andamento-naz'!G33</f>
        <v>62013</v>
      </c>
      <c r="M39" s="54">
        <f>'dpc-covid19-ita-andamento-naz'!H33</f>
        <v>4492</v>
      </c>
      <c r="N39" s="54">
        <f>Tabella211[[#This Row],[New_cases_fit]]-Tabella211[[#This Row],[New_Recovered_fit]]-Tabella211[[#This Row],[New_Deaths_fit]]</f>
        <v>3799.3416399816679</v>
      </c>
      <c r="O39" s="10">
        <f>'dpc-covid19-ita-andamento-naz'!J33</f>
        <v>10361</v>
      </c>
      <c r="P39" s="48">
        <f>Tabella211[[#This Row],[Cum_recov]]-O38</f>
        <v>999</v>
      </c>
      <c r="Q39" s="60">
        <f>Tabella211[[#This Row],[Cum_recov]]*NOT(ISBLANK(Tabella211[[#This Row],[Cum_recov]]))</f>
        <v>10361</v>
      </c>
      <c r="R39" s="50">
        <f>kr*t0r*_xlfn.GAMMA.DIST(Tabella211[[#This Row],[Day]]/t0r,wr+1,1,1)*_xlfn.GAMMA(wr+1)</f>
        <v>9630.4451359643263</v>
      </c>
      <c r="S39" s="10">
        <f>kr*((Tabella211[[#This Row],[Day]]/t0r)^wr)*EXP(-(Tabella211[[#This Row],[Day]]/t0r))</f>
        <v>892.378081509205</v>
      </c>
      <c r="T39" s="60">
        <f>Tabella211[[#This Row],[Cum_R_fit]]*NOT(ISBLANK(Tabella211[[#This Row],[Cum_recov]]))</f>
        <v>9630.4451359643263</v>
      </c>
      <c r="U39" s="10">
        <f>Tabella211[[#This Row],[Cum_R_fit]]+CIr</f>
        <v>10652.116698854932</v>
      </c>
      <c r="V39" s="10">
        <f>MAX(Tabella211[[#This Row],[Cum_R_fit]]-CIr,0)</f>
        <v>8608.7735730737204</v>
      </c>
      <c r="W39" s="10">
        <f>'dpc-covid19-ita-andamento-naz'!K33</f>
        <v>8165</v>
      </c>
      <c r="X39" s="26">
        <f>Tabella211[[#This Row],[Cum_deaths]]-W38</f>
        <v>662</v>
      </c>
      <c r="Y39" s="65">
        <f>Tabella211[[#This Row],[Cum_deaths]]*NOT(ISBLANK(Tabella211[[#This Row],[Cum_deaths]]))</f>
        <v>8165</v>
      </c>
      <c r="Z39" s="50">
        <f>kh*t0h*_xlfn.GAMMA.DIST(Tabella211[[#This Row],[Day]]/t0h,wh+1,1,1)*_xlfn.GAMMA(wh+1)</f>
        <v>7777.4059448697435</v>
      </c>
      <c r="AA39" s="10">
        <f>kh*((Tabella211[[#This Row],[Day]]/t0h)^wh)*EXP(-(Tabella211[[#This Row],[Day]]/t0h))</f>
        <v>766.77108803201179</v>
      </c>
      <c r="AB39" s="65">
        <f>Tabella211[[#This Row],[Cum_D_fit]]*NOT(ISBLANK(Tabella211[[#This Row],[Cum_deaths]]))</f>
        <v>7777.4059448697435</v>
      </c>
      <c r="AC39" s="10">
        <f>Tabella211[[#This Row],[Cum_D_fit]]+CIh</f>
        <v>8659.6529720606632</v>
      </c>
      <c r="AD39" s="10">
        <f>MAX(Tabella211[[#This Row],[Cum_D_fit]]-CIh,0)</f>
        <v>6895.1589176788248</v>
      </c>
      <c r="AF39" s="72" t="s">
        <v>6</v>
      </c>
      <c r="AG39" s="74">
        <f>TINV(0.05,dfh)</f>
        <v>2.0141033888808457</v>
      </c>
    </row>
    <row r="40" spans="2:46" x14ac:dyDescent="0.3">
      <c r="B40" s="9">
        <v>43917</v>
      </c>
      <c r="C40" s="4">
        <f t="shared" si="0"/>
        <v>32</v>
      </c>
      <c r="D40" s="10">
        <f>'dpc-covid19-ita-andamento-naz'!L34</f>
        <v>86498</v>
      </c>
      <c r="E40" s="30">
        <f>'dpc-covid19-ita-andamento-naz'!I34</f>
        <v>5959</v>
      </c>
      <c r="F40" s="56">
        <f>Tabella211[[#This Row],[Cum_confirmed]]*NOT(ISBLANK(Tabella211[[#This Row],[Cum_confirmed]]))</f>
        <v>86498</v>
      </c>
      <c r="G40" s="50">
        <f>k*t0*_xlfn.GAMMA.DIST(Tabella211[[#This Row],[Day]]/t0,w+1,1,1)*_xlfn.GAMMA(w+1)</f>
        <v>80378.660900626346</v>
      </c>
      <c r="H40" s="10">
        <f>k*((Tabella211[[#This Row],[Day]]/t0)^w)*EXP(-(Tabella211[[#This Row],[Day]]/t0))</f>
        <v>5440.8473787456523</v>
      </c>
      <c r="I40" s="56">
        <f>Tabella211[[#This Row],[Cum_fit]]*NOT(ISBLANK(Tabella211[[#This Row],[Cum_confirmed]]))</f>
        <v>80378.660900626346</v>
      </c>
      <c r="J40" s="10">
        <f>Tabella211[[#This Row],[Cum_fit]]+CI</f>
        <v>87709.296456681972</v>
      </c>
      <c r="K40" s="10">
        <f>MAX(Tabella211[[#This Row],[Cum_fit]]-CI,0)</f>
        <v>73048.02534457072</v>
      </c>
      <c r="L40" s="54">
        <f>'dpc-covid19-ita-andamento-naz'!G34</f>
        <v>66414</v>
      </c>
      <c r="M40" s="54">
        <f>'dpc-covid19-ita-andamento-naz'!H34</f>
        <v>4401</v>
      </c>
      <c r="N40" s="54">
        <f>Tabella211[[#This Row],[New_cases_fit]]-Tabella211[[#This Row],[New_Recovered_fit]]-Tabella211[[#This Row],[New_Deaths_fit]]</f>
        <v>3714.0906758957631</v>
      </c>
      <c r="O40" s="10">
        <f>'dpc-covid19-ita-andamento-naz'!J34</f>
        <v>10950</v>
      </c>
      <c r="P40" s="48">
        <f>Tabella211[[#This Row],[Cum_recov]]-O39</f>
        <v>589</v>
      </c>
      <c r="Q40" s="60">
        <f>Tabella211[[#This Row],[Cum_recov]]*NOT(ISBLANK(Tabella211[[#This Row],[Cum_recov]]))</f>
        <v>10950</v>
      </c>
      <c r="R40" s="50">
        <f>kr*t0r*_xlfn.GAMMA.DIST(Tabella211[[#This Row],[Day]]/t0r,wr+1,1,1)*_xlfn.GAMMA(wr+1)</f>
        <v>10549.886175192509</v>
      </c>
      <c r="S40" s="10">
        <f>kr*((Tabella211[[#This Row],[Day]]/t0r)^wr)*EXP(-(Tabella211[[#This Row],[Day]]/t0r))</f>
        <v>946.74662635833897</v>
      </c>
      <c r="T40" s="60">
        <f>Tabella211[[#This Row],[Cum_R_fit]]*NOT(ISBLANK(Tabella211[[#This Row],[Cum_recov]]))</f>
        <v>10549.886175192509</v>
      </c>
      <c r="U40" s="10">
        <f>Tabella211[[#This Row],[Cum_R_fit]]+CIr</f>
        <v>11571.557738083115</v>
      </c>
      <c r="V40" s="10">
        <f>MAX(Tabella211[[#This Row],[Cum_R_fit]]-CIr,0)</f>
        <v>9528.2146123019029</v>
      </c>
      <c r="W40" s="10">
        <f>'dpc-covid19-ita-andamento-naz'!K34</f>
        <v>9134</v>
      </c>
      <c r="X40" s="26">
        <f>Tabella211[[#This Row],[Cum_deaths]]-W39</f>
        <v>969</v>
      </c>
      <c r="Y40" s="65">
        <f>Tabella211[[#This Row],[Cum_deaths]]*NOT(ISBLANK(Tabella211[[#This Row],[Cum_deaths]]))</f>
        <v>9134</v>
      </c>
      <c r="Z40" s="50">
        <f>kh*t0h*_xlfn.GAMMA.DIST(Tabella211[[#This Row],[Day]]/t0h,wh+1,1,1)*_xlfn.GAMMA(wh+1)</f>
        <v>8551.2586400254404</v>
      </c>
      <c r="AA40" s="10">
        <f>kh*((Tabella211[[#This Row],[Day]]/t0h)^wh)*EXP(-(Tabella211[[#This Row],[Day]]/t0h))</f>
        <v>780.01007649154997</v>
      </c>
      <c r="AB40" s="65">
        <f>Tabella211[[#This Row],[Cum_D_fit]]*NOT(ISBLANK(Tabella211[[#This Row],[Cum_deaths]]))</f>
        <v>8551.2586400254404</v>
      </c>
      <c r="AC40" s="10">
        <f>Tabella211[[#This Row],[Cum_D_fit]]+CIh</f>
        <v>9433.5056672163591</v>
      </c>
      <c r="AD40" s="10">
        <f>MAX(Tabella211[[#This Row],[Cum_D_fit]]-CIh,0)</f>
        <v>7669.0116128345217</v>
      </c>
      <c r="AF40" s="72" t="s">
        <v>7</v>
      </c>
      <c r="AG40" s="35">
        <f>Critical_th*SE_of_yh</f>
        <v>882.24702719091897</v>
      </c>
    </row>
    <row r="41" spans="2:46" x14ac:dyDescent="0.3">
      <c r="B41" s="9">
        <v>43918</v>
      </c>
      <c r="C41" s="4">
        <f t="shared" si="0"/>
        <v>33</v>
      </c>
      <c r="D41" s="10">
        <f>'dpc-covid19-ita-andamento-naz'!L35</f>
        <v>92472</v>
      </c>
      <c r="E41" s="30">
        <f>'dpc-covid19-ita-andamento-naz'!I35</f>
        <v>5974</v>
      </c>
      <c r="F41" s="56">
        <f>Tabella211[[#This Row],[Cum_confirmed]]*NOT(ISBLANK(Tabella211[[#This Row],[Cum_confirmed]]))</f>
        <v>92472</v>
      </c>
      <c r="G41" s="50">
        <f>k*t0*_xlfn.GAMMA.DIST(Tabella211[[#This Row],[Day]]/t0,w+1,1,1)*_xlfn.GAMMA(w+1)</f>
        <v>85799.776023257815</v>
      </c>
      <c r="H41" s="10">
        <f>k*((Tabella211[[#This Row],[Day]]/t0)^w)*EXP(-(Tabella211[[#This Row],[Day]]/t0))</f>
        <v>5397.2287794506301</v>
      </c>
      <c r="I41" s="56">
        <f>Tabella211[[#This Row],[Cum_fit]]*NOT(ISBLANK(Tabella211[[#This Row],[Cum_confirmed]]))</f>
        <v>85799.776023257815</v>
      </c>
      <c r="J41" s="10">
        <f>Tabella211[[#This Row],[Cum_fit]]+CI</f>
        <v>93130.411579313441</v>
      </c>
      <c r="K41" s="10">
        <f>MAX(Tabella211[[#This Row],[Cum_fit]]-CI,0)</f>
        <v>78469.140467202189</v>
      </c>
      <c r="L41" s="54">
        <f>'dpc-covid19-ita-andamento-naz'!G35</f>
        <v>70065</v>
      </c>
      <c r="M41" s="54">
        <f>'dpc-covid19-ita-andamento-naz'!H35</f>
        <v>3651</v>
      </c>
      <c r="N41" s="54">
        <f>Tabella211[[#This Row],[New_cases_fit]]-Tabella211[[#This Row],[New_Recovered_fit]]-Tabella211[[#This Row],[New_Deaths_fit]]</f>
        <v>3606.9029459040012</v>
      </c>
      <c r="O41" s="10">
        <f>'dpc-covid19-ita-andamento-naz'!J35</f>
        <v>12384</v>
      </c>
      <c r="P41" s="48">
        <f>Tabella211[[#This Row],[Cum_recov]]-O40</f>
        <v>1434</v>
      </c>
      <c r="Q41" s="60">
        <f>Tabella211[[#This Row],[Cum_recov]]*NOT(ISBLANK(Tabella211[[#This Row],[Cum_recov]]))</f>
        <v>12384</v>
      </c>
      <c r="R41" s="50">
        <f>kr*t0r*_xlfn.GAMMA.DIST(Tabella211[[#This Row],[Day]]/t0r,wr+1,1,1)*_xlfn.GAMMA(wr+1)</f>
        <v>11524.421942344805</v>
      </c>
      <c r="S41" s="10">
        <f>kr*((Tabella211[[#This Row],[Day]]/t0r)^wr)*EXP(-(Tabella211[[#This Row],[Day]]/t0r))</f>
        <v>1002.5658390851275</v>
      </c>
      <c r="T41" s="60">
        <f>Tabella211[[#This Row],[Cum_R_fit]]*NOT(ISBLANK(Tabella211[[#This Row],[Cum_recov]]))</f>
        <v>11524.421942344805</v>
      </c>
      <c r="U41" s="10">
        <f>Tabella211[[#This Row],[Cum_R_fit]]+CIr</f>
        <v>12546.093505235411</v>
      </c>
      <c r="V41" s="10">
        <f>MAX(Tabella211[[#This Row],[Cum_R_fit]]-CIr,0)</f>
        <v>10502.750379454199</v>
      </c>
      <c r="W41" s="10">
        <f>'dpc-covid19-ita-andamento-naz'!K35</f>
        <v>10023</v>
      </c>
      <c r="X41" s="26">
        <f>Tabella211[[#This Row],[Cum_deaths]]-W40</f>
        <v>889</v>
      </c>
      <c r="Y41" s="65">
        <f>Tabella211[[#This Row],[Cum_deaths]]*NOT(ISBLANK(Tabella211[[#This Row],[Cum_deaths]]))</f>
        <v>10023</v>
      </c>
      <c r="Z41" s="50">
        <f>kh*t0h*_xlfn.GAMMA.DIST(Tabella211[[#This Row],[Day]]/t0h,wh+1,1,1)*_xlfn.GAMMA(wh+1)</f>
        <v>9335.5952741700858</v>
      </c>
      <c r="AA41" s="10">
        <f>kh*((Tabella211[[#This Row],[Day]]/t0h)^wh)*EXP(-(Tabella211[[#This Row],[Day]]/t0h))</f>
        <v>787.75999446150126</v>
      </c>
      <c r="AB41" s="65">
        <f>Tabella211[[#This Row],[Cum_D_fit]]*NOT(ISBLANK(Tabella211[[#This Row],[Cum_deaths]]))</f>
        <v>9335.5952741700858</v>
      </c>
      <c r="AC41" s="10">
        <f>Tabella211[[#This Row],[Cum_D_fit]]+CIh</f>
        <v>10217.842301361005</v>
      </c>
      <c r="AD41" s="10">
        <f>MAX(Tabella211[[#This Row],[Cum_D_fit]]-CIh,0)</f>
        <v>8453.348246979167</v>
      </c>
      <c r="AF41" s="34" t="s">
        <v>99</v>
      </c>
      <c r="AG41" s="35">
        <f>kh*t0h*_xlfn.GAMMA(wh+1)</f>
        <v>25012.869902129798</v>
      </c>
    </row>
    <row r="42" spans="2:46" x14ac:dyDescent="0.3">
      <c r="B42" s="9">
        <v>43919</v>
      </c>
      <c r="C42" s="4">
        <f t="shared" si="0"/>
        <v>34</v>
      </c>
      <c r="D42" s="10">
        <f>'dpc-covid19-ita-andamento-naz'!L36</f>
        <v>97689</v>
      </c>
      <c r="E42" s="30">
        <f>'dpc-covid19-ita-andamento-naz'!I36</f>
        <v>5217</v>
      </c>
      <c r="F42" s="56">
        <f>Tabella211[[#This Row],[Cum_confirmed]]*NOT(ISBLANK(Tabella211[[#This Row],[Cum_confirmed]]))</f>
        <v>97689</v>
      </c>
      <c r="G42" s="50">
        <f>k*t0*_xlfn.GAMMA.DIST(Tabella211[[#This Row],[Day]]/t0,w+1,1,1)*_xlfn.GAMMA(w+1)</f>
        <v>91165.177567266073</v>
      </c>
      <c r="H42" s="10">
        <f>k*((Tabella211[[#This Row],[Day]]/t0)^w)*EXP(-(Tabella211[[#This Row],[Day]]/t0))</f>
        <v>5329.7915047492615</v>
      </c>
      <c r="I42" s="56">
        <f>Tabella211[[#This Row],[Cum_fit]]*NOT(ISBLANK(Tabella211[[#This Row],[Cum_confirmed]]))</f>
        <v>91165.177567266073</v>
      </c>
      <c r="J42" s="10">
        <f>Tabella211[[#This Row],[Cum_fit]]+CI</f>
        <v>98495.813123321699</v>
      </c>
      <c r="K42" s="10">
        <f>MAX(Tabella211[[#This Row],[Cum_fit]]-CI,0)</f>
        <v>83834.542011210448</v>
      </c>
      <c r="L42" s="54">
        <f>'dpc-covid19-ita-andamento-naz'!G36</f>
        <v>73880</v>
      </c>
      <c r="M42" s="54">
        <f>'dpc-covid19-ita-andamento-naz'!H36</f>
        <v>3815</v>
      </c>
      <c r="N42" s="54">
        <f>Tabella211[[#This Row],[New_cases_fit]]-Tabella211[[#This Row],[New_Recovered_fit]]-Tabella211[[#This Row],[New_Deaths_fit]]</f>
        <v>3479.770637240767</v>
      </c>
      <c r="O42" s="10">
        <f>'dpc-covid19-ita-andamento-naz'!J36</f>
        <v>13030</v>
      </c>
      <c r="P42" s="48">
        <f>Tabella211[[#This Row],[Cum_recov]]-O41</f>
        <v>646</v>
      </c>
      <c r="Q42" s="60">
        <f>Tabella211[[#This Row],[Cum_recov]]*NOT(ISBLANK(Tabella211[[#This Row],[Cum_recov]]))</f>
        <v>13030</v>
      </c>
      <c r="R42" s="50">
        <f>kr*t0r*_xlfn.GAMMA.DIST(Tabella211[[#This Row],[Day]]/t0r,wr+1,1,1)*_xlfn.GAMMA(wr+1)</f>
        <v>12555.498044312126</v>
      </c>
      <c r="S42" s="10">
        <f>kr*((Tabella211[[#This Row],[Day]]/t0r)^wr)*EXP(-(Tabella211[[#This Row],[Day]]/t0r))</f>
        <v>1059.8256311534626</v>
      </c>
      <c r="T42" s="60">
        <f>Tabella211[[#This Row],[Cum_R_fit]]*NOT(ISBLANK(Tabella211[[#This Row],[Cum_recov]]))</f>
        <v>12555.498044312126</v>
      </c>
      <c r="U42" s="10">
        <f>Tabella211[[#This Row],[Cum_R_fit]]+CIr</f>
        <v>13577.169607202732</v>
      </c>
      <c r="V42" s="10">
        <f>MAX(Tabella211[[#This Row],[Cum_R_fit]]-CIr,0)</f>
        <v>11533.82648142152</v>
      </c>
      <c r="W42" s="10">
        <f>'dpc-covid19-ita-andamento-naz'!K36</f>
        <v>10779</v>
      </c>
      <c r="X42" s="26">
        <f>Tabella211[[#This Row],[Cum_deaths]]-W41</f>
        <v>756</v>
      </c>
      <c r="Y42" s="65">
        <f>Tabella211[[#This Row],[Cum_deaths]]*NOT(ISBLANK(Tabella211[[#This Row],[Cum_deaths]]))</f>
        <v>10779</v>
      </c>
      <c r="Z42" s="50">
        <f>kh*t0h*_xlfn.GAMMA.DIST(Tabella211[[#This Row],[Day]]/t0h,wh+1,1,1)*_xlfn.GAMMA(wh+1)</f>
        <v>10125.006107364967</v>
      </c>
      <c r="AA42" s="10">
        <f>kh*((Tabella211[[#This Row],[Day]]/t0h)^wh)*EXP(-(Tabella211[[#This Row],[Day]]/t0h))</f>
        <v>790.19523635503219</v>
      </c>
      <c r="AB42" s="65">
        <f>Tabella211[[#This Row],[Cum_D_fit]]*NOT(ISBLANK(Tabella211[[#This Row],[Cum_deaths]]))</f>
        <v>10125.006107364967</v>
      </c>
      <c r="AC42" s="10">
        <f>Tabella211[[#This Row],[Cum_D_fit]]+CIh</f>
        <v>11007.253134555885</v>
      </c>
      <c r="AD42" s="10">
        <f>MAX(Tabella211[[#This Row],[Cum_D_fit]]-CIh,0)</f>
        <v>9242.759080174048</v>
      </c>
      <c r="AF42" s="34"/>
      <c r="AG42" s="81"/>
    </row>
    <row r="43" spans="2:46" x14ac:dyDescent="0.3">
      <c r="B43" s="9">
        <v>43920</v>
      </c>
      <c r="C43" s="4">
        <f t="shared" si="0"/>
        <v>35</v>
      </c>
      <c r="D43" s="10">
        <f>'dpc-covid19-ita-andamento-naz'!L37</f>
        <v>101739</v>
      </c>
      <c r="E43" s="30">
        <f>'dpc-covid19-ita-andamento-naz'!I37</f>
        <v>4050</v>
      </c>
      <c r="F43" s="56">
        <f>Tabella211[[#This Row],[Cum_confirmed]]*NOT(ISBLANK(Tabella211[[#This Row],[Cum_confirmed]]))</f>
        <v>101739</v>
      </c>
      <c r="G43" s="50">
        <f>k*t0*_xlfn.GAMMA.DIST(Tabella211[[#This Row],[Day]]/t0,w+1,1,1)*_xlfn.GAMMA(w+1)</f>
        <v>96452.17786465543</v>
      </c>
      <c r="H43" s="10">
        <f>k*((Tabella211[[#This Row],[Day]]/t0)^w)*EXP(-(Tabella211[[#This Row],[Day]]/t0))</f>
        <v>5240.8128762099104</v>
      </c>
      <c r="I43" s="56">
        <f>Tabella211[[#This Row],[Cum_fit]]*NOT(ISBLANK(Tabella211[[#This Row],[Cum_confirmed]]))</f>
        <v>96452.17786465543</v>
      </c>
      <c r="J43" s="10">
        <f>Tabella211[[#This Row],[Cum_fit]]+CI</f>
        <v>103782.81342071106</v>
      </c>
      <c r="K43" s="10">
        <f>MAX(Tabella211[[#This Row],[Cum_fit]]-CI,0)</f>
        <v>89121.542308599805</v>
      </c>
      <c r="L43" s="54">
        <f>'dpc-covid19-ita-andamento-naz'!G37</f>
        <v>75528</v>
      </c>
      <c r="M43" s="54">
        <f>'dpc-covid19-ita-andamento-naz'!H37</f>
        <v>1648</v>
      </c>
      <c r="N43" s="54">
        <f>Tabella211[[#This Row],[New_cases_fit]]-Tabella211[[#This Row],[New_Recovered_fit]]-Tabella211[[#This Row],[New_Deaths_fit]]</f>
        <v>3334.7199795506049</v>
      </c>
      <c r="O43" s="10">
        <f>'dpc-covid19-ita-andamento-naz'!J37</f>
        <v>14620</v>
      </c>
      <c r="P43" s="48">
        <f>Tabella211[[#This Row],[Cum_recov]]-O42</f>
        <v>1590</v>
      </c>
      <c r="Q43" s="60">
        <f>Tabella211[[#This Row],[Cum_recov]]*NOT(ISBLANK(Tabella211[[#This Row],[Cum_recov]]))</f>
        <v>14620</v>
      </c>
      <c r="R43" s="50">
        <f>kr*t0r*_xlfn.GAMMA.DIST(Tabella211[[#This Row],[Day]]/t0r,wr+1,1,1)*_xlfn.GAMMA(wr+1)</f>
        <v>13644.550097850766</v>
      </c>
      <c r="S43" s="10">
        <f>kr*((Tabella211[[#This Row],[Day]]/t0r)^wr)*EXP(-(Tabella211[[#This Row],[Day]]/t0r))</f>
        <v>1118.516108954188</v>
      </c>
      <c r="T43" s="60">
        <f>Tabella211[[#This Row],[Cum_R_fit]]*NOT(ISBLANK(Tabella211[[#This Row],[Cum_recov]]))</f>
        <v>13644.550097850766</v>
      </c>
      <c r="U43" s="10">
        <f>Tabella211[[#This Row],[Cum_R_fit]]+CIr</f>
        <v>14666.221660741372</v>
      </c>
      <c r="V43" s="10">
        <f>MAX(Tabella211[[#This Row],[Cum_R_fit]]-CIr,0)</f>
        <v>12622.87853496016</v>
      </c>
      <c r="W43" s="10">
        <f>'dpc-covid19-ita-andamento-naz'!K37</f>
        <v>11591</v>
      </c>
      <c r="X43" s="26">
        <f>Tabella211[[#This Row],[Cum_deaths]]-W42</f>
        <v>812</v>
      </c>
      <c r="Y43" s="65">
        <f>Tabella211[[#This Row],[Cum_deaths]]*NOT(ISBLANK(Tabella211[[#This Row],[Cum_deaths]]))</f>
        <v>11591</v>
      </c>
      <c r="Z43" s="50">
        <f>kh*t0h*_xlfn.GAMMA.DIST(Tabella211[[#This Row],[Day]]/t0h,wh+1,1,1)*_xlfn.GAMMA(wh+1)</f>
        <v>10914.300397598443</v>
      </c>
      <c r="AA43" s="10">
        <f>kh*((Tabella211[[#This Row],[Day]]/t0h)^wh)*EXP(-(Tabella211[[#This Row],[Day]]/t0h))</f>
        <v>787.57678770511734</v>
      </c>
      <c r="AB43" s="65">
        <f>Tabella211[[#This Row],[Cum_D_fit]]*NOT(ISBLANK(Tabella211[[#This Row],[Cum_deaths]]))</f>
        <v>10914.300397598443</v>
      </c>
      <c r="AC43" s="10">
        <f>Tabella211[[#This Row],[Cum_D_fit]]+CIh</f>
        <v>11796.547424789362</v>
      </c>
      <c r="AD43" s="10">
        <f>MAX(Tabella211[[#This Row],[Cum_D_fit]]-CIh,0)</f>
        <v>10032.053370407524</v>
      </c>
    </row>
    <row r="44" spans="2:46" x14ac:dyDescent="0.3">
      <c r="B44" s="9">
        <v>43921</v>
      </c>
      <c r="C44" s="4">
        <f t="shared" si="0"/>
        <v>36</v>
      </c>
      <c r="D44" s="10">
        <f>'dpc-covid19-ita-andamento-naz'!L38</f>
        <v>105792</v>
      </c>
      <c r="E44" s="30">
        <f>'dpc-covid19-ita-andamento-naz'!I38</f>
        <v>4053</v>
      </c>
      <c r="F44" s="56">
        <f>Tabella211[[#This Row],[Cum_confirmed]]*NOT(ISBLANK(Tabella211[[#This Row],[Cum_confirmed]]))</f>
        <v>105792</v>
      </c>
      <c r="G44" s="50">
        <f>k*t0*_xlfn.GAMMA.DIST(Tabella211[[#This Row],[Day]]/t0,w+1,1,1)*_xlfn.GAMMA(w+1)</f>
        <v>101640.40357765794</v>
      </c>
      <c r="H44" s="10">
        <f>k*((Tabella211[[#This Row],[Day]]/t0)^w)*EXP(-(Tabella211[[#This Row],[Day]]/t0))</f>
        <v>5132.6355508661927</v>
      </c>
      <c r="I44" s="56">
        <f>Tabella211[[#This Row],[Cum_fit]]*NOT(ISBLANK(Tabella211[[#This Row],[Cum_confirmed]]))</f>
        <v>101640.40357765794</v>
      </c>
      <c r="J44" s="10">
        <f>Tabella211[[#This Row],[Cum_fit]]+CI</f>
        <v>108971.03913371357</v>
      </c>
      <c r="K44" s="10">
        <f>MAX(Tabella211[[#This Row],[Cum_fit]]-CI,0)</f>
        <v>94309.768021602315</v>
      </c>
      <c r="L44" s="54">
        <f>'dpc-covid19-ita-andamento-naz'!G38</f>
        <v>77635</v>
      </c>
      <c r="M44" s="54">
        <f>'dpc-covid19-ita-andamento-naz'!H38</f>
        <v>2107</v>
      </c>
      <c r="N44" s="54">
        <f>Tabella211[[#This Row],[New_cases_fit]]-Tabella211[[#This Row],[New_Recovered_fit]]-Tabella211[[#This Row],[New_Deaths_fit]]</f>
        <v>3173.7716249373038</v>
      </c>
      <c r="O44" s="10">
        <f>'dpc-covid19-ita-andamento-naz'!J38</f>
        <v>15729</v>
      </c>
      <c r="P44" s="48">
        <f>Tabella211[[#This Row],[Cum_recov]]-O43</f>
        <v>1109</v>
      </c>
      <c r="Q44" s="60">
        <f>Tabella211[[#This Row],[Cum_recov]]*NOT(ISBLANK(Tabella211[[#This Row],[Cum_recov]]))</f>
        <v>15729</v>
      </c>
      <c r="R44" s="50">
        <f>kr*t0r*_xlfn.GAMMA.DIST(Tabella211[[#This Row],[Day]]/t0r,wr+1,1,1)*_xlfn.GAMMA(wr+1)</f>
        <v>14793.003919048197</v>
      </c>
      <c r="S44" s="10">
        <f>kr*((Tabella211[[#This Row],[Day]]/t0r)^wr)*EXP(-(Tabella211[[#This Row],[Day]]/t0r))</f>
        <v>1178.6275630457001</v>
      </c>
      <c r="T44" s="60">
        <f>Tabella211[[#This Row],[Cum_R_fit]]*NOT(ISBLANK(Tabella211[[#This Row],[Cum_recov]]))</f>
        <v>14793.003919048197</v>
      </c>
      <c r="U44" s="10">
        <f>Tabella211[[#This Row],[Cum_R_fit]]+CIr</f>
        <v>15814.675481938802</v>
      </c>
      <c r="V44" s="10">
        <f>MAX(Tabella211[[#This Row],[Cum_R_fit]]-CIr,0)</f>
        <v>13771.332356157591</v>
      </c>
      <c r="W44" s="10">
        <f>'dpc-covid19-ita-andamento-naz'!K38</f>
        <v>12428</v>
      </c>
      <c r="X44" s="26">
        <f>Tabella211[[#This Row],[Cum_deaths]]-W43</f>
        <v>837</v>
      </c>
      <c r="Y44" s="65">
        <f>Tabella211[[#This Row],[Cum_deaths]]*NOT(ISBLANK(Tabella211[[#This Row],[Cum_deaths]]))</f>
        <v>12428</v>
      </c>
      <c r="Z44" s="50">
        <f>kh*t0h*_xlfn.GAMMA.DIST(Tabella211[[#This Row],[Day]]/t0h,wh+1,1,1)*_xlfn.GAMMA(wh+1)</f>
        <v>11698.585081209598</v>
      </c>
      <c r="AA44" s="10">
        <f>kh*((Tabella211[[#This Row],[Day]]/t0h)^wh)*EXP(-(Tabella211[[#This Row],[Day]]/t0h))</f>
        <v>780.23636288318858</v>
      </c>
      <c r="AB44" s="65">
        <f>Tabella211[[#This Row],[Cum_D_fit]]*NOT(ISBLANK(Tabella211[[#This Row],[Cum_deaths]]))</f>
        <v>11698.585081209598</v>
      </c>
      <c r="AC44" s="10">
        <f>Tabella211[[#This Row],[Cum_D_fit]]+CIh</f>
        <v>12580.832108400517</v>
      </c>
      <c r="AD44" s="10">
        <f>MAX(Tabella211[[#This Row],[Cum_D_fit]]-CIh,0)</f>
        <v>10816.338054018679</v>
      </c>
    </row>
    <row r="45" spans="2:46" x14ac:dyDescent="0.3">
      <c r="B45" s="9">
        <v>43922</v>
      </c>
      <c r="C45" s="4">
        <f t="shared" si="0"/>
        <v>37</v>
      </c>
      <c r="D45" s="10">
        <f>'dpc-covid19-ita-andamento-naz'!L39</f>
        <v>110574</v>
      </c>
      <c r="E45" s="30">
        <f>'dpc-covid19-ita-andamento-naz'!I39</f>
        <v>4782</v>
      </c>
      <c r="F45" s="56">
        <f>Tabella211[[#This Row],[Cum_confirmed]]*NOT(ISBLANK(Tabella211[[#This Row],[Cum_confirmed]]))</f>
        <v>110574</v>
      </c>
      <c r="G45" s="50">
        <f>k*t0*_xlfn.GAMMA.DIST(Tabella211[[#This Row],[Day]]/t0,w+1,1,1)*_xlfn.GAMMA(w+1)</f>
        <v>106711.83614129333</v>
      </c>
      <c r="H45" s="10">
        <f>k*((Tabella211[[#This Row],[Day]]/t0)^w)*EXP(-(Tabella211[[#This Row],[Day]]/t0))</f>
        <v>5007.6188890876138</v>
      </c>
      <c r="I45" s="56">
        <f>Tabella211[[#This Row],[Cum_fit]]*NOT(ISBLANK(Tabella211[[#This Row],[Cum_confirmed]]))</f>
        <v>106711.83614129333</v>
      </c>
      <c r="J45" s="10">
        <f>Tabella211[[#This Row],[Cum_fit]]+CI</f>
        <v>114042.47169734896</v>
      </c>
      <c r="K45" s="10">
        <f>MAX(Tabella211[[#This Row],[Cum_fit]]-CI,0)</f>
        <v>99381.200585237704</v>
      </c>
      <c r="L45" s="54">
        <f>'dpc-covid19-ita-andamento-naz'!G39</f>
        <v>80572</v>
      </c>
      <c r="M45" s="54">
        <f>'dpc-covid19-ita-andamento-naz'!H39</f>
        <v>2937</v>
      </c>
      <c r="N45" s="54">
        <f>Tabella211[[#This Row],[New_cases_fit]]-Tabella211[[#This Row],[New_Recovered_fit]]-Tabella211[[#This Row],[New_Deaths_fit]]</f>
        <v>2998.9078251436349</v>
      </c>
      <c r="O45" s="10">
        <f>'dpc-covid19-ita-andamento-naz'!J39</f>
        <v>16847</v>
      </c>
      <c r="P45" s="48">
        <f>Tabella211[[#This Row],[Cum_recov]]-O44</f>
        <v>1118</v>
      </c>
      <c r="Q45" s="60">
        <f>Tabella211[[#This Row],[Cum_recov]]*NOT(ISBLANK(Tabella211[[#This Row],[Cum_recov]]))</f>
        <v>16847</v>
      </c>
      <c r="R45" s="50">
        <f>kr*t0r*_xlfn.GAMMA.DIST(Tabella211[[#This Row],[Day]]/t0r,wr+1,1,1)*_xlfn.GAMMA(wr+1)</f>
        <v>16002.275702499097</v>
      </c>
      <c r="S45" s="10">
        <f>kr*((Tabella211[[#This Row],[Day]]/t0r)^wr)*EXP(-(Tabella211[[#This Row],[Day]]/t0r))</f>
        <v>1240.1504583154299</v>
      </c>
      <c r="T45" s="60">
        <f>Tabella211[[#This Row],[Cum_R_fit]]*NOT(ISBLANK(Tabella211[[#This Row],[Cum_recov]]))</f>
        <v>16002.275702499097</v>
      </c>
      <c r="U45" s="10">
        <f>Tabella211[[#This Row],[Cum_R_fit]]+CIr</f>
        <v>17023.947265389703</v>
      </c>
      <c r="V45" s="10">
        <f>MAX(Tabella211[[#This Row],[Cum_R_fit]]-CIr,0)</f>
        <v>14980.604139608491</v>
      </c>
      <c r="W45" s="10">
        <f>'dpc-covid19-ita-andamento-naz'!K39</f>
        <v>13155</v>
      </c>
      <c r="X45" s="26">
        <f>Tabella211[[#This Row],[Cum_deaths]]-W44</f>
        <v>727</v>
      </c>
      <c r="Y45" s="65">
        <f>Tabella211[[#This Row],[Cum_deaths]]*NOT(ISBLANK(Tabella211[[#This Row],[Cum_deaths]]))</f>
        <v>13155</v>
      </c>
      <c r="Z45" s="50">
        <f>kh*t0h*_xlfn.GAMMA.DIST(Tabella211[[#This Row],[Day]]/t0h,wh+1,1,1)*_xlfn.GAMMA(wh+1)</f>
        <v>12473.327572480512</v>
      </c>
      <c r="AA45" s="10">
        <f>kh*((Tabella211[[#This Row],[Day]]/t0h)^wh)*EXP(-(Tabella211[[#This Row],[Day]]/t0h))</f>
        <v>768.56060562854873</v>
      </c>
      <c r="AB45" s="65">
        <f>Tabella211[[#This Row],[Cum_D_fit]]*NOT(ISBLANK(Tabella211[[#This Row],[Cum_deaths]]))</f>
        <v>12473.327572480512</v>
      </c>
      <c r="AC45" s="10">
        <f>Tabella211[[#This Row],[Cum_D_fit]]+CIh</f>
        <v>13355.57459967143</v>
      </c>
      <c r="AD45" s="10">
        <f>MAX(Tabella211[[#This Row],[Cum_D_fit]]-CIh,0)</f>
        <v>11591.080545289593</v>
      </c>
    </row>
    <row r="46" spans="2:46" x14ac:dyDescent="0.3">
      <c r="B46" s="9">
        <v>43923</v>
      </c>
      <c r="C46" s="4">
        <f t="shared" si="0"/>
        <v>38</v>
      </c>
      <c r="D46" s="10">
        <f>'dpc-covid19-ita-andamento-naz'!L40</f>
        <v>115242</v>
      </c>
      <c r="E46" s="30">
        <f>'dpc-covid19-ita-andamento-naz'!I40</f>
        <v>4668</v>
      </c>
      <c r="F46" s="56">
        <f>Tabella211[[#This Row],[Cum_confirmed]]*NOT(ISBLANK(Tabella211[[#This Row],[Cum_confirmed]]))</f>
        <v>115242</v>
      </c>
      <c r="G46" s="50">
        <f>k*t0*_xlfn.GAMMA.DIST(Tabella211[[#This Row],[Day]]/t0,w+1,1,1)*_xlfn.GAMMA(w+1)</f>
        <v>111650.80702920166</v>
      </c>
      <c r="H46" s="10">
        <f>k*((Tabella211[[#This Row],[Day]]/t0)^w)*EXP(-(Tabella211[[#This Row],[Day]]/t0))</f>
        <v>4868.0972208090116</v>
      </c>
      <c r="I46" s="56">
        <f>Tabella211[[#This Row],[Cum_fit]]*NOT(ISBLANK(Tabella211[[#This Row],[Cum_confirmed]]))</f>
        <v>111650.80702920166</v>
      </c>
      <c r="J46" s="10">
        <f>Tabella211[[#This Row],[Cum_fit]]+CI</f>
        <v>118981.44258525729</v>
      </c>
      <c r="K46" s="10">
        <f>MAX(Tabella211[[#This Row],[Cum_fit]]-CI,0)</f>
        <v>104320.17147314604</v>
      </c>
      <c r="L46" s="54">
        <f>'dpc-covid19-ita-andamento-naz'!G40</f>
        <v>83049</v>
      </c>
      <c r="M46" s="54">
        <f>'dpc-covid19-ita-andamento-naz'!H40</f>
        <v>2477</v>
      </c>
      <c r="N46" s="54">
        <f>Tabella211[[#This Row],[New_cases_fit]]-Tabella211[[#This Row],[New_Recovered_fit]]-Tabella211[[#This Row],[New_Deaths_fit]]</f>
        <v>2812.045906872655</v>
      </c>
      <c r="O46" s="10">
        <f>'dpc-covid19-ita-andamento-naz'!J40</f>
        <v>18278</v>
      </c>
      <c r="P46" s="48">
        <f>Tabella211[[#This Row],[Cum_recov]]-O45</f>
        <v>1431</v>
      </c>
      <c r="Q46" s="60">
        <f>Tabella211[[#This Row],[Cum_recov]]*NOT(ISBLANK(Tabella211[[#This Row],[Cum_recov]]))</f>
        <v>18278</v>
      </c>
      <c r="R46" s="50">
        <f>kr*t0r*_xlfn.GAMMA.DIST(Tabella211[[#This Row],[Day]]/t0r,wr+1,1,1)*_xlfn.GAMMA(wr+1)</f>
        <v>17273.77219106011</v>
      </c>
      <c r="S46" s="10">
        <f>kr*((Tabella211[[#This Row],[Day]]/t0r)^wr)*EXP(-(Tabella211[[#This Row],[Day]]/t0r))</f>
        <v>1303.0754249597048</v>
      </c>
      <c r="T46" s="60">
        <f>Tabella211[[#This Row],[Cum_R_fit]]*NOT(ISBLANK(Tabella211[[#This Row],[Cum_recov]]))</f>
        <v>17273.77219106011</v>
      </c>
      <c r="U46" s="10">
        <f>Tabella211[[#This Row],[Cum_R_fit]]+CIr</f>
        <v>18295.443753950716</v>
      </c>
      <c r="V46" s="10">
        <f>MAX(Tabella211[[#This Row],[Cum_R_fit]]-CIr,0)</f>
        <v>16252.100628169504</v>
      </c>
      <c r="W46" s="10">
        <f>'dpc-covid19-ita-andamento-naz'!K40</f>
        <v>13915</v>
      </c>
      <c r="X46" s="26">
        <f>Tabella211[[#This Row],[Cum_deaths]]-W45</f>
        <v>760</v>
      </c>
      <c r="Y46" s="65">
        <f>Tabella211[[#This Row],[Cum_deaths]]*NOT(ISBLANK(Tabella211[[#This Row],[Cum_deaths]]))</f>
        <v>13915</v>
      </c>
      <c r="Z46" s="50">
        <f>kh*t0h*_xlfn.GAMMA.DIST(Tabella211[[#This Row],[Day]]/t0h,wh+1,1,1)*_xlfn.GAMMA(wh+1)</f>
        <v>13234.403023955687</v>
      </c>
      <c r="AA46" s="10">
        <f>kh*((Tabella211[[#This Row],[Day]]/t0h)^wh)*EXP(-(Tabella211[[#This Row],[Day]]/t0h))</f>
        <v>752.97588897665196</v>
      </c>
      <c r="AB46" s="65">
        <f>Tabella211[[#This Row],[Cum_D_fit]]*NOT(ISBLANK(Tabella211[[#This Row],[Cum_deaths]]))</f>
        <v>13234.403023955687</v>
      </c>
      <c r="AC46" s="10">
        <f>Tabella211[[#This Row],[Cum_D_fit]]+CIh</f>
        <v>14116.650051146606</v>
      </c>
      <c r="AD46" s="10">
        <f>MAX(Tabella211[[#This Row],[Cum_D_fit]]-CIh,0)</f>
        <v>12352.155996764768</v>
      </c>
    </row>
    <row r="47" spans="2:46" x14ac:dyDescent="0.3">
      <c r="B47" s="9">
        <v>43924</v>
      </c>
      <c r="C47" s="4">
        <f t="shared" si="0"/>
        <v>39</v>
      </c>
      <c r="D47" s="10">
        <f>'dpc-covid19-ita-andamento-naz'!L41</f>
        <v>119827</v>
      </c>
      <c r="E47" s="30">
        <f>'dpc-covid19-ita-andamento-naz'!I41</f>
        <v>4585</v>
      </c>
      <c r="F47" s="56">
        <f>Tabella211[[#This Row],[Cum_confirmed]]*NOT(ISBLANK(Tabella211[[#This Row],[Cum_confirmed]]))</f>
        <v>119827</v>
      </c>
      <c r="G47" s="50">
        <f>k*t0*_xlfn.GAMMA.DIST(Tabella211[[#This Row],[Day]]/t0,w+1,1,1)*_xlfn.GAMMA(w+1)</f>
        <v>116443.95467232191</v>
      </c>
      <c r="H47" s="10">
        <f>k*((Tabella211[[#This Row],[Day]]/t0)^w)*EXP(-(Tabella211[[#This Row],[Day]]/t0))</f>
        <v>4716.3448427673075</v>
      </c>
      <c r="I47" s="56">
        <f>Tabella211[[#This Row],[Cum_fit]]*NOT(ISBLANK(Tabella211[[#This Row],[Cum_confirmed]]))</f>
        <v>116443.95467232191</v>
      </c>
      <c r="J47" s="10">
        <f>Tabella211[[#This Row],[Cum_fit]]+CI</f>
        <v>123774.59022837754</v>
      </c>
      <c r="K47" s="10">
        <f>MAX(Tabella211[[#This Row],[Cum_fit]]-CI,0)</f>
        <v>109113.31911626628</v>
      </c>
      <c r="L47" s="54">
        <f>'dpc-covid19-ita-andamento-naz'!G41</f>
        <v>85388</v>
      </c>
      <c r="M47" s="54">
        <f>'dpc-covid19-ita-andamento-naz'!H41</f>
        <v>2339</v>
      </c>
      <c r="N47" s="54">
        <f>Tabella211[[#This Row],[New_cases_fit]]-Tabella211[[#This Row],[New_Recovered_fit]]-Tabella211[[#This Row],[New_Deaths_fit]]</f>
        <v>2615.0174646051919</v>
      </c>
      <c r="O47" s="10">
        <f>'dpc-covid19-ita-andamento-naz'!J41</f>
        <v>19758</v>
      </c>
      <c r="P47" s="48">
        <f>Tabella211[[#This Row],[Cum_recov]]-O46</f>
        <v>1480</v>
      </c>
      <c r="Q47" s="60">
        <f>Tabella211[[#This Row],[Cum_recov]]*NOT(ISBLANK(Tabella211[[#This Row],[Cum_recov]]))</f>
        <v>19758</v>
      </c>
      <c r="R47" s="50">
        <f>kr*t0r*_xlfn.GAMMA.DIST(Tabella211[[#This Row],[Day]]/t0r,wr+1,1,1)*_xlfn.GAMMA(wr+1)</f>
        <v>18608.890836955943</v>
      </c>
      <c r="S47" s="10">
        <f>kr*((Tabella211[[#This Row],[Day]]/t0r)^wr)*EXP(-(Tabella211[[#This Row],[Day]]/t0r))</f>
        <v>1367.3932501933373</v>
      </c>
      <c r="T47" s="60">
        <f>Tabella211[[#This Row],[Cum_R_fit]]*NOT(ISBLANK(Tabella211[[#This Row],[Cum_recov]]))</f>
        <v>18608.890836955943</v>
      </c>
      <c r="U47" s="10">
        <f>Tabella211[[#This Row],[Cum_R_fit]]+CIr</f>
        <v>19630.562399846549</v>
      </c>
      <c r="V47" s="10">
        <f>MAX(Tabella211[[#This Row],[Cum_R_fit]]-CIr,0)</f>
        <v>17587.219274065337</v>
      </c>
      <c r="W47" s="10">
        <f>'dpc-covid19-ita-andamento-naz'!K41</f>
        <v>14681</v>
      </c>
      <c r="X47" s="26">
        <f>Tabella211[[#This Row],[Cum_deaths]]-W46</f>
        <v>766</v>
      </c>
      <c r="Y47" s="65">
        <f>Tabella211[[#This Row],[Cum_deaths]]*NOT(ISBLANK(Tabella211[[#This Row],[Cum_deaths]]))</f>
        <v>14681</v>
      </c>
      <c r="Z47" s="50">
        <f>kh*t0h*_xlfn.GAMMA.DIST(Tabella211[[#This Row],[Day]]/t0h,wh+1,1,1)*_xlfn.GAMMA(wh+1)</f>
        <v>13978.126863597525</v>
      </c>
      <c r="AA47" s="10">
        <f>kh*((Tabella211[[#This Row],[Day]]/t0h)^wh)*EXP(-(Tabella211[[#This Row],[Day]]/t0h))</f>
        <v>733.93412796877828</v>
      </c>
      <c r="AB47" s="65">
        <f>Tabella211[[#This Row],[Cum_D_fit]]*NOT(ISBLANK(Tabella211[[#This Row],[Cum_deaths]]))</f>
        <v>13978.126863597525</v>
      </c>
      <c r="AC47" s="10">
        <f>Tabella211[[#This Row],[Cum_D_fit]]+CIh</f>
        <v>14860.373890788444</v>
      </c>
      <c r="AD47" s="10">
        <f>MAX(Tabella211[[#This Row],[Cum_D_fit]]-CIh,0)</f>
        <v>13095.879836406606</v>
      </c>
    </row>
    <row r="48" spans="2:46" x14ac:dyDescent="0.3">
      <c r="B48" s="9">
        <v>43925</v>
      </c>
      <c r="C48" s="4">
        <f t="shared" si="0"/>
        <v>40</v>
      </c>
      <c r="D48" s="10">
        <f>'dpc-covid19-ita-andamento-naz'!L42</f>
        <v>124632</v>
      </c>
      <c r="E48" s="30">
        <f>'dpc-covid19-ita-andamento-naz'!I42</f>
        <v>4805</v>
      </c>
      <c r="F48" s="56">
        <f>Tabella211[[#This Row],[Cum_confirmed]]*NOT(ISBLANK(Tabella211[[#This Row],[Cum_confirmed]]))</f>
        <v>124632</v>
      </c>
      <c r="G48" s="50">
        <f>k*t0*_xlfn.GAMMA.DIST(Tabella211[[#This Row],[Day]]/t0,w+1,1,1)*_xlfn.GAMMA(w+1)</f>
        <v>121080.14961131179</v>
      </c>
      <c r="H48" s="10">
        <f>k*((Tabella211[[#This Row],[Day]]/t0)^w)*EXP(-(Tabella211[[#This Row],[Day]]/t0))</f>
        <v>4554.5474245326795</v>
      </c>
      <c r="I48" s="56">
        <f>Tabella211[[#This Row],[Cum_fit]]*NOT(ISBLANK(Tabella211[[#This Row],[Cum_confirmed]]))</f>
        <v>121080.14961131179</v>
      </c>
      <c r="J48" s="10">
        <f>Tabella211[[#This Row],[Cum_fit]]+CI</f>
        <v>128410.78516736742</v>
      </c>
      <c r="K48" s="10">
        <f>MAX(Tabella211[[#This Row],[Cum_fit]]-CI,0)</f>
        <v>113749.51405525616</v>
      </c>
      <c r="L48" s="54">
        <f>'dpc-covid19-ita-andamento-naz'!G42</f>
        <v>88274</v>
      </c>
      <c r="M48" s="54">
        <f>'dpc-covid19-ita-andamento-naz'!H42</f>
        <v>2886</v>
      </c>
      <c r="N48" s="54">
        <f>Tabella211[[#This Row],[New_cases_fit]]-Tabella211[[#This Row],[New_Recovered_fit]]-Tabella211[[#This Row],[New_Deaths_fit]]</f>
        <v>2409.5526509498713</v>
      </c>
      <c r="O48" s="10">
        <f>'dpc-covid19-ita-andamento-naz'!J42</f>
        <v>20996</v>
      </c>
      <c r="P48" s="48">
        <f>Tabella211[[#This Row],[Cum_recov]]-O47</f>
        <v>1238</v>
      </c>
      <c r="Q48" s="60">
        <f>Tabella211[[#This Row],[Cum_recov]]*NOT(ISBLANK(Tabella211[[#This Row],[Cum_recov]]))</f>
        <v>20996</v>
      </c>
      <c r="R48" s="50">
        <f>kr*t0r*_xlfn.GAMMA.DIST(Tabella211[[#This Row],[Day]]/t0r,wr+1,1,1)*_xlfn.GAMMA(wr+1)</f>
        <v>20009.019954927713</v>
      </c>
      <c r="S48" s="10">
        <f>kr*((Tabella211[[#This Row],[Day]]/t0r)^wr)*EXP(-(Tabella211[[#This Row],[Day]]/t0r))</f>
        <v>1433.0948706119757</v>
      </c>
      <c r="T48" s="60">
        <f>Tabella211[[#This Row],[Cum_R_fit]]*NOT(ISBLANK(Tabella211[[#This Row],[Cum_recov]]))</f>
        <v>20009.019954927713</v>
      </c>
      <c r="U48" s="10">
        <f>Tabella211[[#This Row],[Cum_R_fit]]+CIr</f>
        <v>21030.691517818319</v>
      </c>
      <c r="V48" s="10">
        <f>MAX(Tabella211[[#This Row],[Cum_R_fit]]-CIr,0)</f>
        <v>18987.348392037107</v>
      </c>
      <c r="W48" s="10">
        <f>'dpc-covid19-ita-andamento-naz'!K42</f>
        <v>15362</v>
      </c>
      <c r="X48" s="26">
        <f>Tabella211[[#This Row],[Cum_deaths]]-W47</f>
        <v>681</v>
      </c>
      <c r="Y48" s="65">
        <f>Tabella211[[#This Row],[Cum_deaths]]*NOT(ISBLANK(Tabella211[[#This Row],[Cum_deaths]]))</f>
        <v>15362</v>
      </c>
      <c r="Z48" s="50">
        <f>kh*t0h*_xlfn.GAMMA.DIST(Tabella211[[#This Row],[Day]]/t0h,wh+1,1,1)*_xlfn.GAMMA(wh+1)</f>
        <v>14701.273779672261</v>
      </c>
      <c r="AA48" s="10">
        <f>kh*((Tabella211[[#This Row],[Day]]/t0h)^wh)*EXP(-(Tabella211[[#This Row],[Day]]/t0h))</f>
        <v>711.8999029708325</v>
      </c>
      <c r="AB48" s="65">
        <f>Tabella211[[#This Row],[Cum_D_fit]]*NOT(ISBLANK(Tabella211[[#This Row],[Cum_deaths]]))</f>
        <v>14701.273779672261</v>
      </c>
      <c r="AC48" s="10">
        <f>Tabella211[[#This Row],[Cum_D_fit]]+CIh</f>
        <v>15583.52080686318</v>
      </c>
      <c r="AD48" s="10">
        <f>MAX(Tabella211[[#This Row],[Cum_D_fit]]-CIh,0)</f>
        <v>13819.026752481343</v>
      </c>
    </row>
    <row r="49" spans="2:30" x14ac:dyDescent="0.3">
      <c r="B49" s="9">
        <v>43926</v>
      </c>
      <c r="C49" s="4">
        <f t="shared" si="0"/>
        <v>41</v>
      </c>
      <c r="D49" s="10">
        <f>'dpc-covid19-ita-andamento-naz'!L43</f>
        <v>128948</v>
      </c>
      <c r="E49" s="30">
        <f>'dpc-covid19-ita-andamento-naz'!I43</f>
        <v>4316</v>
      </c>
      <c r="F49" s="56">
        <f>Tabella211[[#This Row],[Cum_confirmed]]*NOT(ISBLANK(Tabella211[[#This Row],[Cum_confirmed]]))</f>
        <v>128948</v>
      </c>
      <c r="G49" s="50">
        <f>k*t0*_xlfn.GAMMA.DIST(Tabella211[[#This Row],[Day]]/t0,w+1,1,1)*_xlfn.GAMMA(w+1)</f>
        <v>125550.39408234193</v>
      </c>
      <c r="H49" s="10">
        <f>k*((Tabella211[[#This Row],[Day]]/t0)^w)*EXP(-(Tabella211[[#This Row],[Day]]/t0))</f>
        <v>4384.7793897264064</v>
      </c>
      <c r="I49" s="56">
        <f>Tabella211[[#This Row],[Cum_fit]]*NOT(ISBLANK(Tabella211[[#This Row],[Cum_confirmed]]))</f>
        <v>125550.39408234193</v>
      </c>
      <c r="J49" s="10">
        <f>Tabella211[[#This Row],[Cum_fit]]+CI</f>
        <v>132881.02963839754</v>
      </c>
      <c r="K49" s="10">
        <f>MAX(Tabella211[[#This Row],[Cum_fit]]-CI,0)</f>
        <v>118219.7585262863</v>
      </c>
      <c r="L49" s="54">
        <f>'dpc-covid19-ita-andamento-naz'!G43</f>
        <v>91246</v>
      </c>
      <c r="M49" s="54">
        <f>'dpc-covid19-ita-andamento-naz'!H43</f>
        <v>2972</v>
      </c>
      <c r="N49" s="54">
        <f>Tabella211[[#This Row],[New_cases_fit]]-Tabella211[[#This Row],[New_Recovered_fit]]-Tabella211[[#This Row],[New_Deaths_fit]]</f>
        <v>2197.2689373004578</v>
      </c>
      <c r="O49" s="10">
        <f>'dpc-covid19-ita-andamento-naz'!J43</f>
        <v>21815</v>
      </c>
      <c r="P49" s="48">
        <f>Tabella211[[#This Row],[Cum_recov]]-O48</f>
        <v>819</v>
      </c>
      <c r="Q49" s="60">
        <f>Tabella211[[#This Row],[Cum_recov]]*NOT(ISBLANK(Tabella211[[#This Row],[Cum_recov]]))</f>
        <v>21815</v>
      </c>
      <c r="R49" s="50">
        <f>kr*t0r*_xlfn.GAMMA.DIST(Tabella211[[#This Row],[Day]]/t0r,wr+1,1,1)*_xlfn.GAMMA(wr+1)</f>
        <v>21475.538868041422</v>
      </c>
      <c r="S49" s="10">
        <f>kr*((Tabella211[[#This Row],[Day]]/t0r)^wr)*EXP(-(Tabella211[[#This Row],[Day]]/t0r))</f>
        <v>1500.1713651401424</v>
      </c>
      <c r="T49" s="60">
        <f>Tabella211[[#This Row],[Cum_R_fit]]*NOT(ISBLANK(Tabella211[[#This Row],[Cum_recov]]))</f>
        <v>21475.538868041422</v>
      </c>
      <c r="U49" s="10">
        <f>Tabella211[[#This Row],[Cum_R_fit]]+CIr</f>
        <v>22497.210430932028</v>
      </c>
      <c r="V49" s="10">
        <f>MAX(Tabella211[[#This Row],[Cum_R_fit]]-CIr,0)</f>
        <v>20453.867305150816</v>
      </c>
      <c r="W49" s="10">
        <f>'dpc-covid19-ita-andamento-naz'!K43</f>
        <v>15887</v>
      </c>
      <c r="X49" s="26">
        <f>Tabella211[[#This Row],[Cum_deaths]]-W48</f>
        <v>525</v>
      </c>
      <c r="Y49" s="65">
        <f>Tabella211[[#This Row],[Cum_deaths]]*NOT(ISBLANK(Tabella211[[#This Row],[Cum_deaths]]))</f>
        <v>15887</v>
      </c>
      <c r="Z49" s="50">
        <f>kh*t0h*_xlfn.GAMMA.DIST(Tabella211[[#This Row],[Day]]/t0h,wh+1,1,1)*_xlfn.GAMMA(wh+1)</f>
        <v>15401.08456895135</v>
      </c>
      <c r="AA49" s="10">
        <f>kh*((Tabella211[[#This Row],[Day]]/t0h)^wh)*EXP(-(Tabella211[[#This Row],[Day]]/t0h))</f>
        <v>687.33908728580616</v>
      </c>
      <c r="AB49" s="65">
        <f>Tabella211[[#This Row],[Cum_D_fit]]*NOT(ISBLANK(Tabella211[[#This Row],[Cum_deaths]]))</f>
        <v>15401.08456895135</v>
      </c>
      <c r="AC49" s="10">
        <f>Tabella211[[#This Row],[Cum_D_fit]]+CIh</f>
        <v>16283.331596142269</v>
      </c>
      <c r="AD49" s="10">
        <f>MAX(Tabella211[[#This Row],[Cum_D_fit]]-CIh,0)</f>
        <v>14518.837541760431</v>
      </c>
    </row>
    <row r="50" spans="2:30" x14ac:dyDescent="0.3">
      <c r="B50" s="9">
        <v>43927</v>
      </c>
      <c r="C50" s="4">
        <f t="shared" si="0"/>
        <v>42</v>
      </c>
      <c r="D50" s="10">
        <f>'dpc-covid19-ita-andamento-naz'!L44</f>
        <v>132547</v>
      </c>
      <c r="E50" s="30">
        <f>'dpc-covid19-ita-andamento-naz'!I44</f>
        <v>3599</v>
      </c>
      <c r="F50" s="56">
        <f>Tabella211[[#This Row],[Cum_confirmed]]*NOT(ISBLANK(Tabella211[[#This Row],[Cum_confirmed]]))</f>
        <v>132547</v>
      </c>
      <c r="G50" s="50">
        <f>k*t0*_xlfn.GAMMA.DIST(Tabella211[[#This Row],[Day]]/t0,w+1,1,1)*_xlfn.GAMMA(w+1)</f>
        <v>129847.70176227021</v>
      </c>
      <c r="H50" s="10">
        <f>k*((Tabella211[[#This Row],[Day]]/t0)^w)*EXP(-(Tabella211[[#This Row],[Day]]/t0))</f>
        <v>4208.9867644066426</v>
      </c>
      <c r="I50" s="56">
        <f>Tabella211[[#This Row],[Cum_fit]]*NOT(ISBLANK(Tabella211[[#This Row],[Cum_confirmed]]))</f>
        <v>129847.70176227021</v>
      </c>
      <c r="J50" s="10">
        <f>Tabella211[[#This Row],[Cum_fit]]+CI</f>
        <v>137178.33731832582</v>
      </c>
      <c r="K50" s="10">
        <f>MAX(Tabella211[[#This Row],[Cum_fit]]-CI,0)</f>
        <v>122517.06620621459</v>
      </c>
      <c r="L50" s="54">
        <f>'dpc-covid19-ita-andamento-naz'!G44</f>
        <v>93187</v>
      </c>
      <c r="M50" s="54">
        <f>'dpc-covid19-ita-andamento-naz'!H44</f>
        <v>1941</v>
      </c>
      <c r="N50" s="54">
        <f>Tabella211[[#This Row],[New_cases_fit]]-Tabella211[[#This Row],[New_Recovered_fit]]-Tabella211[[#This Row],[New_Deaths_fit]]</f>
        <v>1979.6637336582444</v>
      </c>
      <c r="O50" s="10">
        <f>'dpc-covid19-ita-andamento-naz'!J44</f>
        <v>22837</v>
      </c>
      <c r="P50" s="48">
        <f>Tabella211[[#This Row],[Cum_recov]]-O49</f>
        <v>1022</v>
      </c>
      <c r="Q50" s="60">
        <f>Tabella211[[#This Row],[Cum_recov]]*NOT(ISBLANK(Tabella211[[#This Row],[Cum_recov]]))</f>
        <v>22837</v>
      </c>
      <c r="R50" s="50">
        <f>kr*t0r*_xlfn.GAMMA.DIST(Tabella211[[#This Row],[Day]]/t0r,wr+1,1,1)*_xlfn.GAMMA(wr+1)</f>
        <v>23009.818046712822</v>
      </c>
      <c r="S50" s="10">
        <f>kr*((Tabella211[[#This Row],[Day]]/t0r)^wr)*EXP(-(Tabella211[[#This Row],[Day]]/t0r))</f>
        <v>1568.6139485062542</v>
      </c>
      <c r="T50" s="60">
        <f>Tabella211[[#This Row],[Cum_R_fit]]*NOT(ISBLANK(Tabella211[[#This Row],[Cum_recov]]))</f>
        <v>23009.818046712822</v>
      </c>
      <c r="U50" s="10">
        <f>Tabella211[[#This Row],[Cum_R_fit]]+CIr</f>
        <v>24031.489609603428</v>
      </c>
      <c r="V50" s="10">
        <f>MAX(Tabella211[[#This Row],[Cum_R_fit]]-CIr,0)</f>
        <v>21988.146483822216</v>
      </c>
      <c r="W50" s="10">
        <f>'dpc-covid19-ita-andamento-naz'!K44</f>
        <v>16523</v>
      </c>
      <c r="X50" s="26">
        <f>Tabella211[[#This Row],[Cum_deaths]]-W49</f>
        <v>636</v>
      </c>
      <c r="Y50" s="65">
        <f>Tabella211[[#This Row],[Cum_deaths]]*NOT(ISBLANK(Tabella211[[#This Row],[Cum_deaths]]))</f>
        <v>16523</v>
      </c>
      <c r="Z50" s="50">
        <f>kh*t0h*_xlfn.GAMMA.DIST(Tabella211[[#This Row],[Day]]/t0h,wh+1,1,1)*_xlfn.GAMMA(wh+1)</f>
        <v>16075.262411052554</v>
      </c>
      <c r="AA50" s="10">
        <f>kh*((Tabella211[[#This Row],[Day]]/t0h)^wh)*EXP(-(Tabella211[[#This Row],[Day]]/t0h))</f>
        <v>660.70908224214418</v>
      </c>
      <c r="AB50" s="65">
        <f>Tabella211[[#This Row],[Cum_D_fit]]*NOT(ISBLANK(Tabella211[[#This Row],[Cum_deaths]]))</f>
        <v>16075.262411052554</v>
      </c>
      <c r="AC50" s="10">
        <f>Tabella211[[#This Row],[Cum_D_fit]]+CIh</f>
        <v>16957.509438243473</v>
      </c>
      <c r="AD50" s="10">
        <f>MAX(Tabella211[[#This Row],[Cum_D_fit]]-CIh,0)</f>
        <v>15193.015383861635</v>
      </c>
    </row>
    <row r="51" spans="2:30" x14ac:dyDescent="0.3">
      <c r="B51" s="9">
        <v>43928</v>
      </c>
      <c r="C51" s="4">
        <f t="shared" si="0"/>
        <v>43</v>
      </c>
      <c r="D51" s="10">
        <f>'dpc-covid19-ita-andamento-naz'!L45</f>
        <v>135586</v>
      </c>
      <c r="E51" s="30">
        <f>'dpc-covid19-ita-andamento-naz'!I45</f>
        <v>3039</v>
      </c>
      <c r="F51" s="56">
        <f>Tabella211[[#This Row],[Cum_confirmed]]*NOT(ISBLANK(Tabella211[[#This Row],[Cum_confirmed]]))</f>
        <v>135586</v>
      </c>
      <c r="G51" s="50">
        <f>k*t0*_xlfn.GAMMA.DIST(Tabella211[[#This Row],[Day]]/t0,w+1,1,1)*_xlfn.GAMMA(w+1)</f>
        <v>133966.9628670513</v>
      </c>
      <c r="H51" s="10">
        <f>k*((Tabella211[[#This Row],[Day]]/t0)^w)*EXP(-(Tabella211[[#This Row],[Day]]/t0))</f>
        <v>4028.9749409870592</v>
      </c>
      <c r="I51" s="56">
        <f>Tabella211[[#This Row],[Cum_fit]]*NOT(ISBLANK(Tabella211[[#This Row],[Cum_confirmed]]))</f>
        <v>133966.9628670513</v>
      </c>
      <c r="J51" s="10">
        <f>Tabella211[[#This Row],[Cum_fit]]+CI</f>
        <v>141297.59842310692</v>
      </c>
      <c r="K51" s="10">
        <f>MAX(Tabella211[[#This Row],[Cum_fit]]-CI,0)</f>
        <v>126636.32731099568</v>
      </c>
      <c r="L51" s="54">
        <f>'dpc-covid19-ita-andamento-naz'!G45</f>
        <v>94067</v>
      </c>
      <c r="M51" s="54">
        <f>'dpc-covid19-ita-andamento-naz'!H45</f>
        <v>880</v>
      </c>
      <c r="N51" s="54">
        <f>Tabella211[[#This Row],[New_cases_fit]]-Tabella211[[#This Row],[New_Recovered_fit]]-Tabella211[[#This Row],[New_Deaths_fit]]</f>
        <v>1758.1102887274296</v>
      </c>
      <c r="O51" s="10">
        <f>'dpc-covid19-ita-andamento-naz'!J45</f>
        <v>24392</v>
      </c>
      <c r="P51" s="48">
        <f>Tabella211[[#This Row],[Cum_recov]]-O50</f>
        <v>1555</v>
      </c>
      <c r="Q51" s="60">
        <f>Tabella211[[#This Row],[Cum_recov]]*NOT(ISBLANK(Tabella211[[#This Row],[Cum_recov]]))</f>
        <v>24392</v>
      </c>
      <c r="R51" s="50">
        <f>kr*t0r*_xlfn.GAMMA.DIST(Tabella211[[#This Row],[Day]]/t0r,wr+1,1,1)*_xlfn.GAMMA(wr+1)</f>
        <v>24613.219241448754</v>
      </c>
      <c r="S51" s="10">
        <f>kr*((Tabella211[[#This Row],[Day]]/t0r)^wr)*EXP(-(Tabella211[[#This Row],[Day]]/t0r))</f>
        <v>1638.4139651931148</v>
      </c>
      <c r="T51" s="60">
        <f>Tabella211[[#This Row],[Cum_R_fit]]*NOT(ISBLANK(Tabella211[[#This Row],[Cum_recov]]))</f>
        <v>24613.219241448754</v>
      </c>
      <c r="U51" s="10">
        <f>Tabella211[[#This Row],[Cum_R_fit]]+CIr</f>
        <v>25634.89080433936</v>
      </c>
      <c r="V51" s="10">
        <f>MAX(Tabella211[[#This Row],[Cum_R_fit]]-CIr,0)</f>
        <v>23591.547678558149</v>
      </c>
      <c r="W51" s="10">
        <f>'dpc-covid19-ita-andamento-naz'!K45</f>
        <v>17127</v>
      </c>
      <c r="X51" s="26">
        <f>Tabella211[[#This Row],[Cum_deaths]]-W50</f>
        <v>604</v>
      </c>
      <c r="Y51" s="65">
        <f>Tabella211[[#This Row],[Cum_deaths]]*NOT(ISBLANK(Tabella211[[#This Row],[Cum_deaths]]))</f>
        <v>17127</v>
      </c>
      <c r="Z51" s="50">
        <f>kh*t0h*_xlfn.GAMMA.DIST(Tabella211[[#This Row],[Day]]/t0h,wh+1,1,1)*_xlfn.GAMMA(wh+1)</f>
        <v>16721.96019575719</v>
      </c>
      <c r="AA51" s="10">
        <f>kh*((Tabella211[[#This Row],[Day]]/t0h)^wh)*EXP(-(Tabella211[[#This Row],[Day]]/t0h))</f>
        <v>632.450687066515</v>
      </c>
      <c r="AB51" s="65">
        <f>Tabella211[[#This Row],[Cum_D_fit]]*NOT(ISBLANK(Tabella211[[#This Row],[Cum_deaths]]))</f>
        <v>16721.96019575719</v>
      </c>
      <c r="AC51" s="10">
        <f>Tabella211[[#This Row],[Cum_D_fit]]+CIh</f>
        <v>17604.207222948109</v>
      </c>
      <c r="AD51" s="10">
        <f>MAX(Tabella211[[#This Row],[Cum_D_fit]]-CIh,0)</f>
        <v>15839.713168566272</v>
      </c>
    </row>
    <row r="52" spans="2:30" x14ac:dyDescent="0.3">
      <c r="B52" s="9">
        <v>43929</v>
      </c>
      <c r="C52" s="4">
        <f t="shared" si="0"/>
        <v>44</v>
      </c>
      <c r="D52" s="10">
        <f>'dpc-covid19-ita-andamento-naz'!L46</f>
        <v>139422</v>
      </c>
      <c r="E52" s="30">
        <f>'dpc-covid19-ita-andamento-naz'!I46</f>
        <v>3836</v>
      </c>
      <c r="F52" s="56">
        <f>Tabella211[[#This Row],[Cum_confirmed]]*NOT(ISBLANK(Tabella211[[#This Row],[Cum_confirmed]]))</f>
        <v>139422</v>
      </c>
      <c r="G52" s="50">
        <f>k*t0*_xlfn.GAMMA.DIST(Tabella211[[#This Row],[Day]]/t0,w+1,1,1)*_xlfn.GAMMA(w+1)</f>
        <v>137904.79923446593</v>
      </c>
      <c r="H52" s="10">
        <f>k*((Tabella211[[#This Row],[Day]]/t0)^w)*EXP(-(Tabella211[[#This Row],[Day]]/t0))</f>
        <v>3846.400787500997</v>
      </c>
      <c r="I52" s="56">
        <f>Tabella211[[#This Row],[Cum_fit]]*NOT(ISBLANK(Tabella211[[#This Row],[Cum_confirmed]]))</f>
        <v>137904.79923446593</v>
      </c>
      <c r="J52" s="10">
        <f>Tabella211[[#This Row],[Cum_fit]]+CI</f>
        <v>145235.43479052154</v>
      </c>
      <c r="K52" s="10">
        <f>MAX(Tabella211[[#This Row],[Cum_fit]]-CI,0)</f>
        <v>130574.1636784103</v>
      </c>
      <c r="L52" s="54">
        <f>'dpc-covid19-ita-andamento-naz'!G46</f>
        <v>95262</v>
      </c>
      <c r="M52" s="54">
        <f>'dpc-covid19-ita-andamento-naz'!H46</f>
        <v>1195</v>
      </c>
      <c r="N52" s="54">
        <f>Tabella211[[#This Row],[New_cases_fit]]-Tabella211[[#This Row],[New_Recovered_fit]]-Tabella211[[#This Row],[New_Deaths_fit]]</f>
        <v>1533.8563340535284</v>
      </c>
      <c r="O52" s="10">
        <f>'dpc-covid19-ita-andamento-naz'!J46</f>
        <v>26491</v>
      </c>
      <c r="P52" s="48">
        <f>Tabella211[[#This Row],[Cum_recov]]-O51</f>
        <v>2099</v>
      </c>
      <c r="Q52" s="60">
        <f>Tabella211[[#This Row],[Cum_recov]]*NOT(ISBLANK(Tabella211[[#This Row],[Cum_recov]]))</f>
        <v>26491</v>
      </c>
      <c r="R52" s="50">
        <f>kr*t0r*_xlfn.GAMMA.DIST(Tabella211[[#This Row],[Day]]/t0r,wr+1,1,1)*_xlfn.GAMMA(wr+1)</f>
        <v>26287.095609757838</v>
      </c>
      <c r="S52" s="10">
        <f>kr*((Tabella211[[#This Row],[Day]]/t0r)^wr)*EXP(-(Tabella211[[#This Row],[Day]]/t0r))</f>
        <v>1709.5628838185166</v>
      </c>
      <c r="T52" s="60">
        <f>Tabella211[[#This Row],[Cum_R_fit]]*NOT(ISBLANK(Tabella211[[#This Row],[Cum_recov]]))</f>
        <v>26287.095609757838</v>
      </c>
      <c r="U52" s="10">
        <f>Tabella211[[#This Row],[Cum_R_fit]]+CIr</f>
        <v>27308.767172648444</v>
      </c>
      <c r="V52" s="10">
        <f>MAX(Tabella211[[#This Row],[Cum_R_fit]]-CIr,0)</f>
        <v>25265.424046867232</v>
      </c>
      <c r="W52" s="10">
        <f>'dpc-covid19-ita-andamento-naz'!K46</f>
        <v>17669</v>
      </c>
      <c r="X52" s="26">
        <f>Tabella211[[#This Row],[Cum_deaths]]-W51</f>
        <v>542</v>
      </c>
      <c r="Y52" s="65">
        <f>Tabella211[[#This Row],[Cum_deaths]]*NOT(ISBLANK(Tabella211[[#This Row],[Cum_deaths]]))</f>
        <v>17669</v>
      </c>
      <c r="Z52" s="50">
        <f>kh*t0h*_xlfn.GAMMA.DIST(Tabella211[[#This Row],[Day]]/t0h,wh+1,1,1)*_xlfn.GAMMA(wh+1)</f>
        <v>17339.760525636866</v>
      </c>
      <c r="AA52" s="10">
        <f>kh*((Tabella211[[#This Row],[Day]]/t0h)^wh)*EXP(-(Tabella211[[#This Row],[Day]]/t0h))</f>
        <v>602.98156962895212</v>
      </c>
      <c r="AB52" s="65">
        <f>Tabella211[[#This Row],[Cum_D_fit]]*NOT(ISBLANK(Tabella211[[#This Row],[Cum_deaths]]))</f>
        <v>17339.760525636866</v>
      </c>
      <c r="AC52" s="10">
        <f>Tabella211[[#This Row],[Cum_D_fit]]+CIh</f>
        <v>18222.007552827785</v>
      </c>
      <c r="AD52" s="10">
        <f>MAX(Tabella211[[#This Row],[Cum_D_fit]]-CIh,0)</f>
        <v>16457.513498445947</v>
      </c>
    </row>
    <row r="53" spans="2:30" x14ac:dyDescent="0.3">
      <c r="B53" s="9">
        <v>43930</v>
      </c>
      <c r="C53" s="4">
        <f t="shared" si="0"/>
        <v>45</v>
      </c>
      <c r="D53" s="10">
        <f>'dpc-covid19-ita-andamento-naz'!L47</f>
        <v>143626</v>
      </c>
      <c r="E53" s="30">
        <f>'dpc-covid19-ita-andamento-naz'!I47</f>
        <v>4204</v>
      </c>
      <c r="F53" s="56">
        <f>Tabella211[[#This Row],[Cum_confirmed]]*NOT(ISBLANK(Tabella211[[#This Row],[Cum_confirmed]]))</f>
        <v>143626</v>
      </c>
      <c r="G53" s="50">
        <f>k*t0*_xlfn.GAMMA.DIST(Tabella211[[#This Row],[Day]]/t0,w+1,1,1)*_xlfn.GAMMA(w+1)</f>
        <v>141659.41345127128</v>
      </c>
      <c r="H53" s="10">
        <f>k*((Tabella211[[#This Row],[Day]]/t0)^w)*EXP(-(Tabella211[[#This Row],[Day]]/t0))</f>
        <v>3662.7685333569298</v>
      </c>
      <c r="I53" s="56">
        <f>Tabella211[[#This Row],[Cum_fit]]*NOT(ISBLANK(Tabella211[[#This Row],[Cum_confirmed]]))</f>
        <v>141659.41345127128</v>
      </c>
      <c r="J53" s="10">
        <f>Tabella211[[#This Row],[Cum_fit]]+CI</f>
        <v>148990.04900732689</v>
      </c>
      <c r="K53" s="10">
        <f>MAX(Tabella211[[#This Row],[Cum_fit]]-CI,0)</f>
        <v>134328.77789521567</v>
      </c>
      <c r="L53" s="54">
        <f>'dpc-covid19-ita-andamento-naz'!G47</f>
        <v>96877</v>
      </c>
      <c r="M53" s="54">
        <f>'dpc-covid19-ita-andamento-naz'!H47</f>
        <v>1615</v>
      </c>
      <c r="N53" s="54">
        <f>Tabella211[[#This Row],[New_cases_fit]]-Tabella211[[#This Row],[New_Recovered_fit]]-Tabella211[[#This Row],[New_Deaths_fit]]</f>
        <v>1308.0249845533567</v>
      </c>
      <c r="O53" s="10">
        <f>'dpc-covid19-ita-andamento-naz'!J47</f>
        <v>28470</v>
      </c>
      <c r="P53" s="48">
        <f>Tabella211[[#This Row],[Cum_recov]]-O52</f>
        <v>1979</v>
      </c>
      <c r="Q53" s="60">
        <f>Tabella211[[#This Row],[Cum_recov]]*NOT(ISBLANK(Tabella211[[#This Row],[Cum_recov]]))</f>
        <v>28470</v>
      </c>
      <c r="R53" s="50">
        <f>kr*t0r*_xlfn.GAMMA.DIST(Tabella211[[#This Row],[Day]]/t0r,wr+1,1,1)*_xlfn.GAMMA(wr+1)</f>
        <v>28032.791837639877</v>
      </c>
      <c r="S53" s="10">
        <f>kr*((Tabella211[[#This Row],[Day]]/t0r)^wr)*EXP(-(Tabella211[[#This Row],[Day]]/t0r))</f>
        <v>1782.0522919058467</v>
      </c>
      <c r="T53" s="60">
        <f>Tabella211[[#This Row],[Cum_R_fit]]*NOT(ISBLANK(Tabella211[[#This Row],[Cum_recov]]))</f>
        <v>28032.791837639877</v>
      </c>
      <c r="U53" s="10">
        <f>Tabella211[[#This Row],[Cum_R_fit]]+CIr</f>
        <v>29054.463400530483</v>
      </c>
      <c r="V53" s="10">
        <f>MAX(Tabella211[[#This Row],[Cum_R_fit]]-CIr,0)</f>
        <v>27011.120274749272</v>
      </c>
      <c r="W53" s="10">
        <f>'dpc-covid19-ita-andamento-naz'!K47</f>
        <v>18279</v>
      </c>
      <c r="X53" s="26">
        <f>Tabella211[[#This Row],[Cum_deaths]]-W52</f>
        <v>610</v>
      </c>
      <c r="Y53" s="65">
        <f>Tabella211[[#This Row],[Cum_deaths]]*NOT(ISBLANK(Tabella211[[#This Row],[Cum_deaths]]))</f>
        <v>18279</v>
      </c>
      <c r="Z53" s="50">
        <f>kh*t0h*_xlfn.GAMMA.DIST(Tabella211[[#This Row],[Day]]/t0h,wh+1,1,1)*_xlfn.GAMMA(wh+1)</f>
        <v>17927.649957664184</v>
      </c>
      <c r="AA53" s="10">
        <f>kh*((Tabella211[[#This Row],[Day]]/t0h)^wh)*EXP(-(Tabella211[[#This Row],[Day]]/t0h))</f>
        <v>572.69125689772625</v>
      </c>
      <c r="AB53" s="65">
        <f>Tabella211[[#This Row],[Cum_D_fit]]*NOT(ISBLANK(Tabella211[[#This Row],[Cum_deaths]]))</f>
        <v>17927.649957664184</v>
      </c>
      <c r="AC53" s="10">
        <f>Tabella211[[#This Row],[Cum_D_fit]]+CIh</f>
        <v>18809.896984855102</v>
      </c>
      <c r="AD53" s="10">
        <f>MAX(Tabella211[[#This Row],[Cum_D_fit]]-CIh,0)</f>
        <v>17045.402930473265</v>
      </c>
    </row>
    <row r="54" spans="2:30" x14ac:dyDescent="0.3">
      <c r="B54" s="9">
        <v>43931</v>
      </c>
      <c r="C54" s="4">
        <f t="shared" si="0"/>
        <v>46</v>
      </c>
      <c r="D54" s="10">
        <f>'dpc-covid19-ita-andamento-naz'!L48</f>
        <v>147577</v>
      </c>
      <c r="E54" s="30">
        <f>'dpc-covid19-ita-andamento-naz'!I48</f>
        <v>3951</v>
      </c>
      <c r="F54" s="56">
        <f>Tabella211[[#This Row],[Cum_confirmed]]*NOT(ISBLANK(Tabella211[[#This Row],[Cum_confirmed]]))</f>
        <v>147577</v>
      </c>
      <c r="G54" s="50">
        <f>k*t0*_xlfn.GAMMA.DIST(Tabella211[[#This Row],[Day]]/t0,w+1,1,1)*_xlfn.GAMMA(w+1)</f>
        <v>145230.43552324554</v>
      </c>
      <c r="H54" s="10">
        <f>k*((Tabella211[[#This Row],[Day]]/t0)^w)*EXP(-(Tabella211[[#This Row],[Day]]/t0))</f>
        <v>3479.4288793754008</v>
      </c>
      <c r="I54" s="56">
        <f>Tabella211[[#This Row],[Cum_fit]]*NOT(ISBLANK(Tabella211[[#This Row],[Cum_confirmed]]))</f>
        <v>145230.43552324554</v>
      </c>
      <c r="J54" s="10">
        <f>Tabella211[[#This Row],[Cum_fit]]+CI</f>
        <v>152561.07107930115</v>
      </c>
      <c r="K54" s="10">
        <f>MAX(Tabella211[[#This Row],[Cum_fit]]-CI,0)</f>
        <v>137899.79996718993</v>
      </c>
      <c r="L54" s="54">
        <f>'dpc-covid19-ita-andamento-naz'!G48</f>
        <v>98273</v>
      </c>
      <c r="M54" s="54">
        <f>'dpc-covid19-ita-andamento-naz'!H48</f>
        <v>1396</v>
      </c>
      <c r="N54" s="54">
        <f>Tabella211[[#This Row],[New_cases_fit]]-Tabella211[[#This Row],[New_Recovered_fit]]-Tabella211[[#This Row],[New_Deaths_fit]]</f>
        <v>1081.6174588743993</v>
      </c>
      <c r="O54" s="10">
        <f>'dpc-covid19-ita-andamento-naz'!J48</f>
        <v>30455</v>
      </c>
      <c r="P54" s="48">
        <f>Tabella211[[#This Row],[Cum_recov]]-O53</f>
        <v>1985</v>
      </c>
      <c r="Q54" s="60">
        <f>Tabella211[[#This Row],[Cum_recov]]*NOT(ISBLANK(Tabella211[[#This Row],[Cum_recov]]))</f>
        <v>30455</v>
      </c>
      <c r="R54" s="50">
        <f>kr*t0r*_xlfn.GAMMA.DIST(Tabella211[[#This Row],[Day]]/t0r,wr+1,1,1)*_xlfn.GAMMA(wr+1)</f>
        <v>29851.644256025535</v>
      </c>
      <c r="S54" s="10">
        <f>kr*((Tabella211[[#This Row],[Day]]/t0r)^wr)*EXP(-(Tabella211[[#This Row],[Day]]/t0r))</f>
        <v>1855.8738910091724</v>
      </c>
      <c r="T54" s="60">
        <f>Tabella211[[#This Row],[Cum_R_fit]]*NOT(ISBLANK(Tabella211[[#This Row],[Cum_recov]]))</f>
        <v>29851.644256025535</v>
      </c>
      <c r="U54" s="10">
        <f>Tabella211[[#This Row],[Cum_R_fit]]+CIr</f>
        <v>30873.31581891614</v>
      </c>
      <c r="V54" s="10">
        <f>MAX(Tabella211[[#This Row],[Cum_R_fit]]-CIr,0)</f>
        <v>28829.972693134929</v>
      </c>
      <c r="W54" s="10">
        <f>'dpc-covid19-ita-andamento-naz'!K48</f>
        <v>18849</v>
      </c>
      <c r="X54" s="26">
        <f>Tabella211[[#This Row],[Cum_deaths]]-W53</f>
        <v>570</v>
      </c>
      <c r="Y54" s="65">
        <f>Tabella211[[#This Row],[Cum_deaths]]*NOT(ISBLANK(Tabella211[[#This Row],[Cum_deaths]]))</f>
        <v>18849</v>
      </c>
      <c r="Z54" s="50">
        <f>kh*t0h*_xlfn.GAMMA.DIST(Tabella211[[#This Row],[Day]]/t0h,wh+1,1,1)*_xlfn.GAMMA(wh+1)</f>
        <v>18484.988948085749</v>
      </c>
      <c r="AA54" s="10">
        <f>kh*((Tabella211[[#This Row],[Day]]/t0h)^wh)*EXP(-(Tabella211[[#This Row],[Day]]/t0h))</f>
        <v>541.9375294918292</v>
      </c>
      <c r="AB54" s="65">
        <f>Tabella211[[#This Row],[Cum_D_fit]]*NOT(ISBLANK(Tabella211[[#This Row],[Cum_deaths]]))</f>
        <v>18484.988948085749</v>
      </c>
      <c r="AC54" s="10">
        <f>Tabella211[[#This Row],[Cum_D_fit]]+CIh</f>
        <v>19367.235975276668</v>
      </c>
      <c r="AD54" s="10">
        <f>MAX(Tabella211[[#This Row],[Cum_D_fit]]-CIh,0)</f>
        <v>17602.74192089483</v>
      </c>
    </row>
    <row r="55" spans="2:30" x14ac:dyDescent="0.3">
      <c r="B55" s="9">
        <v>43932</v>
      </c>
      <c r="C55" s="4">
        <f t="shared" si="0"/>
        <v>47</v>
      </c>
      <c r="D55" s="10">
        <f>'dpc-covid19-ita-andamento-naz'!L49</f>
        <v>152271</v>
      </c>
      <c r="E55" s="30">
        <f>'dpc-covid19-ita-andamento-naz'!I49</f>
        <v>4694</v>
      </c>
      <c r="F55" s="56">
        <f>Tabella211[[#This Row],[Cum_confirmed]]*NOT(ISBLANK(Tabella211[[#This Row],[Cum_confirmed]]))</f>
        <v>152271</v>
      </c>
      <c r="G55" s="50">
        <f>k*t0*_xlfn.GAMMA.DIST(Tabella211[[#This Row],[Day]]/t0,w+1,1,1)*_xlfn.GAMMA(w+1)</f>
        <v>148618.77004758496</v>
      </c>
      <c r="H55" s="10">
        <f>k*((Tabella211[[#This Row],[Day]]/t0)^w)*EXP(-(Tabella211[[#This Row],[Day]]/t0))</f>
        <v>3297.580807887382</v>
      </c>
      <c r="I55" s="56">
        <f>Tabella211[[#This Row],[Cum_fit]]*NOT(ISBLANK(Tabella211[[#This Row],[Cum_confirmed]]))</f>
        <v>148618.77004758496</v>
      </c>
      <c r="J55" s="10">
        <f>Tabella211[[#This Row],[Cum_fit]]+CI</f>
        <v>155949.40560364057</v>
      </c>
      <c r="K55" s="10">
        <f>MAX(Tabella211[[#This Row],[Cum_fit]]-CI,0)</f>
        <v>141288.13449152934</v>
      </c>
      <c r="L55" s="54">
        <f>'dpc-covid19-ita-andamento-naz'!G49</f>
        <v>100269</v>
      </c>
      <c r="M55" s="54">
        <f>'dpc-covid19-ita-andamento-naz'!H49</f>
        <v>1996</v>
      </c>
      <c r="N55" s="54">
        <f>Tabella211[[#This Row],[New_cases_fit]]-Tabella211[[#This Row],[New_Recovered_fit]]-Tabella211[[#This Row],[New_Deaths_fit]]</f>
        <v>855.51723412366835</v>
      </c>
      <c r="O55" s="10">
        <f>'dpc-covid19-ita-andamento-naz'!J49</f>
        <v>32534</v>
      </c>
      <c r="P55" s="48">
        <f>Tabella211[[#This Row],[Cum_recov]]-O54</f>
        <v>2079</v>
      </c>
      <c r="Q55" s="60">
        <f>Tabella211[[#This Row],[Cum_recov]]*NOT(ISBLANK(Tabella211[[#This Row],[Cum_recov]]))</f>
        <v>32534</v>
      </c>
      <c r="R55" s="50">
        <f>kr*t0r*_xlfn.GAMMA.DIST(Tabella211[[#This Row],[Day]]/t0r,wr+1,1,1)*_xlfn.GAMMA(wr+1)</f>
        <v>31744.980952505695</v>
      </c>
      <c r="S55" s="10">
        <f>kr*((Tabella211[[#This Row],[Day]]/t0r)^wr)*EXP(-(Tabella211[[#This Row],[Day]]/t0r))</f>
        <v>1931.0194921612569</v>
      </c>
      <c r="T55" s="60">
        <f>Tabella211[[#This Row],[Cum_R_fit]]*NOT(ISBLANK(Tabella211[[#This Row],[Cum_recov]]))</f>
        <v>31744.980952505695</v>
      </c>
      <c r="U55" s="10">
        <f>Tabella211[[#This Row],[Cum_R_fit]]+CIr</f>
        <v>32766.652515396301</v>
      </c>
      <c r="V55" s="10">
        <f>MAX(Tabella211[[#This Row],[Cum_R_fit]]-CIr,0)</f>
        <v>30723.309389615089</v>
      </c>
      <c r="W55" s="10">
        <f>'dpc-covid19-ita-andamento-naz'!K49</f>
        <v>19468</v>
      </c>
      <c r="X55" s="26">
        <f>Tabella211[[#This Row],[Cum_deaths]]-W54</f>
        <v>619</v>
      </c>
      <c r="Y55" s="65">
        <f>Tabella211[[#This Row],[Cum_deaths]]*NOT(ISBLANK(Tabella211[[#This Row],[Cum_deaths]]))</f>
        <v>19468</v>
      </c>
      <c r="Z55" s="50">
        <f>kh*t0h*_xlfn.GAMMA.DIST(Tabella211[[#This Row],[Day]]/t0h,wh+1,1,1)*_xlfn.GAMMA(wh+1)</f>
        <v>19011.478836786944</v>
      </c>
      <c r="AA55" s="10">
        <f>kh*((Tabella211[[#This Row],[Day]]/t0h)^wh)*EXP(-(Tabella211[[#This Row],[Day]]/t0h))</f>
        <v>511.04408160245669</v>
      </c>
      <c r="AB55" s="65">
        <f>Tabella211[[#This Row],[Cum_D_fit]]*NOT(ISBLANK(Tabella211[[#This Row],[Cum_deaths]]))</f>
        <v>19011.478836786944</v>
      </c>
      <c r="AC55" s="10">
        <f>Tabella211[[#This Row],[Cum_D_fit]]+CIh</f>
        <v>19893.725863977863</v>
      </c>
      <c r="AD55" s="10">
        <f>MAX(Tabella211[[#This Row],[Cum_D_fit]]-CIh,0)</f>
        <v>18129.231809596025</v>
      </c>
    </row>
    <row r="56" spans="2:30" x14ac:dyDescent="0.3">
      <c r="B56" s="9">
        <v>43933</v>
      </c>
      <c r="C56" s="4">
        <f t="shared" si="0"/>
        <v>48</v>
      </c>
      <c r="E56" s="30"/>
      <c r="F56" s="56">
        <f>Tabella211[[#This Row],[Cum_confirmed]]*NOT(ISBLANK(Tabella211[[#This Row],[Cum_confirmed]]))</f>
        <v>0</v>
      </c>
      <c r="G56" s="50">
        <f>k*t0*_xlfn.GAMMA.DIST(Tabella211[[#This Row],[Day]]/t0,w+1,1,1)*_xlfn.GAMMA(w+1)</f>
        <v>151826.44634033646</v>
      </c>
      <c r="H56" s="10">
        <f>k*((Tabella211[[#This Row],[Day]]/t0)^w)*EXP(-(Tabella211[[#This Row],[Day]]/t0))</f>
        <v>3118.2756046388517</v>
      </c>
      <c r="I56" s="56">
        <f>Tabella211[[#This Row],[Cum_fit]]*NOT(ISBLANK(Tabella211[[#This Row],[Cum_confirmed]]))</f>
        <v>0</v>
      </c>
      <c r="L56" s="55"/>
      <c r="M56" s="54"/>
      <c r="N56" s="54">
        <f>Tabella211[[#This Row],[New_cases_fit]]-Tabella211[[#This Row],[New_Recovered_fit]]-Tabella211[[#This Row],[New_Deaths_fit]]</f>
        <v>630.49529886836308</v>
      </c>
      <c r="P56" s="48"/>
      <c r="Q56" s="60">
        <f>Tabella211[[#This Row],[Cum_recov]]*NOT(ISBLANK(Tabella211[[#This Row],[Cum_recov]]))</f>
        <v>0</v>
      </c>
      <c r="R56" s="50">
        <f>kr*t0r*_xlfn.GAMMA.DIST(Tabella211[[#This Row],[Day]]/t0r,wr+1,1,1)*_xlfn.GAMMA(wr+1)</f>
        <v>33714.121878657912</v>
      </c>
      <c r="S56" s="10">
        <f>kr*((Tabella211[[#This Row],[Day]]/t0r)^wr)*EXP(-(Tabella211[[#This Row],[Day]]/t0r))</f>
        <v>2007.4810116163474</v>
      </c>
      <c r="T56" s="60">
        <f>Tabella211[[#This Row],[Cum_R_fit]]*NOT(ISBLANK(Tabella211[[#This Row],[Cum_recov]]))</f>
        <v>0</v>
      </c>
      <c r="X56" s="26"/>
      <c r="Y56" s="65">
        <f>Tabella211[[#This Row],[Cum_deaths]]*NOT(ISBLANK(Tabella211[[#This Row],[Cum_deaths]]))</f>
        <v>0</v>
      </c>
      <c r="Z56" s="50">
        <f>kh*t0h*_xlfn.GAMMA.DIST(Tabella211[[#This Row],[Day]]/t0h,wh+1,1,1)*_xlfn.GAMMA(wh+1)</f>
        <v>19507.127061208634</v>
      </c>
      <c r="AA56" s="10">
        <f>kh*((Tabella211[[#This Row],[Day]]/t0h)^wh)*EXP(-(Tabella211[[#This Row],[Day]]/t0h))</f>
        <v>480.29929415414136</v>
      </c>
      <c r="AB56" s="65">
        <f>Tabella211[[#This Row],[Cum_D_fit]]*NOT(ISBLANK(Tabella211[[#This Row],[Cum_deaths]]))</f>
        <v>0</v>
      </c>
    </row>
    <row r="57" spans="2:30" x14ac:dyDescent="0.3">
      <c r="B57" s="9">
        <v>43934</v>
      </c>
      <c r="C57" s="4">
        <f t="shared" si="0"/>
        <v>49</v>
      </c>
      <c r="E57" s="30"/>
      <c r="F57" s="56">
        <f>Tabella211[[#This Row],[Cum_confirmed]]*NOT(ISBLANK(Tabella211[[#This Row],[Cum_confirmed]]))</f>
        <v>0</v>
      </c>
      <c r="G57" s="50">
        <f>k*t0*_xlfn.GAMMA.DIST(Tabella211[[#This Row],[Day]]/t0,w+1,1,1)*_xlfn.GAMMA(w+1)</f>
        <v>154856.47350352912</v>
      </c>
      <c r="H57" s="10">
        <f>k*((Tabella211[[#This Row],[Day]]/t0)^w)*EXP(-(Tabella211[[#This Row],[Day]]/t0))</f>
        <v>2942.4226453721358</v>
      </c>
      <c r="I57" s="56">
        <f>Tabella211[[#This Row],[Cum_fit]]*NOT(ISBLANK(Tabella211[[#This Row],[Cum_confirmed]]))</f>
        <v>0</v>
      </c>
      <c r="L57" s="55"/>
      <c r="M57" s="54"/>
      <c r="N57" s="54">
        <f>Tabella211[[#This Row],[New_cases_fit]]-Tabella211[[#This Row],[New_Recovered_fit]]-Tabella211[[#This Row],[New_Deaths_fit]]</f>
        <v>407.21621476822196</v>
      </c>
      <c r="P57" s="48"/>
      <c r="Q57" s="60">
        <f>Tabella211[[#This Row],[Cum_recov]]*NOT(ISBLANK(Tabella211[[#This Row],[Cum_recov]]))</f>
        <v>0</v>
      </c>
      <c r="R57" s="50">
        <f>kr*t0r*_xlfn.GAMMA.DIST(Tabella211[[#This Row],[Day]]/t0r,wr+1,1,1)*_xlfn.GAMMA(wr+1)</f>
        <v>35760.378953252446</v>
      </c>
      <c r="S57" s="10">
        <f>kr*((Tabella211[[#This Row],[Day]]/t0r)^wr)*EXP(-(Tabella211[[#This Row],[Day]]/t0r))</f>
        <v>2085.2504668626225</v>
      </c>
      <c r="T57" s="60">
        <f>Tabella211[[#This Row],[Cum_R_fit]]*NOT(ISBLANK(Tabella211[[#This Row],[Cum_recov]]))</f>
        <v>0</v>
      </c>
      <c r="X57" s="26"/>
      <c r="Y57" s="65">
        <f>Tabella211[[#This Row],[Cum_deaths]]*NOT(ISBLANK(Tabella211[[#This Row],[Cum_deaths]]))</f>
        <v>0</v>
      </c>
      <c r="Z57" s="50">
        <f>kh*t0h*_xlfn.GAMMA.DIST(Tabella211[[#This Row],[Day]]/t0h,wh+1,1,1)*_xlfn.GAMMA(wh+1)</f>
        <v>19972.211634474344</v>
      </c>
      <c r="AA57" s="10">
        <f>kh*((Tabella211[[#This Row],[Day]]/t0h)^wh)*EXP(-(Tabella211[[#This Row],[Day]]/t0h))</f>
        <v>449.95596374129133</v>
      </c>
      <c r="AB57" s="65">
        <f>Tabella211[[#This Row],[Cum_D_fit]]*NOT(ISBLANK(Tabella211[[#This Row],[Cum_deaths]]))</f>
        <v>0</v>
      </c>
    </row>
    <row r="58" spans="2:30" x14ac:dyDescent="0.3">
      <c r="B58" s="9">
        <v>43935</v>
      </c>
      <c r="C58" s="4">
        <f t="shared" si="0"/>
        <v>50</v>
      </c>
      <c r="E58" s="30"/>
      <c r="F58" s="56">
        <f>Tabella211[[#This Row],[Cum_confirmed]]*NOT(ISBLANK(Tabella211[[#This Row],[Cum_confirmed]]))</f>
        <v>0</v>
      </c>
      <c r="G58" s="50">
        <f>k*t0*_xlfn.GAMMA.DIST(Tabella211[[#This Row],[Day]]/t0,w+1,1,1)*_xlfn.GAMMA(w+1)</f>
        <v>157712.70199137798</v>
      </c>
      <c r="H58" s="10">
        <f>k*((Tabella211[[#This Row],[Day]]/t0)^w)*EXP(-(Tabella211[[#This Row],[Day]]/t0))</f>
        <v>2770.79654394007</v>
      </c>
      <c r="I58" s="56">
        <f>Tabella211[[#This Row],[Cum_fit]]*NOT(ISBLANK(Tabella211[[#This Row],[Cum_confirmed]]))</f>
        <v>0</v>
      </c>
      <c r="L58" s="55"/>
      <c r="M58" s="54"/>
      <c r="N58" s="54">
        <f>Tabella211[[#This Row],[New_cases_fit]]-Tabella211[[#This Row],[New_Recovered_fit]]-Tabella211[[#This Row],[New_Deaths_fit]]</f>
        <v>186.24474004782758</v>
      </c>
      <c r="P58" s="48"/>
      <c r="Q58" s="60">
        <f>Tabella211[[#This Row],[Cum_recov]]*NOT(ISBLANK(Tabella211[[#This Row],[Cum_recov]]))</f>
        <v>0</v>
      </c>
      <c r="R58" s="50">
        <f>kr*t0r*_xlfn.GAMMA.DIST(Tabella211[[#This Row],[Day]]/t0r,wr+1,1,1)*_xlfn.GAMMA(wr+1)</f>
        <v>37885.056161596804</v>
      </c>
      <c r="S58" s="10">
        <f>kr*((Tabella211[[#This Row],[Day]]/t0r)^wr)*EXP(-(Tabella211[[#This Row],[Day]]/t0r))</f>
        <v>2164.3199728817926</v>
      </c>
      <c r="T58" s="60">
        <f>Tabella211[[#This Row],[Cum_R_fit]]*NOT(ISBLANK(Tabella211[[#This Row],[Cum_recov]]))</f>
        <v>0</v>
      </c>
      <c r="X58" s="26"/>
      <c r="Y58" s="65">
        <f>Tabella211[[#This Row],[Cum_deaths]]*NOT(ISBLANK(Tabella211[[#This Row],[Cum_deaths]]))</f>
        <v>0</v>
      </c>
      <c r="Z58" s="50">
        <f>kh*t0h*_xlfn.GAMMA.DIST(Tabella211[[#This Row],[Day]]/t0h,wh+1,1,1)*_xlfn.GAMMA(wh+1)</f>
        <v>20407.245765014937</v>
      </c>
      <c r="AA58" s="10">
        <f>kh*((Tabella211[[#This Row],[Day]]/t0h)^wh)*EXP(-(Tabella211[[#This Row],[Day]]/t0h))</f>
        <v>420.23183101044981</v>
      </c>
      <c r="AB58" s="65">
        <f>Tabella211[[#This Row],[Cum_D_fit]]*NOT(ISBLANK(Tabella211[[#This Row],[Cum_deaths]]))</f>
        <v>0</v>
      </c>
    </row>
    <row r="59" spans="2:30" x14ac:dyDescent="0.3">
      <c r="B59" s="9">
        <v>43936</v>
      </c>
      <c r="C59" s="4">
        <f t="shared" si="0"/>
        <v>51</v>
      </c>
      <c r="E59" s="30"/>
      <c r="F59" s="56">
        <f>Tabella211[[#This Row],[Cum_confirmed]]*NOT(ISBLANK(Tabella211[[#This Row],[Cum_confirmed]]))</f>
        <v>0</v>
      </c>
      <c r="G59" s="50">
        <f>k*t0*_xlfn.GAMMA.DIST(Tabella211[[#This Row],[Day]]/t0,w+1,1,1)*_xlfn.GAMMA(w+1)</f>
        <v>160399.69285426833</v>
      </c>
      <c r="H59" s="10">
        <f>k*((Tabella211[[#This Row],[Day]]/t0)^w)*EXP(-(Tabella211[[#This Row],[Day]]/t0))</f>
        <v>2604.0453038108808</v>
      </c>
      <c r="I59" s="56">
        <f>Tabella211[[#This Row],[Cum_fit]]*NOT(ISBLANK(Tabella211[[#This Row],[Cum_confirmed]]))</f>
        <v>0</v>
      </c>
      <c r="L59" s="55"/>
      <c r="M59" s="54"/>
      <c r="N59" s="54">
        <f>Tabella211[[#This Row],[New_cases_fit]]-Tabella211[[#This Row],[New_Recovered_fit]]-Tabella211[[#This Row],[New_Deaths_fit]]</f>
        <v>-31.947193103290601</v>
      </c>
      <c r="P59" s="48"/>
      <c r="Q59" s="60">
        <f>Tabella211[[#This Row],[Cum_recov]]*NOT(ISBLANK(Tabella211[[#This Row],[Cum_recov]]))</f>
        <v>0</v>
      </c>
      <c r="R59" s="50">
        <f>kr*t0r*_xlfn.GAMMA.DIST(Tabella211[[#This Row],[Day]]/t0r,wr+1,1,1)*_xlfn.GAMMA(wr+1)</f>
        <v>40089.449651253672</v>
      </c>
      <c r="S59" s="10">
        <f>kr*((Tabella211[[#This Row],[Day]]/t0r)^wr)*EXP(-(Tabella211[[#This Row],[Day]]/t0r))</f>
        <v>2244.6817386356201</v>
      </c>
      <c r="T59" s="60">
        <f>Tabella211[[#This Row],[Cum_R_fit]]*NOT(ISBLANK(Tabella211[[#This Row],[Cum_recov]]))</f>
        <v>0</v>
      </c>
      <c r="X59" s="26"/>
      <c r="Y59" s="65">
        <f>Tabella211[[#This Row],[Cum_deaths]]*NOT(ISBLANK(Tabella211[[#This Row],[Cum_deaths]]))</f>
        <v>0</v>
      </c>
      <c r="Z59" s="50">
        <f>kh*t0h*_xlfn.GAMMA.DIST(Tabella211[[#This Row],[Day]]/t0h,wh+1,1,1)*_xlfn.GAMMA(wh+1)</f>
        <v>20812.943341350121</v>
      </c>
      <c r="AA59" s="10">
        <f>kh*((Tabella211[[#This Row],[Day]]/t0h)^wh)*EXP(-(Tabella211[[#This Row],[Day]]/t0h))</f>
        <v>391.31075827855125</v>
      </c>
      <c r="AB59" s="65">
        <f>Tabella211[[#This Row],[Cum_D_fit]]*NOT(ISBLANK(Tabella211[[#This Row],[Cum_deaths]]))</f>
        <v>0</v>
      </c>
    </row>
    <row r="60" spans="2:30" x14ac:dyDescent="0.3">
      <c r="B60" s="9">
        <v>43937</v>
      </c>
      <c r="C60" s="4">
        <f t="shared" si="0"/>
        <v>52</v>
      </c>
      <c r="E60" s="30"/>
      <c r="F60" s="56">
        <f>Tabella211[[#This Row],[Cum_confirmed]]*NOT(ISBLANK(Tabella211[[#This Row],[Cum_confirmed]]))</f>
        <v>0</v>
      </c>
      <c r="G60" s="50">
        <f>k*t0*_xlfn.GAMMA.DIST(Tabella211[[#This Row],[Day]]/t0,w+1,1,1)*_xlfn.GAMMA(w+1)</f>
        <v>162922.59550346446</v>
      </c>
      <c r="H60" s="10">
        <f>k*((Tabella211[[#This Row],[Day]]/t0)^w)*EXP(-(Tabella211[[#This Row],[Day]]/t0))</f>
        <v>2442.6991594001174</v>
      </c>
      <c r="I60" s="56">
        <f>Tabella211[[#This Row],[Cum_fit]]*NOT(ISBLANK(Tabella211[[#This Row],[Cum_confirmed]]))</f>
        <v>0</v>
      </c>
      <c r="L60" s="55"/>
      <c r="M60" s="54"/>
      <c r="N60" s="54">
        <f>Tabella211[[#This Row],[New_cases_fit]]-Tabella211[[#This Row],[New_Recovered_fit]]-Tabella211[[#This Row],[New_Deaths_fit]]</f>
        <v>-246.97332031131663</v>
      </c>
      <c r="P60" s="48"/>
      <c r="Q60" s="60">
        <f>Tabella211[[#This Row],[Cum_recov]]*NOT(ISBLANK(Tabella211[[#This Row],[Cum_recov]]))</f>
        <v>0</v>
      </c>
      <c r="R60" s="50">
        <f>kr*t0r*_xlfn.GAMMA.DIST(Tabella211[[#This Row],[Day]]/t0r,wr+1,1,1)*_xlfn.GAMMA(wr+1)</f>
        <v>42374.847824352626</v>
      </c>
      <c r="S60" s="10">
        <f>kr*((Tabella211[[#This Row],[Day]]/t0r)^wr)*EXP(-(Tabella211[[#This Row],[Day]]/t0r))</f>
        <v>2326.328063761212</v>
      </c>
      <c r="T60" s="60">
        <f>Tabella211[[#This Row],[Cum_R_fit]]*NOT(ISBLANK(Tabella211[[#This Row],[Cum_recov]]))</f>
        <v>0</v>
      </c>
      <c r="X60" s="26"/>
      <c r="Y60" s="65">
        <f>Tabella211[[#This Row],[Cum_deaths]]*NOT(ISBLANK(Tabella211[[#This Row],[Cum_deaths]]))</f>
        <v>0</v>
      </c>
      <c r="Z60" s="50">
        <f>kh*t0h*_xlfn.GAMMA.DIST(Tabella211[[#This Row],[Day]]/t0h,wh+1,1,1)*_xlfn.GAMMA(wh+1)</f>
        <v>21190.18586010985</v>
      </c>
      <c r="AA60" s="10">
        <f>kh*((Tabella211[[#This Row],[Day]]/t0h)^wh)*EXP(-(Tabella211[[#This Row],[Day]]/t0h))</f>
        <v>363.34441595022207</v>
      </c>
      <c r="AB60" s="65">
        <f>Tabella211[[#This Row],[Cum_D_fit]]*NOT(ISBLANK(Tabella211[[#This Row],[Cum_deaths]]))</f>
        <v>0</v>
      </c>
    </row>
    <row r="61" spans="2:30" x14ac:dyDescent="0.3">
      <c r="B61" s="9">
        <v>43938</v>
      </c>
      <c r="C61" s="4">
        <f t="shared" si="0"/>
        <v>53</v>
      </c>
      <c r="E61" s="30"/>
      <c r="F61" s="56">
        <f>Tabella211[[#This Row],[Cum_confirmed]]*NOT(ISBLANK(Tabella211[[#This Row],[Cum_confirmed]]))</f>
        <v>0</v>
      </c>
      <c r="G61" s="50">
        <f>k*t0*_xlfn.GAMMA.DIST(Tabella211[[#This Row],[Day]]/t0,w+1,1,1)*_xlfn.GAMMA(w+1)</f>
        <v>165287.03454761836</v>
      </c>
      <c r="H61" s="10">
        <f>k*((Tabella211[[#This Row],[Day]]/t0)^w)*EXP(-(Tabella211[[#This Row],[Day]]/t0))</f>
        <v>2287.1798367308702</v>
      </c>
      <c r="I61" s="56">
        <f>Tabella211[[#This Row],[Cum_fit]]*NOT(ISBLANK(Tabella211[[#This Row],[Cum_confirmed]]))</f>
        <v>0</v>
      </c>
      <c r="L61" s="55"/>
      <c r="M61" s="54"/>
      <c r="N61" s="54">
        <f>Tabella211[[#This Row],[New_cases_fit]]-Tabella211[[#This Row],[New_Recovered_fit]]-Tabella211[[#This Row],[New_Deaths_fit]]</f>
        <v>-458.52584828845647</v>
      </c>
      <c r="P61" s="48"/>
      <c r="Q61" s="60">
        <f>Tabella211[[#This Row],[Cum_recov]]*NOT(ISBLANK(Tabella211[[#This Row],[Cum_recov]]))</f>
        <v>0</v>
      </c>
      <c r="R61" s="50">
        <f>kr*t0r*_xlfn.GAMMA.DIST(Tabella211[[#This Row],[Day]]/t0r,wr+1,1,1)*_xlfn.GAMMA(wr+1)</f>
        <v>44742.531426693313</v>
      </c>
      <c r="S61" s="10">
        <f>kr*((Tabella211[[#This Row],[Day]]/t0r)^wr)*EXP(-(Tabella211[[#This Row],[Day]]/t0r))</f>
        <v>2409.2513354586695</v>
      </c>
      <c r="T61" s="60">
        <f>Tabella211[[#This Row],[Cum_R_fit]]*NOT(ISBLANK(Tabella211[[#This Row],[Cum_recov]]))</f>
        <v>0</v>
      </c>
      <c r="X61" s="26"/>
      <c r="Y61" s="65">
        <f>Tabella211[[#This Row],[Cum_deaths]]*NOT(ISBLANK(Tabella211[[#This Row],[Cum_deaths]]))</f>
        <v>0</v>
      </c>
      <c r="Z61" s="50">
        <f>kh*t0h*_xlfn.GAMMA.DIST(Tabella211[[#This Row],[Day]]/t0h,wh+1,1,1)*_xlfn.GAMMA(wh+1)</f>
        <v>21539.991240909418</v>
      </c>
      <c r="AA61" s="10">
        <f>kh*((Tabella211[[#This Row],[Day]]/t0h)^wh)*EXP(-(Tabella211[[#This Row],[Day]]/t0h))</f>
        <v>336.45434956065719</v>
      </c>
      <c r="AB61" s="65">
        <f>Tabella211[[#This Row],[Cum_D_fit]]*NOT(ISBLANK(Tabella211[[#This Row],[Cum_deaths]]))</f>
        <v>0</v>
      </c>
    </row>
    <row r="62" spans="2:30" x14ac:dyDescent="0.3">
      <c r="B62" s="9">
        <v>43939</v>
      </c>
      <c r="C62" s="4">
        <f t="shared" si="0"/>
        <v>54</v>
      </c>
      <c r="E62" s="30"/>
      <c r="F62" s="56">
        <f>Tabella211[[#This Row],[Cum_confirmed]]*NOT(ISBLANK(Tabella211[[#This Row],[Cum_confirmed]]))</f>
        <v>0</v>
      </c>
      <c r="G62" s="50">
        <f>k*t0*_xlfn.GAMMA.DIST(Tabella211[[#This Row],[Day]]/t0,w+1,1,1)*_xlfn.GAMMA(w+1)</f>
        <v>167499.00600225059</v>
      </c>
      <c r="H62" s="10">
        <f>k*((Tabella211[[#This Row],[Day]]/t0)^w)*EXP(-(Tabella211[[#This Row],[Day]]/t0))</f>
        <v>2137.8100036814189</v>
      </c>
      <c r="I62" s="56">
        <f>Tabella211[[#This Row],[Cum_fit]]*NOT(ISBLANK(Tabella211[[#This Row],[Cum_confirmed]]))</f>
        <v>0</v>
      </c>
      <c r="L62" s="55"/>
      <c r="M62" s="54"/>
      <c r="N62" s="54">
        <f>Tabella211[[#This Row],[New_cases_fit]]-Tabella211[[#This Row],[New_Recovered_fit]]-Tabella211[[#This Row],[New_Deaths_fit]]</f>
        <v>-666.36833491604193</v>
      </c>
      <c r="P62" s="48"/>
      <c r="Q62" s="60">
        <f>Tabella211[[#This Row],[Cum_recov]]*NOT(ISBLANK(Tabella211[[#This Row],[Cum_recov]]))</f>
        <v>0</v>
      </c>
      <c r="R62" s="50">
        <f>kr*t0r*_xlfn.GAMMA.DIST(Tabella211[[#This Row],[Day]]/t0r,wr+1,1,1)*_xlfn.GAMMA(wr+1)</f>
        <v>47193.773633827332</v>
      </c>
      <c r="S62" s="10">
        <f>kr*((Tabella211[[#This Row],[Day]]/t0r)^wr)*EXP(-(Tabella211[[#This Row],[Day]]/t0r))</f>
        <v>2493.4440255562845</v>
      </c>
      <c r="T62" s="60">
        <f>Tabella211[[#This Row],[Cum_R_fit]]*NOT(ISBLANK(Tabella211[[#This Row],[Cum_recov]]))</f>
        <v>0</v>
      </c>
      <c r="X62" s="26"/>
      <c r="Y62" s="65">
        <f>Tabella211[[#This Row],[Cum_deaths]]*NOT(ISBLANK(Tabella211[[#This Row],[Cum_deaths]]))</f>
        <v>0</v>
      </c>
      <c r="Z62" s="50">
        <f>kh*t0h*_xlfn.GAMMA.DIST(Tabella211[[#This Row],[Day]]/t0h,wh+1,1,1)*_xlfn.GAMMA(wh+1)</f>
        <v>21863.484850314751</v>
      </c>
      <c r="AA62" s="10">
        <f>kh*((Tabella211[[#This Row],[Day]]/t0h)^wh)*EXP(-(Tabella211[[#This Row],[Day]]/t0h))</f>
        <v>310.73431304117639</v>
      </c>
      <c r="AB62" s="65">
        <f>Tabella211[[#This Row],[Cum_D_fit]]*NOT(ISBLANK(Tabella211[[#This Row],[Cum_deaths]]))</f>
        <v>0</v>
      </c>
    </row>
    <row r="63" spans="2:30" x14ac:dyDescent="0.3">
      <c r="B63" s="9">
        <v>43940</v>
      </c>
      <c r="C63" s="4">
        <f t="shared" si="0"/>
        <v>55</v>
      </c>
      <c r="E63" s="30"/>
      <c r="F63" s="56">
        <f>Tabella211[[#This Row],[Cum_confirmed]]*NOT(ISBLANK(Tabella211[[#This Row],[Cum_confirmed]]))</f>
        <v>0</v>
      </c>
      <c r="G63" s="50">
        <f>k*t0*_xlfn.GAMMA.DIST(Tabella211[[#This Row],[Day]]/t0,w+1,1,1)*_xlfn.GAMMA(w+1)</f>
        <v>169564.7829628438</v>
      </c>
      <c r="H63" s="10">
        <f>k*((Tabella211[[#This Row],[Day]]/t0)^w)*EXP(-(Tabella211[[#This Row],[Day]]/t0))</f>
        <v>1994.8227179841908</v>
      </c>
      <c r="I63" s="56">
        <f>Tabella211[[#This Row],[Cum_fit]]*NOT(ISBLANK(Tabella211[[#This Row],[Cum_confirmed]]))</f>
        <v>0</v>
      </c>
      <c r="L63" s="55"/>
      <c r="M63" s="54"/>
      <c r="N63" s="54">
        <f>Tabella211[[#This Row],[New_cases_fit]]-Tabella211[[#This Row],[New_Recovered_fit]]-Tabella211[[#This Row],[New_Deaths_fit]]</f>
        <v>-870.32873802848098</v>
      </c>
      <c r="P63" s="48"/>
      <c r="Q63" s="60">
        <f>Tabella211[[#This Row],[Cum_recov]]*NOT(ISBLANK(Tabella211[[#This Row],[Cum_recov]]))</f>
        <v>0</v>
      </c>
      <c r="R63" s="50">
        <f>kr*t0r*_xlfn.GAMMA.DIST(Tabella211[[#This Row],[Day]]/t0r,wr+1,1,1)*_xlfn.GAMMA(wr+1)</f>
        <v>49729.84013428766</v>
      </c>
      <c r="S63" s="10">
        <f>kr*((Tabella211[[#This Row],[Day]]/t0r)^wr)*EXP(-(Tabella211[[#This Row],[Day]]/t0r))</f>
        <v>2578.8986877398643</v>
      </c>
      <c r="T63" s="60">
        <f>Tabella211[[#This Row],[Cum_R_fit]]*NOT(ISBLANK(Tabella211[[#This Row],[Cum_recov]]))</f>
        <v>0</v>
      </c>
      <c r="X63" s="26"/>
      <c r="Y63" s="65">
        <f>Tabella211[[#This Row],[Cum_deaths]]*NOT(ISBLANK(Tabella211[[#This Row],[Cum_deaths]]))</f>
        <v>0</v>
      </c>
      <c r="Z63" s="50">
        <f>kh*t0h*_xlfn.GAMMA.DIST(Tabella211[[#This Row],[Day]]/t0h,wh+1,1,1)*_xlfn.GAMMA(wh+1)</f>
        <v>22161.872949936744</v>
      </c>
      <c r="AA63" s="10">
        <f>kh*((Tabella211[[#This Row],[Day]]/t0h)^wh)*EXP(-(Tabella211[[#This Row],[Day]]/t0h))</f>
        <v>286.2527682728076</v>
      </c>
      <c r="AB63" s="65">
        <f>Tabella211[[#This Row],[Cum_D_fit]]*NOT(ISBLANK(Tabella211[[#This Row],[Cum_deaths]]))</f>
        <v>0</v>
      </c>
    </row>
    <row r="64" spans="2:30" x14ac:dyDescent="0.3">
      <c r="B64" s="9">
        <v>43941</v>
      </c>
      <c r="C64" s="4">
        <f t="shared" si="0"/>
        <v>56</v>
      </c>
      <c r="E64" s="30"/>
      <c r="F64" s="56">
        <f>Tabella211[[#This Row],[Cum_confirmed]]*NOT(ISBLANK(Tabella211[[#This Row],[Cum_confirmed]]))</f>
        <v>0</v>
      </c>
      <c r="G64" s="50">
        <f>k*t0*_xlfn.GAMMA.DIST(Tabella211[[#This Row],[Day]]/t0,w+1,1,1)*_xlfn.GAMMA(w+1)</f>
        <v>171490.83065798503</v>
      </c>
      <c r="H64" s="10">
        <f>k*((Tabella211[[#This Row],[Day]]/t0)^w)*EXP(-(Tabella211[[#This Row],[Day]]/t0))</f>
        <v>1858.3707158516047</v>
      </c>
      <c r="I64" s="56">
        <f>Tabella211[[#This Row],[Cum_fit]]*NOT(ISBLANK(Tabella211[[#This Row],[Cum_confirmed]]))</f>
        <v>0</v>
      </c>
      <c r="L64" s="55"/>
      <c r="M64" s="54"/>
      <c r="N64" s="54">
        <f>Tabella211[[#This Row],[New_cases_fit]]-Tabella211[[#This Row],[New_Recovered_fit]]-Tabella211[[#This Row],[New_Deaths_fit]]</f>
        <v>-1070.2927045969632</v>
      </c>
      <c r="P64" s="48"/>
      <c r="Q64" s="60">
        <f>Tabella211[[#This Row],[Cum_recov]]*NOT(ISBLANK(Tabella211[[#This Row],[Cum_recov]]))</f>
        <v>0</v>
      </c>
      <c r="R64" s="50">
        <f>kr*t0r*_xlfn.GAMMA.DIST(Tabella211[[#This Row],[Day]]/t0r,wr+1,1,1)*_xlfn.GAMMA(wr+1)</f>
        <v>52351.989210124484</v>
      </c>
      <c r="S64" s="10">
        <f>kr*((Tabella211[[#This Row],[Day]]/t0r)^wr)*EXP(-(Tabella211[[#This Row],[Day]]/t0r))</f>
        <v>2665.6079549340193</v>
      </c>
      <c r="T64" s="60">
        <f>Tabella211[[#This Row],[Cum_R_fit]]*NOT(ISBLANK(Tabella211[[#This Row],[Cum_recov]]))</f>
        <v>0</v>
      </c>
      <c r="X64" s="26"/>
      <c r="Y64" s="65">
        <f>Tabella211[[#This Row],[Cum_deaths]]*NOT(ISBLANK(Tabella211[[#This Row],[Cum_deaths]]))</f>
        <v>0</v>
      </c>
      <c r="Z64" s="50">
        <f>kh*t0h*_xlfn.GAMMA.DIST(Tabella211[[#This Row],[Day]]/t0h,wh+1,1,1)*_xlfn.GAMMA(wh+1)</f>
        <v>22436.418691037667</v>
      </c>
      <c r="AA64" s="10">
        <f>kh*((Tabella211[[#This Row],[Day]]/t0h)^wh)*EXP(-(Tabella211[[#This Row],[Day]]/t0h))</f>
        <v>263.05546551454864</v>
      </c>
      <c r="AB64" s="65">
        <f>Tabella211[[#This Row],[Cum_D_fit]]*NOT(ISBLANK(Tabella211[[#This Row],[Cum_deaths]]))</f>
        <v>0</v>
      </c>
    </row>
    <row r="65" spans="2:28" x14ac:dyDescent="0.3">
      <c r="B65" s="9">
        <v>43942</v>
      </c>
      <c r="C65" s="4">
        <f t="shared" si="0"/>
        <v>57</v>
      </c>
      <c r="E65" s="30"/>
      <c r="F65" s="56">
        <f>Tabella211[[#This Row],[Cum_confirmed]]*NOT(ISBLANK(Tabella211[[#This Row],[Cum_confirmed]]))</f>
        <v>0</v>
      </c>
      <c r="G65" s="50">
        <f>k*t0*_xlfn.GAMMA.DIST(Tabella211[[#This Row],[Day]]/t0,w+1,1,1)*_xlfn.GAMMA(w+1)</f>
        <v>173283.73065782123</v>
      </c>
      <c r="H65" s="10">
        <f>k*((Tabella211[[#This Row],[Day]]/t0)^w)*EXP(-(Tabella211[[#This Row],[Day]]/t0))</f>
        <v>1728.5354154455217</v>
      </c>
      <c r="I65" s="56">
        <f>Tabella211[[#This Row],[Cum_fit]]*NOT(ISBLANK(Tabella211[[#This Row],[Cum_confirmed]]))</f>
        <v>0</v>
      </c>
      <c r="L65" s="55"/>
      <c r="M65" s="54"/>
      <c r="N65" s="54">
        <f>Tabella211[[#This Row],[New_cases_fit]]-Tabella211[[#This Row],[New_Recovered_fit]]-Tabella211[[#This Row],[New_Deaths_fit]]</f>
        <v>-1266.1971547508099</v>
      </c>
      <c r="P65" s="48"/>
      <c r="Q65" s="60">
        <f>Tabella211[[#This Row],[Cum_recov]]*NOT(ISBLANK(Tabella211[[#This Row],[Cum_recov]]))</f>
        <v>0</v>
      </c>
      <c r="R65" s="50">
        <f>kr*t0r*_xlfn.GAMMA.DIST(Tabella211[[#This Row],[Day]]/t0r,wr+1,1,1)*_xlfn.GAMMA(wr+1)</f>
        <v>55061.471814894416</v>
      </c>
      <c r="S65" s="10">
        <f>kr*((Tabella211[[#This Row],[Day]]/t0r)^wr)*EXP(-(Tabella211[[#This Row],[Day]]/t0r))</f>
        <v>2753.564536824374</v>
      </c>
      <c r="T65" s="60">
        <f>Tabella211[[#This Row],[Cum_R_fit]]*NOT(ISBLANK(Tabella211[[#This Row],[Cum_recov]]))</f>
        <v>0</v>
      </c>
      <c r="X65" s="26"/>
      <c r="Y65" s="65">
        <f>Tabella211[[#This Row],[Cum_deaths]]*NOT(ISBLANK(Tabella211[[#This Row],[Cum_deaths]]))</f>
        <v>0</v>
      </c>
      <c r="Z65" s="50">
        <f>kh*t0h*_xlfn.GAMMA.DIST(Tabella211[[#This Row],[Day]]/t0h,wh+1,1,1)*_xlfn.GAMMA(wh+1)</f>
        <v>22688.420699712959</v>
      </c>
      <c r="AA65" s="10">
        <f>kh*((Tabella211[[#This Row],[Day]]/t0h)^wh)*EXP(-(Tabella211[[#This Row],[Day]]/t0h))</f>
        <v>241.16803337195756</v>
      </c>
      <c r="AB65" s="65">
        <f>Tabella211[[#This Row],[Cum_D_fit]]*NOT(ISBLANK(Tabella211[[#This Row],[Cum_deaths]]))</f>
        <v>0</v>
      </c>
    </row>
    <row r="66" spans="2:28" x14ac:dyDescent="0.3">
      <c r="B66" s="9">
        <v>43943</v>
      </c>
      <c r="C66" s="4">
        <f t="shared" si="0"/>
        <v>58</v>
      </c>
      <c r="E66" s="30"/>
      <c r="F66" s="56">
        <f>Tabella211[[#This Row],[Cum_confirmed]]*NOT(ISBLANK(Tabella211[[#This Row],[Cum_confirmed]]))</f>
        <v>0</v>
      </c>
      <c r="G66" s="50">
        <f>k*t0*_xlfn.GAMMA.DIST(Tabella211[[#This Row],[Day]]/t0,w+1,1,1)*_xlfn.GAMMA(w+1)</f>
        <v>174950.11390155816</v>
      </c>
      <c r="H66" s="10">
        <f>k*((Tabella211[[#This Row],[Day]]/t0)^w)*EXP(-(Tabella211[[#This Row],[Day]]/t0))</f>
        <v>1605.3355373320571</v>
      </c>
      <c r="I66" s="56">
        <f>Tabella211[[#This Row],[Cum_fit]]*NOT(ISBLANK(Tabella211[[#This Row],[Cum_confirmed]]))</f>
        <v>0</v>
      </c>
      <c r="L66" s="55"/>
      <c r="M66" s="54"/>
      <c r="N66" s="54">
        <f>Tabella211[[#This Row],[New_cases_fit]]-Tabella211[[#This Row],[New_Recovered_fit]]-Tabella211[[#This Row],[New_Deaths_fit]]</f>
        <v>-1458.0242004237125</v>
      </c>
      <c r="P66" s="48"/>
      <c r="Q66" s="60">
        <f>Tabella211[[#This Row],[Cum_recov]]*NOT(ISBLANK(Tabella211[[#This Row],[Cum_recov]]))</f>
        <v>0</v>
      </c>
      <c r="R66" s="50">
        <f>kr*t0r*_xlfn.GAMMA.DIST(Tabella211[[#This Row],[Day]]/t0r,wr+1,1,1)*_xlfn.GAMMA(wr+1)</f>
        <v>57859.531649236575</v>
      </c>
      <c r="S66" s="10">
        <f>kr*((Tabella211[[#This Row],[Day]]/t0r)^wr)*EXP(-(Tabella211[[#This Row],[Day]]/t0r))</f>
        <v>2842.7612175105551</v>
      </c>
      <c r="T66" s="60">
        <f>Tabella211[[#This Row],[Cum_R_fit]]*NOT(ISBLANK(Tabella211[[#This Row],[Cum_recov]]))</f>
        <v>0</v>
      </c>
      <c r="X66" s="26"/>
      <c r="Y66" s="65">
        <f>Tabella211[[#This Row],[Cum_deaths]]*NOT(ISBLANK(Tabella211[[#This Row],[Cum_deaths]]))</f>
        <v>0</v>
      </c>
      <c r="Z66" s="50">
        <f>kh*t0h*_xlfn.GAMMA.DIST(Tabella211[[#This Row],[Day]]/t0h,wh+1,1,1)*_xlfn.GAMMA(wh+1)</f>
        <v>22919.194232093112</v>
      </c>
      <c r="AA66" s="10">
        <f>kh*((Tabella211[[#This Row],[Day]]/t0h)^wh)*EXP(-(Tabella211[[#This Row],[Day]]/t0h))</f>
        <v>220.5985202452145</v>
      </c>
      <c r="AB66" s="65">
        <f>Tabella211[[#This Row],[Cum_D_fit]]*NOT(ISBLANK(Tabella211[[#This Row],[Cum_deaths]]))</f>
        <v>0</v>
      </c>
    </row>
    <row r="67" spans="2:28" x14ac:dyDescent="0.3">
      <c r="B67" s="9">
        <v>43944</v>
      </c>
      <c r="C67" s="4">
        <f t="shared" si="0"/>
        <v>59</v>
      </c>
      <c r="E67" s="30"/>
      <c r="F67" s="56">
        <f>Tabella211[[#This Row],[Cum_confirmed]]*NOT(ISBLANK(Tabella211[[#This Row],[Cum_confirmed]]))</f>
        <v>0</v>
      </c>
      <c r="G67" s="50">
        <f>k*t0*_xlfn.GAMMA.DIST(Tabella211[[#This Row],[Day]]/t0,w+1,1,1)*_xlfn.GAMMA(w+1)</f>
        <v>176496.60212242982</v>
      </c>
      <c r="H67" s="10">
        <f>k*((Tabella211[[#This Row],[Day]]/t0)^w)*EXP(-(Tabella211[[#This Row],[Day]]/t0))</f>
        <v>1488.7352686259444</v>
      </c>
      <c r="I67" s="56">
        <f>Tabella211[[#This Row],[Cum_fit]]*NOT(ISBLANK(Tabella211[[#This Row],[Cum_confirmed]]))</f>
        <v>0</v>
      </c>
      <c r="L67" s="55"/>
      <c r="M67" s="54"/>
      <c r="N67" s="54">
        <f>Tabella211[[#This Row],[New_cases_fit]]-Tabella211[[#This Row],[New_Recovered_fit]]-Tabella211[[#This Row],[New_Deaths_fit]]</f>
        <v>-1645.7954260691949</v>
      </c>
      <c r="P67" s="48"/>
      <c r="Q67" s="60">
        <f>Tabella211[[#This Row],[Cum_recov]]*NOT(ISBLANK(Tabella211[[#This Row],[Cum_recov]]))</f>
        <v>0</v>
      </c>
      <c r="R67" s="50">
        <f>kr*t0r*_xlfn.GAMMA.DIST(Tabella211[[#This Row],[Day]]/t0r,wr+1,1,1)*_xlfn.GAMMA(wr+1)</f>
        <v>60747.405234165017</v>
      </c>
      <c r="S67" s="10">
        <f>kr*((Tabella211[[#This Row],[Day]]/t0r)^wr)*EXP(-(Tabella211[[#This Row],[Day]]/t0r))</f>
        <v>2933.190853280902</v>
      </c>
      <c r="T67" s="60">
        <f>Tabella211[[#This Row],[Cum_R_fit]]*NOT(ISBLANK(Tabella211[[#This Row],[Cum_recov]]))</f>
        <v>0</v>
      </c>
      <c r="X67" s="26"/>
      <c r="Y67" s="65">
        <f>Tabella211[[#This Row],[Cum_deaths]]*NOT(ISBLANK(Tabella211[[#This Row],[Cum_deaths]]))</f>
        <v>0</v>
      </c>
      <c r="Z67" s="50">
        <f>kh*t0h*_xlfn.GAMMA.DIST(Tabella211[[#This Row],[Day]]/t0h,wh+1,1,1)*_xlfn.GAMMA(wh+1)</f>
        <v>23130.054827154294</v>
      </c>
      <c r="AA67" s="10">
        <f>kh*((Tabella211[[#This Row],[Day]]/t0h)^wh)*EXP(-(Tabella211[[#This Row],[Day]]/t0h))</f>
        <v>201.33984141423738</v>
      </c>
      <c r="AB67" s="65">
        <f>Tabella211[[#This Row],[Cum_D_fit]]*NOT(ISBLANK(Tabella211[[#This Row],[Cum_deaths]]))</f>
        <v>0</v>
      </c>
    </row>
    <row r="68" spans="2:28" x14ac:dyDescent="0.3">
      <c r="B68" s="9">
        <v>43945</v>
      </c>
      <c r="C68" s="4">
        <f t="shared" si="0"/>
        <v>60</v>
      </c>
      <c r="F68" s="56">
        <f>Tabella211[[#This Row],[Cum_confirmed]]*NOT(ISBLANK(Tabella211[[#This Row],[Cum_confirmed]]))</f>
        <v>0</v>
      </c>
      <c r="G68" s="50">
        <f>k*t0*_xlfn.GAMMA.DIST(Tabella211[[#This Row],[Day]]/t0,w+1,1,1)*_xlfn.GAMMA(w+1)</f>
        <v>177929.75718619788</v>
      </c>
      <c r="H68" s="10">
        <f>k*((Tabella211[[#This Row],[Day]]/t0)^w)*EXP(-(Tabella211[[#This Row],[Day]]/t0))</f>
        <v>1378.6519188581667</v>
      </c>
      <c r="I68" s="56">
        <f>Tabella211[[#This Row],[Cum_fit]]*NOT(ISBLANK(Tabella211[[#This Row],[Cum_confirmed]]))</f>
        <v>0</v>
      </c>
      <c r="L68" s="55"/>
      <c r="M68" s="54"/>
      <c r="N68" s="54">
        <f>Tabella211[[#This Row],[New_cases_fit]]-Tabella211[[#This Row],[New_Recovered_fit]]-Tabella211[[#This Row],[New_Deaths_fit]]</f>
        <v>-1829.5665485693298</v>
      </c>
      <c r="P68" s="48"/>
      <c r="Q68" s="60">
        <f>Tabella211[[#This Row],[Cum_recov]]*NOT(ISBLANK(Tabella211[[#This Row],[Cum_recov]]))</f>
        <v>0</v>
      </c>
      <c r="R68" s="50">
        <f>kr*t0r*_xlfn.GAMMA.DIST(Tabella211[[#This Row],[Day]]/t0r,wr+1,1,1)*_xlfn.GAMMA(wr+1)</f>
        <v>63726.321982191927</v>
      </c>
      <c r="S68" s="10">
        <f>kr*((Tabella211[[#This Row],[Day]]/t0r)^wr)*EXP(-(Tabella211[[#This Row],[Day]]/t0r))</f>
        <v>3024.8463705003587</v>
      </c>
      <c r="T68" s="60">
        <f>Tabella211[[#This Row],[Cum_R_fit]]*NOT(ISBLANK(Tabella211[[#This Row],[Cum_recov]]))</f>
        <v>0</v>
      </c>
      <c r="X68" s="26"/>
      <c r="Y68" s="65">
        <f>Tabella211[[#This Row],[Cum_deaths]]*NOT(ISBLANK(Tabella211[[#This Row],[Cum_deaths]]))</f>
        <v>0</v>
      </c>
      <c r="Z68" s="50">
        <f>kh*t0h*_xlfn.GAMMA.DIST(Tabella211[[#This Row],[Day]]/t0h,wh+1,1,1)*_xlfn.GAMMA(wh+1)</f>
        <v>23322.304344493594</v>
      </c>
      <c r="AA68" s="10">
        <f>kh*((Tabella211[[#This Row],[Day]]/t0h)^wh)*EXP(-(Tabella211[[#This Row],[Day]]/t0h))</f>
        <v>183.37209692713787</v>
      </c>
      <c r="AB68" s="65">
        <f>Tabella211[[#This Row],[Cum_D_fit]]*NOT(ISBLANK(Tabella211[[#This Row],[Cum_deaths]]))</f>
        <v>0</v>
      </c>
    </row>
    <row r="69" spans="2:28" x14ac:dyDescent="0.3">
      <c r="B69" s="9">
        <v>43946</v>
      </c>
      <c r="C69" s="4">
        <f t="shared" si="0"/>
        <v>61</v>
      </c>
      <c r="F69" s="56">
        <f>Tabella211[[#This Row],[Cum_confirmed]]*NOT(ISBLANK(Tabella211[[#This Row],[Cum_confirmed]]))</f>
        <v>0</v>
      </c>
      <c r="G69" s="50">
        <f>k*t0*_xlfn.GAMMA.DIST(Tabella211[[#This Row],[Day]]/t0,w+1,1,1)*_xlfn.GAMMA(w+1)</f>
        <v>179256.03781665841</v>
      </c>
      <c r="H69" s="10">
        <f>k*((Tabella211[[#This Row],[Day]]/t0)^w)*EXP(-(Tabella211[[#This Row],[Day]]/t0))</f>
        <v>1274.963033878425</v>
      </c>
      <c r="I69" s="56">
        <f>Tabella211[[#This Row],[Cum_fit]]*NOT(ISBLANK(Tabella211[[#This Row],[Cum_confirmed]]))</f>
        <v>0</v>
      </c>
      <c r="L69" s="55"/>
      <c r="M69" s="54"/>
      <c r="N69" s="54">
        <f>Tabella211[[#This Row],[New_cases_fit]]-Tabella211[[#This Row],[New_Recovered_fit]]-Tabella211[[#This Row],[New_Deaths_fit]]</f>
        <v>-2009.422464905861</v>
      </c>
      <c r="P69" s="48"/>
      <c r="Q69" s="60">
        <f>Tabella211[[#This Row],[Cum_recov]]*NOT(ISBLANK(Tabella211[[#This Row],[Cum_recov]]))</f>
        <v>0</v>
      </c>
      <c r="R69" s="50">
        <f>kr*t0r*_xlfn.GAMMA.DIST(Tabella211[[#This Row],[Day]]/t0r,wr+1,1,1)*_xlfn.GAMMA(wr+1)</f>
        <v>66797.504266392163</v>
      </c>
      <c r="S69" s="10">
        <f>kr*((Tabella211[[#This Row],[Day]]/t0r)^wr)*EXP(-(Tabella211[[#This Row],[Day]]/t0r))</f>
        <v>3117.7207636039739</v>
      </c>
      <c r="T69" s="60">
        <f>Tabella211[[#This Row],[Cum_R_fit]]*NOT(ISBLANK(Tabella211[[#This Row],[Cum_recov]]))</f>
        <v>0</v>
      </c>
      <c r="X69" s="26"/>
      <c r="Y69" s="65">
        <f>Tabella211[[#This Row],[Cum_deaths]]*NOT(ISBLANK(Tabella211[[#This Row],[Cum_deaths]]))</f>
        <v>0</v>
      </c>
      <c r="Z69" s="50">
        <f>kh*t0h*_xlfn.GAMMA.DIST(Tabella211[[#This Row],[Day]]/t0h,wh+1,1,1)*_xlfn.GAMMA(wh+1)</f>
        <v>23497.219244560558</v>
      </c>
      <c r="AA69" s="10">
        <f>kh*((Tabella211[[#This Row],[Day]]/t0h)^wh)*EXP(-(Tabella211[[#This Row],[Day]]/t0h))</f>
        <v>166.66473518031205</v>
      </c>
      <c r="AB69" s="65">
        <f>Tabella211[[#This Row],[Cum_D_fit]]*NOT(ISBLANK(Tabella211[[#This Row],[Cum_deaths]]))</f>
        <v>0</v>
      </c>
    </row>
    <row r="70" spans="2:28" x14ac:dyDescent="0.3">
      <c r="B70" s="9">
        <v>43947</v>
      </c>
      <c r="C70" s="4">
        <f t="shared" si="0"/>
        <v>62</v>
      </c>
      <c r="F70" s="56">
        <f>Tabella211[[#This Row],[Cum_confirmed]]*NOT(ISBLANK(Tabella211[[#This Row],[Cum_confirmed]]))</f>
        <v>0</v>
      </c>
      <c r="G70" s="50">
        <f>k*t0*_xlfn.GAMMA.DIST(Tabella211[[#This Row],[Day]]/t0,w+1,1,1)*_xlfn.GAMMA(w+1)</f>
        <v>180481.76315589418</v>
      </c>
      <c r="H70" s="10">
        <f>k*((Tabella211[[#This Row],[Day]]/t0)^w)*EXP(-(Tabella211[[#This Row],[Day]]/t0))</f>
        <v>1177.5129495498984</v>
      </c>
      <c r="I70" s="56">
        <f>Tabella211[[#This Row],[Cum_fit]]*NOT(ISBLANK(Tabella211[[#This Row],[Cum_confirmed]]))</f>
        <v>0</v>
      </c>
      <c r="L70" s="55"/>
      <c r="M70" s="54"/>
      <c r="N70" s="54">
        <f>Tabella211[[#This Row],[New_cases_fit]]-Tabella211[[#This Row],[New_Recovered_fit]]-Tabella211[[#This Row],[New_Deaths_fit]]</f>
        <v>-2185.4726891370697</v>
      </c>
      <c r="P70" s="48"/>
      <c r="Q70" s="60">
        <f>Tabella211[[#This Row],[Cum_recov]]*NOT(ISBLANK(Tabella211[[#This Row],[Cum_recov]]))</f>
        <v>0</v>
      </c>
      <c r="R70" s="50">
        <f>kr*t0r*_xlfn.GAMMA.DIST(Tabella211[[#This Row],[Day]]/t0r,wr+1,1,1)*_xlfn.GAMMA(wr+1)</f>
        <v>69962.167487512139</v>
      </c>
      <c r="S70" s="10">
        <f>kr*((Tabella211[[#This Row],[Day]]/t0r)^wr)*EXP(-(Tabella211[[#This Row],[Day]]/t0r))</f>
        <v>3211.807093188942</v>
      </c>
      <c r="T70" s="60">
        <f>Tabella211[[#This Row],[Cum_R_fit]]*NOT(ISBLANK(Tabella211[[#This Row],[Cum_recov]]))</f>
        <v>0</v>
      </c>
      <c r="X70" s="26"/>
      <c r="Y70" s="65">
        <f>Tabella211[[#This Row],[Cum_deaths]]*NOT(ISBLANK(Tabella211[[#This Row],[Cum_deaths]]))</f>
        <v>0</v>
      </c>
      <c r="Z70" s="50">
        <f>kh*t0h*_xlfn.GAMMA.DIST(Tabella211[[#This Row],[Day]]/t0h,wh+1,1,1)*_xlfn.GAMMA(wh+1)</f>
        <v>23656.040948042697</v>
      </c>
      <c r="AA70" s="10">
        <f>kh*((Tabella211[[#This Row],[Day]]/t0h)^wh)*EXP(-(Tabella211[[#This Row],[Day]]/t0h))</f>
        <v>151.17854549802618</v>
      </c>
      <c r="AB70" s="65">
        <f>Tabella211[[#This Row],[Cum_D_fit]]*NOT(ISBLANK(Tabella211[[#This Row],[Cum_deaths]]))</f>
        <v>0</v>
      </c>
    </row>
    <row r="71" spans="2:28" x14ac:dyDescent="0.3">
      <c r="B71" s="9">
        <v>43948</v>
      </c>
      <c r="C71" s="4">
        <f t="shared" si="0"/>
        <v>63</v>
      </c>
      <c r="F71" s="56">
        <f>Tabella211[[#This Row],[Cum_confirmed]]*NOT(ISBLANK(Tabella211[[#This Row],[Cum_confirmed]]))</f>
        <v>0</v>
      </c>
      <c r="G71" s="50">
        <f>k*t0*_xlfn.GAMMA.DIST(Tabella211[[#This Row],[Day]]/t0,w+1,1,1)*_xlfn.GAMMA(w+1)</f>
        <v>181613.08259540042</v>
      </c>
      <c r="H71" s="10">
        <f>k*((Tabella211[[#This Row],[Day]]/t0)^w)*EXP(-(Tabella211[[#This Row],[Day]]/t0))</f>
        <v>1086.1187798466894</v>
      </c>
      <c r="I71" s="56">
        <f>Tabella211[[#This Row],[Cum_fit]]*NOT(ISBLANK(Tabella211[[#This Row],[Cum_confirmed]]))</f>
        <v>0</v>
      </c>
      <c r="L71" s="55"/>
      <c r="M71" s="54"/>
      <c r="N71" s="54">
        <f>Tabella211[[#This Row],[New_cases_fit]]-Tabella211[[#This Row],[New_Recovered_fit]]-Tabella211[[#This Row],[New_Deaths_fit]]</f>
        <v>-2357.8471745197871</v>
      </c>
      <c r="P71" s="48"/>
      <c r="Q71" s="60">
        <f>Tabella211[[#This Row],[Cum_recov]]*NOT(ISBLANK(Tabella211[[#This Row],[Cum_recov]]))</f>
        <v>0</v>
      </c>
      <c r="R71" s="50">
        <f>kr*t0r*_xlfn.GAMMA.DIST(Tabella211[[#This Row],[Day]]/t0r,wr+1,1,1)*_xlfn.GAMMA(wr+1)</f>
        <v>73221.520139215994</v>
      </c>
      <c r="S71" s="10">
        <f>kr*((Tabella211[[#This Row],[Day]]/t0r)^wr)*EXP(-(Tabella211[[#This Row],[Day]]/t0r))</f>
        <v>3307.098484198707</v>
      </c>
      <c r="T71" s="60">
        <f>Tabella211[[#This Row],[Cum_R_fit]]*NOT(ISBLANK(Tabella211[[#This Row],[Cum_recov]]))</f>
        <v>0</v>
      </c>
      <c r="X71" s="26"/>
      <c r="Y71" s="65">
        <f>Tabella211[[#This Row],[Cum_deaths]]*NOT(ISBLANK(Tabella211[[#This Row],[Cum_deaths]]))</f>
        <v>0</v>
      </c>
      <c r="Z71" s="50">
        <f>kh*t0h*_xlfn.GAMMA.DIST(Tabella211[[#This Row],[Day]]/t0h,wh+1,1,1)*_xlfn.GAMMA(wh+1)</f>
        <v>23799.968098088408</v>
      </c>
      <c r="AA71" s="10">
        <f>kh*((Tabella211[[#This Row],[Day]]/t0h)^wh)*EXP(-(Tabella211[[#This Row],[Day]]/t0h))</f>
        <v>136.86747016776945</v>
      </c>
      <c r="AB71" s="65">
        <f>Tabella211[[#This Row],[Cum_D_fit]]*NOT(ISBLANK(Tabella211[[#This Row],[Cum_deaths]]))</f>
        <v>0</v>
      </c>
    </row>
    <row r="72" spans="2:28" x14ac:dyDescent="0.3">
      <c r="B72" s="9">
        <v>43949</v>
      </c>
      <c r="C72" s="4">
        <f t="shared" si="0"/>
        <v>64</v>
      </c>
      <c r="F72" s="56">
        <f>Tabella211[[#This Row],[Cum_confirmed]]*NOT(ISBLANK(Tabella211[[#This Row],[Cum_confirmed]]))</f>
        <v>0</v>
      </c>
      <c r="G72" s="50">
        <f>k*t0*_xlfn.GAMMA.DIST(Tabella211[[#This Row],[Day]]/t0,w+1,1,1)*_xlfn.GAMMA(w+1)</f>
        <v>182655.95131426229</v>
      </c>
      <c r="H72" s="10">
        <f>k*((Tabella211[[#This Row],[Day]]/t0)^w)*EXP(-(Tabella211[[#This Row],[Day]]/t0))</f>
        <v>1000.5758444751432</v>
      </c>
      <c r="I72" s="56">
        <f>Tabella211[[#This Row],[Cum_fit]]*NOT(ISBLANK(Tabella211[[#This Row],[Cum_confirmed]]))</f>
        <v>0</v>
      </c>
      <c r="L72" s="55"/>
      <c r="M72" s="54"/>
      <c r="N72" s="54">
        <f>Tabella211[[#This Row],[New_cases_fit]]-Tabella211[[#This Row],[New_Recovered_fit]]-Tabella211[[#This Row],[New_Deaths_fit]]</f>
        <v>-2526.6925120484761</v>
      </c>
      <c r="P72" s="48"/>
      <c r="Q72" s="60">
        <f>Tabella211[[#This Row],[Cum_recov]]*NOT(ISBLANK(Tabella211[[#This Row],[Cum_recov]]))</f>
        <v>0</v>
      </c>
      <c r="R72" s="50">
        <f>kr*t0r*_xlfn.GAMMA.DIST(Tabella211[[#This Row],[Day]]/t0r,wr+1,1,1)*_xlfn.GAMMA(wr+1)</f>
        <v>76576.763871560514</v>
      </c>
      <c r="S72" s="10">
        <f>kr*((Tabella211[[#This Row],[Day]]/t0r)^wr)*EXP(-(Tabella211[[#This Row],[Day]]/t0r))</f>
        <v>3403.5881241932098</v>
      </c>
      <c r="T72" s="60">
        <f>Tabella211[[#This Row],[Cum_R_fit]]*NOT(ISBLANK(Tabella211[[#This Row],[Cum_recov]]))</f>
        <v>0</v>
      </c>
      <c r="X72" s="26"/>
      <c r="Y72" s="65">
        <f>Tabella211[[#This Row],[Cum_deaths]]*NOT(ISBLANK(Tabella211[[#This Row],[Cum_deaths]]))</f>
        <v>0</v>
      </c>
      <c r="Z72" s="50">
        <f>kh*t0h*_xlfn.GAMMA.DIST(Tabella211[[#This Row],[Day]]/t0h,wh+1,1,1)*_xlfn.GAMMA(wh+1)</f>
        <v>23930.150542575284</v>
      </c>
      <c r="AA72" s="10">
        <f>kh*((Tabella211[[#This Row],[Day]]/t0h)^wh)*EXP(-(Tabella211[[#This Row],[Day]]/t0h))</f>
        <v>123.68023233040964</v>
      </c>
      <c r="AB72" s="65">
        <f>Tabella211[[#This Row],[Cum_D_fit]]*NOT(ISBLANK(Tabella211[[#This Row],[Cum_deaths]]))</f>
        <v>0</v>
      </c>
    </row>
    <row r="73" spans="2:28" x14ac:dyDescent="0.3">
      <c r="B73" s="9">
        <v>43950</v>
      </c>
      <c r="C73" s="4">
        <f t="shared" si="0"/>
        <v>65</v>
      </c>
      <c r="F73" s="56">
        <f>Tabella211[[#This Row],[Cum_confirmed]]*NOT(ISBLANK(Tabella211[[#This Row],[Cum_confirmed]]))</f>
        <v>0</v>
      </c>
      <c r="G73" s="50">
        <f>k*t0*_xlfn.GAMMA.DIST(Tabella211[[#This Row],[Day]]/t0,w+1,1,1)*_xlfn.GAMMA(w+1)</f>
        <v>183616.11097005755</v>
      </c>
      <c r="H73" s="10">
        <f>k*((Tabella211[[#This Row],[Day]]/t0)^w)*EXP(-(Tabella211[[#This Row],[Day]]/t0))</f>
        <v>920.66254956023181</v>
      </c>
      <c r="I73" s="56">
        <f>Tabella211[[#This Row],[Cum_fit]]*NOT(ISBLANK(Tabella211[[#This Row],[Cum_confirmed]]))</f>
        <v>0</v>
      </c>
      <c r="L73" s="55"/>
      <c r="M73" s="54"/>
      <c r="N73" s="54">
        <f>Tabella211[[#This Row],[New_cases_fit]]-Tabella211[[#This Row],[New_Recovered_fit]]-Tabella211[[#This Row],[New_Deaths_fit]]</f>
        <v>-2692.1684930901883</v>
      </c>
      <c r="P73" s="48"/>
      <c r="Q73" s="60">
        <f>Tabella211[[#This Row],[Cum_recov]]*NOT(ISBLANK(Tabella211[[#This Row],[Cum_recov]]))</f>
        <v>0</v>
      </c>
      <c r="R73" s="50">
        <f>kr*t0r*_xlfn.GAMMA.DIST(Tabella211[[#This Row],[Day]]/t0r,wr+1,1,1)*_xlfn.GAMMA(wr+1)</f>
        <v>80029.093552779901</v>
      </c>
      <c r="S73" s="10">
        <f>kr*((Tabella211[[#This Row],[Day]]/t0r)^wr)*EXP(-(Tabella211[[#This Row],[Day]]/t0r))</f>
        <v>3501.2692616997879</v>
      </c>
      <c r="T73" s="60">
        <f>Tabella211[[#This Row],[Cum_R_fit]]*NOT(ISBLANK(Tabella211[[#This Row],[Cum_recov]]))</f>
        <v>0</v>
      </c>
      <c r="X73" s="26"/>
      <c r="Y73" s="65">
        <f>Tabella211[[#This Row],[Cum_deaths]]*NOT(ISBLANK(Tabella211[[#This Row],[Cum_deaths]]))</f>
        <v>0</v>
      </c>
      <c r="Z73" s="50">
        <f>kh*t0h*_xlfn.GAMMA.DIST(Tabella211[[#This Row],[Day]]/t0h,wh+1,1,1)*_xlfn.GAMMA(wh+1)</f>
        <v>24047.684852533064</v>
      </c>
      <c r="AA73" s="10">
        <f>kh*((Tabella211[[#This Row],[Day]]/t0h)^wh)*EXP(-(Tabella211[[#This Row],[Day]]/t0h))</f>
        <v>111.56178095063204</v>
      </c>
      <c r="AB73" s="65">
        <f>Tabella211[[#This Row],[Cum_D_fit]]*NOT(ISBLANK(Tabella211[[#This Row],[Cum_deaths]]))</f>
        <v>0</v>
      </c>
    </row>
    <row r="74" spans="2:28" x14ac:dyDescent="0.3">
      <c r="B74" s="9">
        <v>43951</v>
      </c>
      <c r="C74" s="4">
        <f t="shared" ref="C74:C78" si="1">C73+1</f>
        <v>66</v>
      </c>
      <c r="F74" s="56">
        <f>Tabella211[[#This Row],[Cum_confirmed]]*NOT(ISBLANK(Tabella211[[#This Row],[Cum_confirmed]]))</f>
        <v>0</v>
      </c>
      <c r="G74" s="50">
        <f>k*t0*_xlfn.GAMMA.DIST(Tabella211[[#This Row],[Day]]/t0,w+1,1,1)*_xlfn.GAMMA(w+1)</f>
        <v>184499.07500513023</v>
      </c>
      <c r="H74" s="10">
        <f>k*((Tabella211[[#This Row],[Day]]/t0)^w)*EXP(-(Tabella211[[#This Row],[Day]]/t0))</f>
        <v>846.14474151376669</v>
      </c>
      <c r="I74" s="56">
        <f>Tabella211[[#This Row],[Cum_fit]]*NOT(ISBLANK(Tabella211[[#This Row],[Cum_confirmed]]))</f>
        <v>0</v>
      </c>
      <c r="L74" s="55"/>
      <c r="M74" s="54"/>
      <c r="N74" s="54">
        <f>Tabella211[[#This Row],[New_cases_fit]]-Tabella211[[#This Row],[New_Recovered_fit]]-Tabella211[[#This Row],[New_Deaths_fit]]</f>
        <v>-2854.4450210333157</v>
      </c>
      <c r="P74" s="48"/>
      <c r="Q74" s="60">
        <f>Tabella211[[#This Row],[Cum_recov]]*NOT(ISBLANK(Tabella211[[#This Row],[Cum_recov]]))</f>
        <v>0</v>
      </c>
      <c r="R74" s="50">
        <f>kr*t0r*_xlfn.GAMMA.DIST(Tabella211[[#This Row],[Day]]/t0r,wr+1,1,1)*_xlfn.GAMMA(wr+1)</f>
        <v>83579.697329461371</v>
      </c>
      <c r="S74" s="10">
        <f>kr*((Tabella211[[#This Row],[Day]]/t0r)^wr)*EXP(-(Tabella211[[#This Row],[Day]]/t0r))</f>
        <v>3600.135204639766</v>
      </c>
      <c r="T74" s="60">
        <f>Tabella211[[#This Row],[Cum_R_fit]]*NOT(ISBLANK(Tabella211[[#This Row],[Cum_recov]]))</f>
        <v>0</v>
      </c>
      <c r="X74" s="26"/>
      <c r="Y74" s="65">
        <f>Tabella211[[#This Row],[Cum_deaths]]*NOT(ISBLANK(Tabella211[[#This Row],[Cum_deaths]]))</f>
        <v>0</v>
      </c>
      <c r="Z74" s="50">
        <f>kh*t0h*_xlfn.GAMMA.DIST(Tabella211[[#This Row],[Day]]/t0h,wh+1,1,1)*_xlfn.GAMMA(wh+1)</f>
        <v>24153.611196042777</v>
      </c>
      <c r="AA74" s="10">
        <f>kh*((Tabella211[[#This Row],[Day]]/t0h)^wh)*EXP(-(Tabella211[[#This Row],[Day]]/t0h))</f>
        <v>100.45455790731636</v>
      </c>
      <c r="AB74" s="65">
        <f>Tabella211[[#This Row],[Cum_D_fit]]*NOT(ISBLANK(Tabella211[[#This Row],[Cum_deaths]]))</f>
        <v>0</v>
      </c>
    </row>
    <row r="75" spans="2:28" x14ac:dyDescent="0.3">
      <c r="B75" s="9">
        <v>43952</v>
      </c>
      <c r="C75" s="4">
        <f t="shared" si="1"/>
        <v>67</v>
      </c>
      <c r="F75" s="56">
        <f>Tabella211[[#This Row],[Cum_confirmed]]*NOT(ISBLANK(Tabella211[[#This Row],[Cum_confirmed]]))</f>
        <v>0</v>
      </c>
      <c r="G75" s="50">
        <f>k*t0*_xlfn.GAMMA.DIST(Tabella211[[#This Row],[Day]]/t0,w+1,1,1)*_xlfn.GAMMA(w+1)</f>
        <v>185310.11805360604</v>
      </c>
      <c r="H75" s="10">
        <f>k*((Tabella211[[#This Row],[Day]]/t0)^w)*EXP(-(Tabella211[[#This Row],[Day]]/t0))</f>
        <v>776.77955916772328</v>
      </c>
      <c r="I75" s="56">
        <f>Tabella211[[#This Row],[Cum_fit]]*NOT(ISBLANK(Tabella211[[#This Row],[Cum_confirmed]]))</f>
        <v>0</v>
      </c>
      <c r="L75" s="55"/>
      <c r="M75" s="54"/>
      <c r="N75" s="54">
        <f>Tabella211[[#This Row],[New_cases_fit]]-Tabella211[[#This Row],[New_Recovered_fit]]-Tabella211[[#This Row],[New_Deaths_fit]]</f>
        <v>-3013.6993548154851</v>
      </c>
      <c r="P75" s="48"/>
      <c r="Q75" s="60">
        <f>Tabella211[[#This Row],[Cum_recov]]*NOT(ISBLANK(Tabella211[[#This Row],[Cum_recov]]))</f>
        <v>0</v>
      </c>
      <c r="R75" s="50">
        <f>kr*t0r*_xlfn.GAMMA.DIST(Tabella211[[#This Row],[Day]]/t0r,wr+1,1,1)*_xlfn.GAMMA(wr+1)</f>
        <v>87229.756685181026</v>
      </c>
      <c r="S75" s="10">
        <f>kr*((Tabella211[[#This Row],[Day]]/t0r)^wr)*EXP(-(Tabella211[[#This Row],[Day]]/t0r))</f>
        <v>3700.1793188259458</v>
      </c>
      <c r="T75" s="60">
        <f>Tabella211[[#This Row],[Cum_R_fit]]*NOT(ISBLANK(Tabella211[[#This Row],[Cum_recov]]))</f>
        <v>0</v>
      </c>
      <c r="X75" s="26"/>
      <c r="Y75" s="65">
        <f>Tabella211[[#This Row],[Cum_deaths]]*NOT(ISBLANK(Tabella211[[#This Row],[Cum_deaths]]))</f>
        <v>0</v>
      </c>
      <c r="Z75" s="50">
        <f>kh*t0h*_xlfn.GAMMA.DIST(Tabella211[[#This Row],[Day]]/t0h,wh+1,1,1)*_xlfn.GAMMA(wh+1)</f>
        <v>24248.911393500261</v>
      </c>
      <c r="AA75" s="10">
        <f>kh*((Tabella211[[#This Row],[Day]]/t0h)^wh)*EXP(-(Tabella211[[#This Row],[Day]]/t0h))</f>
        <v>90.299595157262686</v>
      </c>
      <c r="AB75" s="65">
        <f>Tabella211[[#This Row],[Cum_D_fit]]*NOT(ISBLANK(Tabella211[[#This Row],[Cum_deaths]]))</f>
        <v>0</v>
      </c>
    </row>
    <row r="76" spans="2:28" x14ac:dyDescent="0.3">
      <c r="B76" s="9">
        <v>43953</v>
      </c>
      <c r="C76" s="4">
        <f t="shared" si="1"/>
        <v>68</v>
      </c>
      <c r="F76" s="56">
        <f>Tabella211[[#This Row],[Cum_confirmed]]*NOT(ISBLANK(Tabella211[[#This Row],[Cum_confirmed]]))</f>
        <v>0</v>
      </c>
      <c r="G76" s="50">
        <f>k*t0*_xlfn.GAMMA.DIST(Tabella211[[#This Row],[Day]]/t0,w+1,1,1)*_xlfn.GAMMA(w+1)</f>
        <v>186054.26896150032</v>
      </c>
      <c r="H76" s="10">
        <f>k*((Tabella211[[#This Row],[Day]]/t0)^w)*EXP(-(Tabella211[[#This Row],[Day]]/t0))</f>
        <v>712.31881283559358</v>
      </c>
      <c r="I76" s="56">
        <f>Tabella211[[#This Row],[Cum_fit]]*NOT(ISBLANK(Tabella211[[#This Row],[Cum_confirmed]]))</f>
        <v>0</v>
      </c>
      <c r="L76" s="55"/>
      <c r="M76" s="54"/>
      <c r="N76" s="54">
        <f>Tabella211[[#This Row],[New_cases_fit]]-Tabella211[[#This Row],[New_Recovered_fit]]-Tabella211[[#This Row],[New_Deaths_fit]]</f>
        <v>-3170.1136657440925</v>
      </c>
      <c r="P76" s="48"/>
      <c r="Q76" s="60">
        <f>Tabella211[[#This Row],[Cum_recov]]*NOT(ISBLANK(Tabella211[[#This Row],[Cum_recov]]))</f>
        <v>0</v>
      </c>
      <c r="R76" s="50">
        <f>kr*t0r*_xlfn.GAMMA.DIST(Tabella211[[#This Row],[Day]]/t0r,wr+1,1,1)*_xlfn.GAMMA(wr+1)</f>
        <v>90980.44649767282</v>
      </c>
      <c r="S76" s="10">
        <f>kr*((Tabella211[[#This Row],[Day]]/t0r)^wr)*EXP(-(Tabella211[[#This Row],[Day]]/t0r))</f>
        <v>3801.3950265268631</v>
      </c>
      <c r="T76" s="60">
        <f>Tabella211[[#This Row],[Cum_R_fit]]*NOT(ISBLANK(Tabella211[[#This Row],[Cum_recov]]))</f>
        <v>0</v>
      </c>
      <c r="X76" s="26"/>
      <c r="Y76" s="65">
        <f>Tabella211[[#This Row],[Cum_deaths]]*NOT(ISBLANK(Tabella211[[#This Row],[Cum_deaths]]))</f>
        <v>0</v>
      </c>
      <c r="Z76" s="50">
        <f>kh*t0h*_xlfn.GAMMA.DIST(Tabella211[[#This Row],[Day]]/t0h,wh+1,1,1)*_xlfn.GAMMA(wh+1)</f>
        <v>24334.507989210444</v>
      </c>
      <c r="AA76" s="10">
        <f>kh*((Tabella211[[#This Row],[Day]]/t0h)^wh)*EXP(-(Tabella211[[#This Row],[Day]]/t0h))</f>
        <v>81.037452052822943</v>
      </c>
      <c r="AB76" s="65">
        <f>Tabella211[[#This Row],[Cum_D_fit]]*NOT(ISBLANK(Tabella211[[#This Row],[Cum_deaths]]))</f>
        <v>0</v>
      </c>
    </row>
    <row r="77" spans="2:28" x14ac:dyDescent="0.3">
      <c r="B77" s="9">
        <v>43954</v>
      </c>
      <c r="C77" s="4">
        <f t="shared" si="1"/>
        <v>69</v>
      </c>
      <c r="F77" s="56">
        <f>Tabella211[[#This Row],[Cum_confirmed]]*NOT(ISBLANK(Tabella211[[#This Row],[Cum_confirmed]]))</f>
        <v>0</v>
      </c>
      <c r="G77" s="50">
        <f>k*t0*_xlfn.GAMMA.DIST(Tabella211[[#This Row],[Day]]/t0,w+1,1,1)*_xlfn.GAMMA(w+1)</f>
        <v>186736.30696222078</v>
      </c>
      <c r="H77" s="10">
        <f>k*((Tabella211[[#This Row],[Day]]/t0)^w)*EXP(-(Tabella211[[#This Row],[Day]]/t0))</f>
        <v>652.51192136260158</v>
      </c>
      <c r="I77" s="56">
        <f>Tabella211[[#This Row],[Cum_fit]]*NOT(ISBLANK(Tabella211[[#This Row],[Cum_confirmed]]))</f>
        <v>0</v>
      </c>
      <c r="L77" s="55"/>
      <c r="M77" s="54"/>
      <c r="N77" s="54">
        <f>Tabella211[[#This Row],[New_cases_fit]]-Tabella211[[#This Row],[New_Recovered_fit]]-Tabella211[[#This Row],[New_Deaths_fit]]</f>
        <v>-3323.8728880773492</v>
      </c>
      <c r="P77" s="48"/>
      <c r="Q77" s="60">
        <f>Tabella211[[#This Row],[Cum_recov]]*NOT(ISBLANK(Tabella211[[#This Row],[Cum_recov]]))</f>
        <v>0</v>
      </c>
      <c r="R77" s="50">
        <f>kr*t0r*_xlfn.GAMMA.DIST(Tabella211[[#This Row],[Day]]/t0r,wr+1,1,1)*_xlfn.GAMMA(wr+1)</f>
        <v>94832.9350945927</v>
      </c>
      <c r="S77" s="10">
        <f>kr*((Tabella211[[#This Row],[Day]]/t0r)^wr)*EXP(-(Tabella211[[#This Row],[Day]]/t0r))</f>
        <v>3903.7758050937236</v>
      </c>
      <c r="T77" s="60">
        <f>Tabella211[[#This Row],[Cum_R_fit]]*NOT(ISBLANK(Tabella211[[#This Row],[Cum_recov]]))</f>
        <v>0</v>
      </c>
      <c r="X77" s="26"/>
      <c r="Y77" s="65">
        <f>Tabella211[[#This Row],[Cum_deaths]]*NOT(ISBLANK(Tabella211[[#This Row],[Cum_deaths]]))</f>
        <v>0</v>
      </c>
      <c r="Z77" s="50">
        <f>kh*t0h*_xlfn.GAMMA.DIST(Tabella211[[#This Row],[Day]]/t0h,wh+1,1,1)*_xlfn.GAMMA(wh+1)</f>
        <v>24411.264185136755</v>
      </c>
      <c r="AA77" s="10">
        <f>kh*((Tabella211[[#This Row],[Day]]/t0h)^wh)*EXP(-(Tabella211[[#This Row],[Day]]/t0h))</f>
        <v>72.60900434622711</v>
      </c>
      <c r="AB77" s="65">
        <f>Tabella211[[#This Row],[Cum_D_fit]]*NOT(ISBLANK(Tabella211[[#This Row],[Cum_deaths]]))</f>
        <v>0</v>
      </c>
    </row>
    <row r="78" spans="2:28" x14ac:dyDescent="0.3">
      <c r="B78" s="9">
        <v>43955</v>
      </c>
      <c r="C78" s="4">
        <f t="shared" si="1"/>
        <v>70</v>
      </c>
      <c r="F78" s="56">
        <f>Tabella211[[#This Row],[Cum_confirmed]]*NOT(ISBLANK(Tabella211[[#This Row],[Cum_confirmed]]))</f>
        <v>0</v>
      </c>
      <c r="G78" s="50">
        <f>k*t0*_xlfn.GAMMA.DIST(Tabella211[[#This Row],[Day]]/t0,w+1,1,1)*_xlfn.GAMMA(w+1)</f>
        <v>187360.76058160648</v>
      </c>
      <c r="H78" s="10">
        <f>k*((Tabella211[[#This Row],[Day]]/t0)^w)*EXP(-(Tabella211[[#This Row],[Day]]/t0))</f>
        <v>597.10843962989293</v>
      </c>
      <c r="I78" s="56">
        <f>Tabella211[[#This Row],[Cum_fit]]*NOT(ISBLANK(Tabella211[[#This Row],[Cum_confirmed]]))</f>
        <v>0</v>
      </c>
      <c r="L78" s="55"/>
      <c r="M78" s="54"/>
      <c r="N78" s="54">
        <f>Tabella211[[#This Row],[New_cases_fit]]-Tabella211[[#This Row],[New_Recovered_fit]]-Tabella211[[#This Row],[New_Deaths_fit]]</f>
        <v>-3475.1628433134883</v>
      </c>
      <c r="P78" s="48"/>
      <c r="Q78" s="60">
        <f>Tabella211[[#This Row],[Cum_recov]]*NOT(ISBLANK(Tabella211[[#This Row],[Cum_recov]]))</f>
        <v>0</v>
      </c>
      <c r="R78" s="50">
        <f>kr*t0r*_xlfn.GAMMA.DIST(Tabella211[[#This Row],[Day]]/t0r,wr+1,1,1)*_xlfn.GAMMA(wr+1)</f>
        <v>98788.384307938803</v>
      </c>
      <c r="S78" s="10">
        <f>kr*((Tabella211[[#This Row],[Day]]/t0r)^wr)*EXP(-(Tabella211[[#This Row],[Day]]/t0r))</f>
        <v>4007.3151856463437</v>
      </c>
      <c r="T78" s="60">
        <f>Tabella211[[#This Row],[Cum_R_fit]]*NOT(ISBLANK(Tabella211[[#This Row],[Cum_recov]]))</f>
        <v>0</v>
      </c>
      <c r="X78" s="26"/>
      <c r="Y78" s="65">
        <f>Tabella211[[#This Row],[Cum_deaths]]*NOT(ISBLANK(Tabella211[[#This Row],[Cum_deaths]]))</f>
        <v>0</v>
      </c>
      <c r="Z78" s="50">
        <f>kh*t0h*_xlfn.GAMMA.DIST(Tabella211[[#This Row],[Day]]/t0h,wh+1,1,1)*_xlfn.GAMMA(wh+1)</f>
        <v>24479.984494648008</v>
      </c>
      <c r="AA78" s="10">
        <f>kh*((Tabella211[[#This Row],[Day]]/t0h)^wh)*EXP(-(Tabella211[[#This Row],[Day]]/t0h))</f>
        <v>64.956097297037346</v>
      </c>
      <c r="AB78" s="65">
        <f>Tabella211[[#This Row],[Cum_D_fit]]*NOT(ISBLANK(Tabella211[[#This Row],[Cum_deaths]]))</f>
        <v>0</v>
      </c>
    </row>
    <row r="79" spans="2:28" ht="31.2" x14ac:dyDescent="0.6">
      <c r="B79" s="11"/>
      <c r="C79" s="4"/>
      <c r="E79" s="8"/>
      <c r="I79" s="8"/>
    </row>
    <row r="80" spans="2:28" ht="31.2" x14ac:dyDescent="0.6">
      <c r="B80" s="11"/>
      <c r="C80" s="4"/>
      <c r="E80" s="8"/>
      <c r="I80" s="8"/>
    </row>
    <row r="81" spans="2:18" ht="31.2" x14ac:dyDescent="0.6">
      <c r="B81" s="11"/>
      <c r="C81" s="4"/>
      <c r="E81" s="8"/>
      <c r="I81" s="8"/>
    </row>
    <row r="82" spans="2:18" ht="31.2" x14ac:dyDescent="0.6">
      <c r="B82" s="11"/>
      <c r="C82" s="4"/>
      <c r="E82" s="8"/>
      <c r="I82" s="8"/>
    </row>
    <row r="83" spans="2:18" ht="31.2" x14ac:dyDescent="0.6">
      <c r="B83" s="11"/>
      <c r="C83" s="4"/>
      <c r="E83" s="8"/>
      <c r="I83" s="8"/>
    </row>
    <row r="84" spans="2:18" ht="31.2" x14ac:dyDescent="0.6">
      <c r="B84" s="11"/>
      <c r="C84" s="4"/>
      <c r="E84" s="8"/>
      <c r="I84" s="8"/>
    </row>
    <row r="85" spans="2:18" ht="31.2" x14ac:dyDescent="0.6">
      <c r="B85" s="11"/>
      <c r="C85" s="4"/>
      <c r="E85" s="8"/>
      <c r="I85" s="8"/>
    </row>
    <row r="86" spans="2:18" ht="31.2" x14ac:dyDescent="0.6">
      <c r="B86" s="11"/>
      <c r="C86" s="4"/>
      <c r="E86" s="8"/>
      <c r="I86" s="8"/>
    </row>
    <row r="87" spans="2:18" ht="31.2" x14ac:dyDescent="0.6">
      <c r="B87" s="11"/>
      <c r="C87" s="4"/>
      <c r="E87" s="8"/>
      <c r="I87" s="8"/>
    </row>
    <row r="88" spans="2:18" ht="31.2" x14ac:dyDescent="0.6">
      <c r="B88" s="11"/>
      <c r="C88" s="4"/>
      <c r="E88" s="8"/>
      <c r="I88" s="8"/>
    </row>
    <row r="89" spans="2:18" ht="31.2" x14ac:dyDescent="0.6">
      <c r="B89" s="11"/>
      <c r="C89" s="4"/>
      <c r="E89" s="8"/>
      <c r="I89" s="8"/>
    </row>
    <row r="90" spans="2:18" ht="31.2" x14ac:dyDescent="0.6">
      <c r="B90" s="11"/>
      <c r="C90" s="4"/>
      <c r="E90" s="8"/>
      <c r="I90" s="8"/>
    </row>
    <row r="91" spans="2:18" ht="31.2" x14ac:dyDescent="0.6">
      <c r="B91" s="11"/>
      <c r="C91" s="4"/>
      <c r="E91" s="8"/>
      <c r="I91" s="8"/>
    </row>
    <row r="92" spans="2:18" ht="31.2" x14ac:dyDescent="0.6">
      <c r="B92" s="11"/>
      <c r="C92" s="4"/>
      <c r="E92" s="8"/>
      <c r="I92" s="8"/>
    </row>
    <row r="94" spans="2:18" ht="31.2" x14ac:dyDescent="0.6">
      <c r="B94" s="11" t="s">
        <v>11</v>
      </c>
    </row>
    <row r="95" spans="2:18" ht="17.399999999999999" customHeight="1" x14ac:dyDescent="0.6">
      <c r="B95" s="12"/>
      <c r="C95" s="13"/>
      <c r="D95" s="13"/>
      <c r="E95" s="13"/>
      <c r="F95" s="13"/>
      <c r="H95" s="13"/>
      <c r="I95" s="13"/>
      <c r="J95" s="13"/>
      <c r="O95" s="20" t="s">
        <v>0</v>
      </c>
      <c r="P95" s="19" t="s">
        <v>68</v>
      </c>
      <c r="Q95" s="31"/>
      <c r="R95" s="16"/>
    </row>
    <row r="96" spans="2:18" ht="20.399999999999999" x14ac:dyDescent="0.35">
      <c r="B96" s="15" t="s">
        <v>49</v>
      </c>
      <c r="C96" s="14"/>
      <c r="D96" s="13"/>
      <c r="E96" s="13"/>
      <c r="F96" s="13"/>
      <c r="H96" s="13"/>
      <c r="I96" s="13"/>
      <c r="J96" s="13"/>
      <c r="O96" s="20" t="s">
        <v>23</v>
      </c>
      <c r="P96" s="19" t="s">
        <v>71</v>
      </c>
      <c r="Q96" s="16"/>
      <c r="R96" s="16"/>
    </row>
    <row r="97" spans="2:28" ht="18.600000000000001" thickBot="1" x14ac:dyDescent="0.4">
      <c r="B97" s="27" t="s">
        <v>58</v>
      </c>
      <c r="C97" s="13"/>
      <c r="D97" s="13"/>
      <c r="E97" s="13"/>
      <c r="F97" s="13"/>
      <c r="H97" s="13"/>
      <c r="I97" s="13"/>
      <c r="J97" s="13"/>
      <c r="O97" s="20" t="s">
        <v>1</v>
      </c>
      <c r="P97" s="19" t="s">
        <v>71</v>
      </c>
      <c r="Q97" s="16"/>
      <c r="R97" s="16"/>
    </row>
    <row r="98" spans="2:28" ht="28.8" x14ac:dyDescent="0.3">
      <c r="B98" s="4" t="s">
        <v>8</v>
      </c>
      <c r="C98" s="4" t="s">
        <v>9</v>
      </c>
      <c r="D98" s="4" t="s">
        <v>10</v>
      </c>
      <c r="E98" s="8" t="s">
        <v>54</v>
      </c>
      <c r="F98" s="8" t="s">
        <v>44</v>
      </c>
      <c r="G98" s="8" t="s">
        <v>45</v>
      </c>
      <c r="H98" s="4" t="s">
        <v>53</v>
      </c>
      <c r="I98" s="8" t="s">
        <v>55</v>
      </c>
      <c r="J98" s="8" t="s">
        <v>56</v>
      </c>
      <c r="K98" s="8" t="s">
        <v>57</v>
      </c>
      <c r="L98" s="8"/>
      <c r="M98" s="28" t="s">
        <v>46</v>
      </c>
      <c r="N98" s="3"/>
      <c r="O98" s="3"/>
      <c r="AB98" s="38" t="s">
        <v>72</v>
      </c>
    </row>
    <row r="99" spans="2:28" x14ac:dyDescent="0.3">
      <c r="B99" s="24">
        <v>43881</v>
      </c>
      <c r="C99" s="25">
        <v>1</v>
      </c>
      <c r="D99" s="26">
        <v>3</v>
      </c>
      <c r="E99" s="8">
        <f t="shared" ref="E99:E162" si="2">t0*_xlfn.GAMMA.DIST($C99/t0,w+1,1,1)*_xlfn.GAMMA(w+1)</f>
        <v>1.7504615760471506E-5</v>
      </c>
      <c r="F99" s="10">
        <f>E99+CI</f>
        <v>7330.6355735602365</v>
      </c>
      <c r="G99" s="10">
        <f>MAX(E99-CI,0)</f>
        <v>0</v>
      </c>
      <c r="H99" s="25">
        <v>0</v>
      </c>
      <c r="I99" s="8">
        <f t="shared" ref="I99:I162" si="3">t0h*_xlfn.GAMMA.DIST($C99/t0h,wh+1,1,1)*_xlfn.GAMMA(wh+1)</f>
        <v>1.2380907815842719E-6</v>
      </c>
      <c r="J99" s="10">
        <f t="shared" ref="J99:J138" si="4">I99+CIh</f>
        <v>882.24702842900979</v>
      </c>
      <c r="K99" s="10">
        <f t="shared" ref="K99:K138" si="5">MAX(I99-CIh,0)</f>
        <v>0</v>
      </c>
      <c r="L99" s="8"/>
      <c r="M99" s="36"/>
      <c r="N99" s="36"/>
      <c r="O99" s="3"/>
      <c r="AB99" s="39">
        <f>MAX($N$13)</f>
        <v>14.267387871349211</v>
      </c>
    </row>
    <row r="100" spans="2:28" ht="15.6" x14ac:dyDescent="0.35">
      <c r="B100" s="24">
        <v>43882</v>
      </c>
      <c r="C100" s="25">
        <v>2</v>
      </c>
      <c r="D100" s="26">
        <v>20</v>
      </c>
      <c r="E100" s="8">
        <f t="shared" si="2"/>
        <v>9.2819174244512456E-4</v>
      </c>
      <c r="F100" s="10">
        <f>E100+CI</f>
        <v>7330.6364842473631</v>
      </c>
      <c r="G100" s="10">
        <f>MAX(E100-CI,0)</f>
        <v>0</v>
      </c>
      <c r="H100" s="25">
        <v>1</v>
      </c>
      <c r="I100" s="8">
        <f t="shared" si="3"/>
        <v>3.4489850564227193E-4</v>
      </c>
      <c r="J100" s="10">
        <f t="shared" si="4"/>
        <v>882.24737208942463</v>
      </c>
      <c r="K100" s="10">
        <f t="shared" si="5"/>
        <v>0</v>
      </c>
      <c r="L100" s="8"/>
      <c r="M100" s="21" t="s">
        <v>24</v>
      </c>
      <c r="N100" s="29">
        <v>4.2282842615638625</v>
      </c>
      <c r="O100" s="3"/>
      <c r="AB100" s="40">
        <f>COUNT($N$8,$N$9)</f>
        <v>2</v>
      </c>
    </row>
    <row r="101" spans="2:28" x14ac:dyDescent="0.3">
      <c r="B101" s="24">
        <v>43883</v>
      </c>
      <c r="C101" s="25">
        <v>3</v>
      </c>
      <c r="D101" s="26">
        <v>62</v>
      </c>
      <c r="E101" s="8">
        <f t="shared" si="2"/>
        <v>8.9552108100787054E-3</v>
      </c>
      <c r="F101" s="10">
        <f>E101+CI</f>
        <v>7330.6445112664305</v>
      </c>
      <c r="G101" s="10">
        <f>MAX(E101-CI,0)</f>
        <v>0</v>
      </c>
      <c r="H101" s="25">
        <v>2</v>
      </c>
      <c r="I101" s="8">
        <f t="shared" si="3"/>
        <v>8.5726190960644464E-3</v>
      </c>
      <c r="J101" s="10">
        <f t="shared" si="4"/>
        <v>882.25559981001504</v>
      </c>
      <c r="K101" s="10">
        <f t="shared" si="5"/>
        <v>0</v>
      </c>
      <c r="L101" s="8"/>
      <c r="M101" s="21" t="s">
        <v>1</v>
      </c>
      <c r="N101" s="29">
        <v>7.9939169732118822</v>
      </c>
      <c r="O101" s="3"/>
      <c r="AB101" s="40">
        <f>{32767;32767;0.000001;0;FALSE;FALSE;FALSE;1;2;1;0.0001;TRUE}</f>
        <v>32767</v>
      </c>
    </row>
    <row r="102" spans="2:28" x14ac:dyDescent="0.3">
      <c r="B102" s="24">
        <v>43884</v>
      </c>
      <c r="C102" s="25">
        <v>4</v>
      </c>
      <c r="D102" s="26">
        <v>155</v>
      </c>
      <c r="E102" s="8">
        <f t="shared" si="2"/>
        <v>4.3016501536737056E-2</v>
      </c>
      <c r="F102" s="10">
        <f>E102+CI</f>
        <v>7330.6785725571572</v>
      </c>
      <c r="G102" s="10">
        <f>MAX(E102-CI,0)</f>
        <v>0</v>
      </c>
      <c r="H102" s="25">
        <v>3</v>
      </c>
      <c r="I102" s="8">
        <f t="shared" si="3"/>
        <v>7.9243955799674942E-2</v>
      </c>
      <c r="J102" s="10">
        <f t="shared" si="4"/>
        <v>882.32627114671868</v>
      </c>
      <c r="K102" s="10">
        <f t="shared" si="5"/>
        <v>0</v>
      </c>
      <c r="L102" s="8"/>
      <c r="M102" s="5" t="s">
        <v>2</v>
      </c>
      <c r="N102" s="1" t="e">
        <f>AVERAGE(D99:D162)</f>
        <v>#REF!</v>
      </c>
      <c r="O102" s="3"/>
      <c r="AB102" s="40">
        <f>{0;0;1;100;0;FALSE;FALSE;0.075;0;0;FALSE;30}</f>
        <v>0</v>
      </c>
    </row>
    <row r="103" spans="2:28" x14ac:dyDescent="0.3">
      <c r="B103" s="22">
        <v>43885</v>
      </c>
      <c r="C103" s="4">
        <v>5</v>
      </c>
      <c r="D103" s="10" t="e">
        <f>'dpc-covid19-ita-andamento-naz'!#REF!</f>
        <v>#REF!</v>
      </c>
      <c r="E103" s="8">
        <f t="shared" si="2"/>
        <v>0.14103359916387778</v>
      </c>
      <c r="F103" s="10">
        <f t="shared" ref="F103:F143" si="6">E103+CI</f>
        <v>7330.7765896547844</v>
      </c>
      <c r="G103" s="10">
        <f t="shared" ref="G103:G143" si="7">MAX(E103-CI,0)</f>
        <v>0</v>
      </c>
      <c r="H103" s="10" t="e">
        <f>'dpc-covid19-ita-andamento-naz'!#REF!</f>
        <v>#REF!</v>
      </c>
      <c r="I103" s="8">
        <f t="shared" si="3"/>
        <v>0.42612625270978094</v>
      </c>
      <c r="J103" s="10">
        <f t="shared" si="4"/>
        <v>882.67315344362873</v>
      </c>
      <c r="K103" s="10">
        <f t="shared" si="5"/>
        <v>0</v>
      </c>
      <c r="L103" s="1"/>
      <c r="M103" s="5" t="s">
        <v>3</v>
      </c>
      <c r="N103" s="1">
        <f>COUNT(D99:D162)-COUNT(N99:N101)</f>
        <v>2</v>
      </c>
      <c r="AB103" s="40">
        <f>{32767;32767;0.000001;0;FALSE;FALSE;FALSE;1;2;1;0.0001;TRUE}</f>
        <v>32767</v>
      </c>
    </row>
    <row r="104" spans="2:28" x14ac:dyDescent="0.3">
      <c r="B104" s="9">
        <v>43886</v>
      </c>
      <c r="C104" s="4">
        <v>6</v>
      </c>
      <c r="D104" s="10" t="e">
        <f>'dpc-covid19-ita-andamento-naz'!#REF!</f>
        <v>#REF!</v>
      </c>
      <c r="E104" s="8">
        <f t="shared" si="2"/>
        <v>0.36321826370169619</v>
      </c>
      <c r="F104" s="10">
        <f t="shared" si="6"/>
        <v>7330.9987743193224</v>
      </c>
      <c r="G104" s="10">
        <f t="shared" si="7"/>
        <v>0</v>
      </c>
      <c r="H104" s="10" t="e">
        <f>'dpc-covid19-ita-andamento-naz'!#REF!</f>
        <v>#REF!</v>
      </c>
      <c r="I104" s="8">
        <f t="shared" si="3"/>
        <v>1.6269539973164739</v>
      </c>
      <c r="J104" s="10">
        <f t="shared" si="4"/>
        <v>883.87398118823546</v>
      </c>
      <c r="K104" s="10">
        <f t="shared" si="5"/>
        <v>0</v>
      </c>
      <c r="L104" s="1"/>
      <c r="M104" s="5" t="s">
        <v>4</v>
      </c>
      <c r="N104" s="6" t="e" cm="1">
        <f t="array" ref="N104">SQRT(SUM((D99:D143-E99:E143)^2)/df)</f>
        <v>#REF!</v>
      </c>
      <c r="AB104" s="41">
        <f>{0;0;1;100;0;FALSE;FALSE;0.075;0;0;FALSE;30}</f>
        <v>0</v>
      </c>
    </row>
    <row r="105" spans="2:28" ht="16.2" x14ac:dyDescent="0.3">
      <c r="B105" s="9">
        <v>43887</v>
      </c>
      <c r="C105" s="4">
        <v>7</v>
      </c>
      <c r="D105" s="10" t="e">
        <f>'dpc-covid19-ita-andamento-naz'!#REF!</f>
        <v>#REF!</v>
      </c>
      <c r="E105" s="8">
        <f t="shared" si="2"/>
        <v>0.79200451570726826</v>
      </c>
      <c r="F105" s="10">
        <f t="shared" si="6"/>
        <v>7331.4275605713274</v>
      </c>
      <c r="G105" s="10">
        <f t="shared" si="7"/>
        <v>0</v>
      </c>
      <c r="H105" s="10" t="e">
        <f>'dpc-covid19-ita-andamento-naz'!#REF!</f>
        <v>#REF!</v>
      </c>
      <c r="I105" s="8">
        <f t="shared" si="3"/>
        <v>4.905082362484106</v>
      </c>
      <c r="J105" s="10">
        <f t="shared" si="4"/>
        <v>887.15210955340308</v>
      </c>
      <c r="K105" s="10">
        <f t="shared" si="5"/>
        <v>0</v>
      </c>
      <c r="L105" s="1"/>
      <c r="M105" s="5" t="s">
        <v>5</v>
      </c>
      <c r="N105" s="7" t="e" cm="1">
        <f t="array" ref="N105">1-SUM((D99:D143-E99:E143)^2)/SUM((D99:D143-Mean_of_y)^2)</f>
        <v>#REF!</v>
      </c>
      <c r="AB105" s="42"/>
    </row>
    <row r="106" spans="2:28" x14ac:dyDescent="0.3">
      <c r="B106" s="9">
        <v>43888</v>
      </c>
      <c r="C106" s="4">
        <v>8</v>
      </c>
      <c r="D106" s="10" t="e">
        <f>'dpc-covid19-ita-andamento-naz'!#REF!</f>
        <v>#REF!</v>
      </c>
      <c r="E106" s="8">
        <f t="shared" si="2"/>
        <v>1.5291090456113612</v>
      </c>
      <c r="F106" s="10">
        <f t="shared" si="6"/>
        <v>7332.1646651012315</v>
      </c>
      <c r="G106" s="10">
        <f t="shared" si="7"/>
        <v>0</v>
      </c>
      <c r="H106" s="10" t="e">
        <f>'dpc-covid19-ita-andamento-naz'!#REF!</f>
        <v>#REF!</v>
      </c>
      <c r="I106" s="8">
        <f t="shared" si="3"/>
        <v>12.442660923710214</v>
      </c>
      <c r="J106" s="10">
        <f t="shared" si="4"/>
        <v>894.68968811462923</v>
      </c>
      <c r="K106" s="10">
        <f t="shared" si="5"/>
        <v>0</v>
      </c>
      <c r="L106" s="1"/>
      <c r="M106" s="5" t="s">
        <v>6</v>
      </c>
      <c r="N106" s="7">
        <f>TINV(0.05,df)</f>
        <v>2.0141033888808457</v>
      </c>
      <c r="AB106" s="43"/>
    </row>
    <row r="107" spans="2:28" x14ac:dyDescent="0.3">
      <c r="B107" s="9">
        <v>43889</v>
      </c>
      <c r="C107" s="4">
        <v>9</v>
      </c>
      <c r="D107" s="10" t="e">
        <f>'dpc-covid19-ita-andamento-naz'!#REF!</f>
        <v>#REF!</v>
      </c>
      <c r="E107" s="8">
        <f t="shared" si="2"/>
        <v>2.6905345075423206</v>
      </c>
      <c r="F107" s="10">
        <f t="shared" si="6"/>
        <v>7333.3260905631623</v>
      </c>
      <c r="G107" s="10">
        <f t="shared" si="7"/>
        <v>0</v>
      </c>
      <c r="H107" s="10" t="e">
        <f>'dpc-covid19-ita-andamento-naz'!#REF!</f>
        <v>#REF!</v>
      </c>
      <c r="I107" s="8">
        <f t="shared" si="3"/>
        <v>27.666669012357556</v>
      </c>
      <c r="J107" s="10">
        <f t="shared" si="4"/>
        <v>909.91369620327657</v>
      </c>
      <c r="K107" s="10">
        <f t="shared" si="5"/>
        <v>0</v>
      </c>
      <c r="L107" s="1"/>
      <c r="M107" s="5" t="s">
        <v>7</v>
      </c>
      <c r="N107" s="1">
        <f>Critical_t*SE_of_y</f>
        <v>7330.6355560556203</v>
      </c>
      <c r="AB107" s="43"/>
    </row>
    <row r="108" spans="2:28" ht="15" thickBot="1" x14ac:dyDescent="0.35">
      <c r="B108" s="9">
        <v>43890</v>
      </c>
      <c r="C108" s="4">
        <v>10</v>
      </c>
      <c r="D108" s="10" t="e">
        <f>'dpc-covid19-ita-andamento-naz'!#REF!</f>
        <v>#REF!</v>
      </c>
      <c r="E108" s="8">
        <f t="shared" si="2"/>
        <v>4.4003876181887014</v>
      </c>
      <c r="F108" s="10">
        <f t="shared" si="6"/>
        <v>7335.035943673809</v>
      </c>
      <c r="G108" s="10">
        <f t="shared" si="7"/>
        <v>0</v>
      </c>
      <c r="H108" s="10" t="e">
        <f>'dpc-covid19-ita-andamento-naz'!#REF!</f>
        <v>#REF!</v>
      </c>
      <c r="I108" s="8">
        <f t="shared" si="3"/>
        <v>55.452383992983322</v>
      </c>
      <c r="J108" s="10">
        <f t="shared" si="4"/>
        <v>937.69941118390227</v>
      </c>
      <c r="K108" s="10">
        <f t="shared" si="5"/>
        <v>0</v>
      </c>
      <c r="L108" s="1"/>
      <c r="M108" s="32" t="s">
        <v>67</v>
      </c>
      <c r="N108" s="33">
        <f>t0*_xlfn.GAMMA(w+1)</f>
        <v>661.64528347865394</v>
      </c>
      <c r="AB108" s="44"/>
    </row>
    <row r="109" spans="2:28" ht="15" thickTop="1" x14ac:dyDescent="0.3">
      <c r="B109" s="22">
        <v>43891</v>
      </c>
      <c r="C109" s="4">
        <v>11</v>
      </c>
      <c r="D109" s="10" t="e">
        <f>'dpc-covid19-ita-andamento-naz'!#REF!</f>
        <v>#REF!</v>
      </c>
      <c r="E109" s="8">
        <f t="shared" si="2"/>
        <v>6.7842960155504199</v>
      </c>
      <c r="F109" s="10">
        <f t="shared" si="6"/>
        <v>7337.4198520711707</v>
      </c>
      <c r="G109" s="10">
        <f t="shared" si="7"/>
        <v>0</v>
      </c>
      <c r="H109" s="10" t="e">
        <f>'dpc-covid19-ita-andamento-naz'!#REF!</f>
        <v>#REF!</v>
      </c>
      <c r="I109" s="8">
        <f t="shared" si="3"/>
        <v>102.2037610282822</v>
      </c>
      <c r="J109" s="10">
        <f t="shared" si="4"/>
        <v>984.45078821920117</v>
      </c>
      <c r="K109" s="10">
        <f t="shared" si="5"/>
        <v>0</v>
      </c>
      <c r="L109" s="1"/>
      <c r="M109" s="23" t="s">
        <v>53</v>
      </c>
      <c r="N109" s="3"/>
      <c r="AB109" s="45">
        <f>MAX($N$24)</f>
        <v>1892.9280118537467</v>
      </c>
    </row>
    <row r="110" spans="2:28" x14ac:dyDescent="0.3">
      <c r="B110" s="9">
        <v>43892</v>
      </c>
      <c r="C110" s="4">
        <v>12</v>
      </c>
      <c r="D110" s="10" t="e">
        <f>'dpc-covid19-ita-andamento-naz'!#REF!</f>
        <v>#REF!</v>
      </c>
      <c r="E110" s="8">
        <f t="shared" si="2"/>
        <v>9.9630538417032586</v>
      </c>
      <c r="F110" s="10">
        <f t="shared" si="6"/>
        <v>7340.5986098973235</v>
      </c>
      <c r="G110" s="10">
        <f t="shared" si="7"/>
        <v>0</v>
      </c>
      <c r="H110" s="10" t="e">
        <f>'dpc-covid19-ita-andamento-naz'!#REF!</f>
        <v>#REF!</v>
      </c>
      <c r="I110" s="8">
        <f t="shared" si="3"/>
        <v>175.79073123633145</v>
      </c>
      <c r="J110" s="10">
        <f t="shared" si="4"/>
        <v>1058.0377584272505</v>
      </c>
      <c r="K110" s="10">
        <f t="shared" si="5"/>
        <v>0</v>
      </c>
      <c r="L110" s="1"/>
      <c r="M110" s="37"/>
      <c r="N110" s="37"/>
      <c r="AB110" s="46">
        <f>COUNT($N$19,$N$20)</f>
        <v>2</v>
      </c>
    </row>
    <row r="111" spans="2:28" ht="15.6" x14ac:dyDescent="0.35">
      <c r="B111" s="9">
        <v>43893</v>
      </c>
      <c r="C111" s="4">
        <v>13</v>
      </c>
      <c r="D111" s="10" t="e">
        <f>'dpc-covid19-ita-andamento-naz'!#REF!</f>
        <v>#REF!</v>
      </c>
      <c r="E111" s="8">
        <f t="shared" si="2"/>
        <v>14.046953613220747</v>
      </c>
      <c r="F111" s="10">
        <f t="shared" si="6"/>
        <v>7344.6825096688408</v>
      </c>
      <c r="G111" s="10">
        <f t="shared" si="7"/>
        <v>0</v>
      </c>
      <c r="H111" s="10" t="e">
        <f>'dpc-covid19-ita-andamento-naz'!#REF!</f>
        <v>#REF!</v>
      </c>
      <c r="I111" s="8">
        <f t="shared" si="3"/>
        <v>285.34432878905619</v>
      </c>
      <c r="J111" s="10">
        <f t="shared" si="4"/>
        <v>1167.5913559799751</v>
      </c>
      <c r="K111" s="10">
        <f t="shared" si="5"/>
        <v>0</v>
      </c>
      <c r="L111" s="1"/>
      <c r="M111" s="21" t="s">
        <v>24</v>
      </c>
      <c r="N111" s="29">
        <v>6.0931093620883479</v>
      </c>
      <c r="AB111" s="46">
        <f>{32767;32767;0.000001;0;FALSE;FALSE;FALSE;1;2;1;0.0001;TRUE}</f>
        <v>32767</v>
      </c>
    </row>
    <row r="112" spans="2:28" x14ac:dyDescent="0.3">
      <c r="B112" s="9">
        <v>43894</v>
      </c>
      <c r="C112" s="4">
        <v>14</v>
      </c>
      <c r="D112" s="10" t="e">
        <f>'dpc-covid19-ita-andamento-naz'!#REF!</f>
        <v>#REF!</v>
      </c>
      <c r="E112" s="8">
        <f t="shared" si="2"/>
        <v>19.13109816196334</v>
      </c>
      <c r="F112" s="10">
        <f t="shared" si="6"/>
        <v>7349.7666542175839</v>
      </c>
      <c r="G112" s="10">
        <f t="shared" si="7"/>
        <v>0</v>
      </c>
      <c r="H112" s="10" t="e">
        <f>'dpc-covid19-ita-andamento-naz'!#REF!</f>
        <v>#REF!</v>
      </c>
      <c r="I112" s="8">
        <f t="shared" si="3"/>
        <v>440.92820832946353</v>
      </c>
      <c r="J112" s="10">
        <f t="shared" si="4"/>
        <v>1323.1752355203826</v>
      </c>
      <c r="K112" s="10">
        <f t="shared" si="5"/>
        <v>0</v>
      </c>
      <c r="L112" s="1"/>
      <c r="M112" s="21" t="s">
        <v>1</v>
      </c>
      <c r="N112" s="29">
        <v>7.062212780435102</v>
      </c>
      <c r="AB112" s="46">
        <f>{0;0;1;100;0;FALSE;FALSE;0.075;0;0;FALSE;30}</f>
        <v>0</v>
      </c>
    </row>
    <row r="113" spans="2:28" x14ac:dyDescent="0.3">
      <c r="B113" s="22">
        <v>43895</v>
      </c>
      <c r="C113" s="4">
        <v>15</v>
      </c>
      <c r="D113" s="10" t="e">
        <f>'dpc-covid19-ita-andamento-naz'!#REF!</f>
        <v>#REF!</v>
      </c>
      <c r="E113" s="8">
        <f t="shared" si="2"/>
        <v>25.291845064847525</v>
      </c>
      <c r="F113" s="10">
        <f t="shared" si="6"/>
        <v>7355.9274011204679</v>
      </c>
      <c r="G113" s="10">
        <f t="shared" si="7"/>
        <v>0</v>
      </c>
      <c r="H113" s="10" t="e">
        <f>'dpc-covid19-ita-andamento-naz'!#REF!</f>
        <v>#REF!</v>
      </c>
      <c r="I113" s="8">
        <f t="shared" si="3"/>
        <v>653.11757520359095</v>
      </c>
      <c r="J113" s="10">
        <f t="shared" si="4"/>
        <v>1535.3646023945098</v>
      </c>
      <c r="K113" s="10">
        <f t="shared" si="5"/>
        <v>0</v>
      </c>
      <c r="L113" s="1"/>
      <c r="M113" s="2" t="s">
        <v>2</v>
      </c>
      <c r="N113" s="1" t="e">
        <f>AVERAGE(H99:H162)</f>
        <v>#REF!</v>
      </c>
      <c r="AB113" s="46">
        <f>{32767;32767;0.000001;0;FALSE;FALSE;FALSE;1;2;1;0.0001;TRUE}</f>
        <v>32767</v>
      </c>
    </row>
    <row r="114" spans="2:28" ht="15" thickBot="1" x14ac:dyDescent="0.35">
      <c r="B114" s="9">
        <v>43896</v>
      </c>
      <c r="C114" s="4">
        <v>16</v>
      </c>
      <c r="D114" s="10" t="e">
        <f>'dpc-covid19-ita-andamento-naz'!#REF!</f>
        <v>#REF!</v>
      </c>
      <c r="E114" s="8">
        <f t="shared" si="2"/>
        <v>32.584422525081237</v>
      </c>
      <c r="F114" s="10">
        <f t="shared" si="6"/>
        <v>7363.2199785807015</v>
      </c>
      <c r="G114" s="10">
        <f t="shared" si="7"/>
        <v>0</v>
      </c>
      <c r="H114" s="10" t="e">
        <f>'dpc-covid19-ita-andamento-naz'!#REF!</f>
        <v>#REF!</v>
      </c>
      <c r="I114" s="8">
        <f t="shared" si="3"/>
        <v>932.52328574029093</v>
      </c>
      <c r="J114" s="10">
        <f t="shared" si="4"/>
        <v>1814.7703129312099</v>
      </c>
      <c r="K114" s="10">
        <f t="shared" si="5"/>
        <v>50.27625854937196</v>
      </c>
      <c r="L114" s="1"/>
      <c r="M114" s="2" t="s">
        <v>3</v>
      </c>
      <c r="N114" s="1">
        <f>COUNT(H99:H162)-COUNT(N110:N112)</f>
        <v>2</v>
      </c>
      <c r="AB114" s="47">
        <f>{0;0;1;100;0;FALSE;FALSE;0.075;0;0;FALSE;30}</f>
        <v>0</v>
      </c>
    </row>
    <row r="115" spans="2:28" x14ac:dyDescent="0.3">
      <c r="B115" s="9">
        <v>43897</v>
      </c>
      <c r="C115" s="4">
        <v>17</v>
      </c>
      <c r="D115" s="10" t="e">
        <f>'dpc-covid19-ita-andamento-naz'!#REF!</f>
        <v>#REF!</v>
      </c>
      <c r="E115" s="8">
        <f t="shared" si="2"/>
        <v>41.041670605171724</v>
      </c>
      <c r="F115" s="10">
        <f t="shared" si="6"/>
        <v>7371.6772266607923</v>
      </c>
      <c r="G115" s="10">
        <f t="shared" si="7"/>
        <v>0</v>
      </c>
      <c r="H115" s="10" t="e">
        <f>'dpc-covid19-ita-andamento-naz'!#REF!</f>
        <v>#REF!</v>
      </c>
      <c r="I115" s="8">
        <f t="shared" si="3"/>
        <v>1289.3003295066676</v>
      </c>
      <c r="J115" s="10">
        <f t="shared" si="4"/>
        <v>2171.5473566975866</v>
      </c>
      <c r="K115" s="10">
        <f t="shared" si="5"/>
        <v>407.05330231574862</v>
      </c>
      <c r="L115" s="1"/>
      <c r="M115" s="2" t="s">
        <v>4</v>
      </c>
      <c r="N115" s="6" t="e" cm="1">
        <f t="array" ref="N115">SQRT(SUM((H99:H143-I99:I143)^2)/dfh)</f>
        <v>#REF!</v>
      </c>
    </row>
    <row r="116" spans="2:28" ht="16.2" x14ac:dyDescent="0.3">
      <c r="B116" s="22">
        <v>43898</v>
      </c>
      <c r="C116" s="4">
        <v>18</v>
      </c>
      <c r="D116" s="10" t="e">
        <f>'dpc-covid19-ita-andamento-naz'!#REF!</f>
        <v>#REF!</v>
      </c>
      <c r="E116" s="8">
        <f t="shared" si="2"/>
        <v>50.673802715943545</v>
      </c>
      <c r="F116" s="10">
        <f t="shared" si="6"/>
        <v>7381.3093587715639</v>
      </c>
      <c r="G116" s="10">
        <f t="shared" si="7"/>
        <v>0</v>
      </c>
      <c r="H116" s="10" t="e">
        <f>'dpc-covid19-ita-andamento-naz'!#REF!</f>
        <v>#REF!</v>
      </c>
      <c r="I116" s="8">
        <f t="shared" si="3"/>
        <v>1732.6771012946269</v>
      </c>
      <c r="J116" s="10">
        <f t="shared" si="4"/>
        <v>2614.9241284855461</v>
      </c>
      <c r="K116" s="10">
        <f t="shared" si="5"/>
        <v>850.43007410370797</v>
      </c>
      <c r="L116" s="1"/>
      <c r="M116" s="2" t="s">
        <v>5</v>
      </c>
      <c r="N116" s="7" t="e" cm="1">
        <f t="array" ref="N116">1-SUM((H99:H143-I99:I143)^2)/SUM((H99:H143-Mean_of_yh)^2)</f>
        <v>#REF!</v>
      </c>
    </row>
    <row r="117" spans="2:28" x14ac:dyDescent="0.3">
      <c r="B117" s="9">
        <v>43899</v>
      </c>
      <c r="C117" s="4">
        <v>19</v>
      </c>
      <c r="D117" s="10" t="e">
        <f>'dpc-covid19-ita-andamento-naz'!#REF!</f>
        <v>#REF!</v>
      </c>
      <c r="E117" s="8">
        <f t="shared" si="2"/>
        <v>61.469045622359488</v>
      </c>
      <c r="F117" s="10">
        <f t="shared" si="6"/>
        <v>7392.1046016779801</v>
      </c>
      <c r="G117" s="10">
        <f t="shared" si="7"/>
        <v>0</v>
      </c>
      <c r="H117" s="10" t="e">
        <f>'dpc-covid19-ita-andamento-naz'!#REF!</f>
        <v>#REF!</v>
      </c>
      <c r="I117" s="8">
        <f t="shared" si="3"/>
        <v>2270.5360687536308</v>
      </c>
      <c r="J117" s="10">
        <f t="shared" si="4"/>
        <v>3152.78309594455</v>
      </c>
      <c r="K117" s="10">
        <f t="shared" si="5"/>
        <v>1388.2890415627119</v>
      </c>
      <c r="L117" s="1"/>
      <c r="M117" s="2" t="s">
        <v>6</v>
      </c>
      <c r="N117" s="7">
        <f>TINV(0.05,dfh)</f>
        <v>2.0141033888808457</v>
      </c>
    </row>
    <row r="118" spans="2:28" x14ac:dyDescent="0.3">
      <c r="B118" s="22">
        <v>43900</v>
      </c>
      <c r="C118" s="4">
        <v>20</v>
      </c>
      <c r="D118" s="10" t="e">
        <f>'dpc-covid19-ita-andamento-naz'!#REF!</f>
        <v>#REF!</v>
      </c>
      <c r="E118" s="8">
        <f t="shared" si="2"/>
        <v>73.394997740976464</v>
      </c>
      <c r="F118" s="10">
        <f t="shared" si="6"/>
        <v>7404.0305537965969</v>
      </c>
      <c r="G118" s="10">
        <f t="shared" si="7"/>
        <v>0</v>
      </c>
      <c r="H118" s="10" t="e">
        <f>'dpc-covid19-ita-andamento-naz'!#REF!</f>
        <v>#REF!</v>
      </c>
      <c r="I118" s="8">
        <f t="shared" si="3"/>
        <v>2909.0689021298977</v>
      </c>
      <c r="J118" s="10">
        <f t="shared" si="4"/>
        <v>3791.3159293208164</v>
      </c>
      <c r="K118" s="10">
        <f t="shared" si="5"/>
        <v>2026.8218749389787</v>
      </c>
      <c r="L118" s="1"/>
      <c r="M118" s="2" t="s">
        <v>7</v>
      </c>
      <c r="N118" s="1">
        <f>Critical_th*SE_of_yh</f>
        <v>882.24702719091897</v>
      </c>
    </row>
    <row r="119" spans="2:28" x14ac:dyDescent="0.3">
      <c r="B119" s="9">
        <v>43901</v>
      </c>
      <c r="C119" s="4">
        <v>21</v>
      </c>
      <c r="D119" s="10" t="e">
        <f>'dpc-covid19-ita-andamento-naz'!#REF!</f>
        <v>#REF!</v>
      </c>
      <c r="E119" s="8">
        <f t="shared" si="2"/>
        <v>86.400541045385793</v>
      </c>
      <c r="F119" s="10">
        <f t="shared" si="6"/>
        <v>7417.0360971010059</v>
      </c>
      <c r="G119" s="10">
        <f t="shared" si="7"/>
        <v>0</v>
      </c>
      <c r="H119" s="10" t="e">
        <f>'dpc-covid19-ita-andamento-naz'!#REF!</f>
        <v>#REF!</v>
      </c>
      <c r="I119" s="8">
        <f t="shared" si="3"/>
        <v>3652.5209626999399</v>
      </c>
      <c r="J119" s="10">
        <f t="shared" si="4"/>
        <v>4534.7679898908591</v>
      </c>
      <c r="K119" s="10">
        <f t="shared" si="5"/>
        <v>2770.2739355090207</v>
      </c>
      <c r="L119" s="1"/>
      <c r="M119" s="34" t="s">
        <v>67</v>
      </c>
      <c r="N119" s="35">
        <f>t0h*_xlfn.GAMMA(wh+1)</f>
        <v>52550.076138385666</v>
      </c>
    </row>
    <row r="120" spans="2:28" x14ac:dyDescent="0.3">
      <c r="B120" s="22">
        <v>43902</v>
      </c>
      <c r="C120" s="4">
        <v>22</v>
      </c>
      <c r="D120" s="10" t="e">
        <f>'dpc-covid19-ita-andamento-naz'!#REF!</f>
        <v>#REF!</v>
      </c>
      <c r="E120" s="8">
        <f t="shared" si="2"/>
        <v>100.41814770672639</v>
      </c>
      <c r="F120" s="10">
        <f t="shared" si="6"/>
        <v>7431.0537037623471</v>
      </c>
      <c r="G120" s="10">
        <f t="shared" si="7"/>
        <v>0</v>
      </c>
      <c r="H120" s="10" t="e">
        <f>'dpc-covid19-ita-andamento-naz'!#REF!</f>
        <v>#REF!</v>
      </c>
      <c r="I120" s="8">
        <f t="shared" si="3"/>
        <v>4503.0321226456108</v>
      </c>
      <c r="J120" s="10">
        <f t="shared" si="4"/>
        <v>5385.2791498365295</v>
      </c>
      <c r="K120" s="10">
        <f t="shared" si="5"/>
        <v>3620.7850954546921</v>
      </c>
      <c r="L120" s="1"/>
      <c r="M120" s="5"/>
    </row>
    <row r="121" spans="2:28" x14ac:dyDescent="0.3">
      <c r="B121" s="9">
        <v>43903</v>
      </c>
      <c r="C121" s="4">
        <v>23</v>
      </c>
      <c r="D121" s="10" t="e">
        <f>'dpc-covid19-ita-andamento-naz'!#REF!</f>
        <v>#REF!</v>
      </c>
      <c r="E121" s="8">
        <f t="shared" si="2"/>
        <v>115.36643543840519</v>
      </c>
      <c r="F121" s="10">
        <f t="shared" si="6"/>
        <v>7446.0019914940258</v>
      </c>
      <c r="G121" s="10">
        <f t="shared" si="7"/>
        <v>0</v>
      </c>
      <c r="H121" s="10" t="e">
        <f>'dpc-covid19-ita-andamento-naz'!#REF!</f>
        <v>#REF!</v>
      </c>
      <c r="I121" s="8">
        <f t="shared" si="3"/>
        <v>5460.5738337946741</v>
      </c>
      <c r="J121" s="10">
        <f t="shared" si="4"/>
        <v>6342.8208609855928</v>
      </c>
      <c r="K121" s="10">
        <f t="shared" si="5"/>
        <v>4578.3268066037554</v>
      </c>
      <c r="L121" s="1"/>
      <c r="M121" s="5"/>
    </row>
    <row r="122" spans="2:28" x14ac:dyDescent="0.3">
      <c r="B122" s="9">
        <v>43904</v>
      </c>
      <c r="C122" s="4">
        <v>24</v>
      </c>
      <c r="D122" s="10" t="e">
        <f>'dpc-covid19-ita-andamento-naz'!#REF!</f>
        <v>#REF!</v>
      </c>
      <c r="E122" s="8">
        <f t="shared" si="2"/>
        <v>131.15284271740825</v>
      </c>
      <c r="F122" s="10">
        <f t="shared" si="6"/>
        <v>7461.7883987730283</v>
      </c>
      <c r="G122" s="10">
        <f t="shared" si="7"/>
        <v>0</v>
      </c>
      <c r="H122" s="10" t="e">
        <f>'dpc-covid19-ita-andamento-naz'!#REF!</f>
        <v>#REF!</v>
      </c>
      <c r="I122" s="8">
        <f t="shared" si="3"/>
        <v>6522.9765575969077</v>
      </c>
      <c r="J122" s="10">
        <f t="shared" si="4"/>
        <v>7405.2235847878264</v>
      </c>
      <c r="K122" s="10">
        <f t="shared" si="5"/>
        <v>5640.729530405989</v>
      </c>
      <c r="L122" s="1"/>
      <c r="M122" s="5"/>
    </row>
    <row r="123" spans="2:28" x14ac:dyDescent="0.3">
      <c r="B123" s="9">
        <v>43905</v>
      </c>
      <c r="C123" s="4">
        <v>25</v>
      </c>
      <c r="D123" s="10" t="e">
        <f>'dpc-covid19-ita-andamento-naz'!#REF!</f>
        <v>#REF!</v>
      </c>
      <c r="E123" s="8">
        <f t="shared" si="2"/>
        <v>147.67631450284242</v>
      </c>
      <c r="F123" s="10">
        <f t="shared" si="6"/>
        <v>7478.3118705584629</v>
      </c>
      <c r="G123" s="10">
        <f t="shared" si="7"/>
        <v>0</v>
      </c>
      <c r="H123" s="10" t="e">
        <f>'dpc-covid19-ita-andamento-naz'!#REF!</f>
        <v>#REF!</v>
      </c>
      <c r="I123" s="8">
        <f t="shared" si="3"/>
        <v>7686.0372893547392</v>
      </c>
      <c r="J123" s="10">
        <f t="shared" si="4"/>
        <v>8568.2843165456579</v>
      </c>
      <c r="K123" s="10">
        <f t="shared" si="5"/>
        <v>6803.7902621638204</v>
      </c>
      <c r="L123" s="1"/>
      <c r="M123" s="5"/>
    </row>
    <row r="124" spans="2:28" x14ac:dyDescent="0.3">
      <c r="B124" s="9">
        <v>43906</v>
      </c>
      <c r="C124" s="4">
        <v>26</v>
      </c>
      <c r="D124" s="10" t="e">
        <f>'dpc-covid19-ita-andamento-naz'!#REF!</f>
        <v>#REF!</v>
      </c>
      <c r="E124" s="8">
        <f t="shared" si="2"/>
        <v>164.82990915432032</v>
      </c>
      <c r="F124" s="10">
        <f t="shared" si="6"/>
        <v>7495.4654652099407</v>
      </c>
      <c r="G124" s="10">
        <f t="shared" si="7"/>
        <v>0</v>
      </c>
      <c r="H124" s="10" t="e">
        <f>'dpc-covid19-ita-andamento-naz'!#REF!</f>
        <v>#REF!</v>
      </c>
      <c r="I124" s="8">
        <f t="shared" si="3"/>
        <v>8943.6939692043579</v>
      </c>
      <c r="J124" s="10">
        <f t="shared" si="4"/>
        <v>9825.9409963952767</v>
      </c>
      <c r="K124" s="10">
        <f t="shared" si="5"/>
        <v>8061.4469420134392</v>
      </c>
      <c r="L124" s="1"/>
      <c r="M124" s="5"/>
    </row>
    <row r="125" spans="2:28" x14ac:dyDescent="0.3">
      <c r="B125" s="9">
        <v>43907</v>
      </c>
      <c r="C125" s="4">
        <v>27</v>
      </c>
      <c r="D125" s="10" t="e">
        <f>'dpc-covid19-ita-andamento-naz'!#REF!</f>
        <v>#REF!</v>
      </c>
      <c r="E125" s="8">
        <f t="shared" si="2"/>
        <v>182.50325679633903</v>
      </c>
      <c r="F125" s="10">
        <f t="shared" si="6"/>
        <v>7513.1388128519593</v>
      </c>
      <c r="G125" s="10">
        <f t="shared" si="7"/>
        <v>0</v>
      </c>
      <c r="H125" s="10" t="e">
        <f>'dpc-covid19-ita-andamento-naz'!#REF!</f>
        <v>#REF!</v>
      </c>
      <c r="I125" s="8">
        <f t="shared" si="3"/>
        <v>10288.251966934962</v>
      </c>
      <c r="J125" s="10">
        <f t="shared" si="4"/>
        <v>11170.498994125881</v>
      </c>
      <c r="K125" s="10">
        <f t="shared" si="5"/>
        <v>9406.0049397440434</v>
      </c>
      <c r="L125" s="1"/>
      <c r="N125" s="1"/>
    </row>
    <row r="126" spans="2:28" x14ac:dyDescent="0.3">
      <c r="B126" s="9">
        <v>43908</v>
      </c>
      <c r="C126" s="4">
        <v>28</v>
      </c>
      <c r="D126" s="10" t="e">
        <f>'dpc-covid19-ita-andamento-naz'!#REF!</f>
        <v>#REF!</v>
      </c>
      <c r="E126" s="8">
        <f t="shared" si="2"/>
        <v>200.58481757537845</v>
      </c>
      <c r="F126" s="10">
        <f t="shared" si="6"/>
        <v>7531.2203736309984</v>
      </c>
      <c r="G126" s="10">
        <f t="shared" si="7"/>
        <v>0</v>
      </c>
      <c r="H126" s="10" t="e">
        <f>'dpc-covid19-ita-andamento-naz'!#REF!</f>
        <v>#REF!</v>
      </c>
      <c r="I126" s="8">
        <f t="shared" si="3"/>
        <v>11710.647378728569</v>
      </c>
      <c r="J126" s="10">
        <f t="shared" si="4"/>
        <v>12592.894405919487</v>
      </c>
      <c r="K126" s="10">
        <f t="shared" si="5"/>
        <v>10828.40035153765</v>
      </c>
      <c r="N126" s="6"/>
      <c r="Q126" s="1"/>
    </row>
    <row r="127" spans="2:28" x14ac:dyDescent="0.3">
      <c r="B127" s="9">
        <v>43909</v>
      </c>
      <c r="C127" s="4">
        <v>29</v>
      </c>
      <c r="D127" s="10" t="e">
        <f>'dpc-covid19-ita-andamento-naz'!#REF!</f>
        <v>#REF!</v>
      </c>
      <c r="E127" s="8">
        <f t="shared" si="2"/>
        <v>218.96390460733323</v>
      </c>
      <c r="F127" s="10">
        <f t="shared" si="6"/>
        <v>7549.5994606629538</v>
      </c>
      <c r="G127" s="10">
        <f t="shared" si="7"/>
        <v>0</v>
      </c>
      <c r="H127" s="10" t="e">
        <f>'dpc-covid19-ita-andamento-naz'!#REF!</f>
        <v>#REF!</v>
      </c>
      <c r="I127" s="8">
        <f t="shared" si="3"/>
        <v>13200.732362972394</v>
      </c>
      <c r="J127" s="10">
        <f t="shared" si="4"/>
        <v>14082.979390163313</v>
      </c>
      <c r="K127" s="10">
        <f t="shared" si="5"/>
        <v>12318.485335781475</v>
      </c>
      <c r="N127" s="7"/>
    </row>
    <row r="128" spans="2:28" x14ac:dyDescent="0.3">
      <c r="B128" s="9">
        <v>43910</v>
      </c>
      <c r="C128" s="4">
        <v>30</v>
      </c>
      <c r="D128" s="10" t="e">
        <f>'dpc-covid19-ita-andamento-naz'!#REF!</f>
        <v>#REF!</v>
      </c>
      <c r="E128" s="8">
        <f t="shared" si="2"/>
        <v>237.5324506410017</v>
      </c>
      <c r="F128" s="10">
        <f t="shared" si="6"/>
        <v>7568.1680066966219</v>
      </c>
      <c r="G128" s="10">
        <f t="shared" si="7"/>
        <v>0</v>
      </c>
      <c r="H128" s="10" t="e">
        <f>'dpc-covid19-ita-andamento-naz'!#REF!</f>
        <v>#REF!</v>
      </c>
      <c r="I128" s="8">
        <f t="shared" si="3"/>
        <v>14747.568939348856</v>
      </c>
      <c r="J128" s="10">
        <f t="shared" si="4"/>
        <v>15629.815966539774</v>
      </c>
      <c r="K128" s="10">
        <f t="shared" si="5"/>
        <v>13865.321912157937</v>
      </c>
      <c r="N128" s="7"/>
    </row>
    <row r="129" spans="2:14" x14ac:dyDescent="0.3">
      <c r="B129" s="9">
        <v>43911</v>
      </c>
      <c r="C129" s="4">
        <v>31</v>
      </c>
      <c r="D129" s="10" t="e">
        <f>'dpc-covid19-ita-andamento-naz'!#REF!</f>
        <v>#REF!</v>
      </c>
      <c r="E129" s="8">
        <f t="shared" si="2"/>
        <v>256.18650947270061</v>
      </c>
      <c r="F129" s="10">
        <f t="shared" si="6"/>
        <v>7586.8220655283212</v>
      </c>
      <c r="G129" s="10">
        <f t="shared" si="7"/>
        <v>0</v>
      </c>
      <c r="H129" s="10" t="e">
        <f>'dpc-covid19-ita-andamento-naz'!#REF!</f>
        <v>#REF!</v>
      </c>
      <c r="I129" s="8">
        <f t="shared" si="3"/>
        <v>16339.719358922424</v>
      </c>
      <c r="J129" s="10">
        <f t="shared" si="4"/>
        <v>17221.966386113345</v>
      </c>
      <c r="K129" s="10">
        <f t="shared" si="5"/>
        <v>15457.472331731506</v>
      </c>
      <c r="N129" s="1"/>
    </row>
    <row r="130" spans="2:14" x14ac:dyDescent="0.3">
      <c r="B130" s="9">
        <v>43912</v>
      </c>
      <c r="C130" s="4">
        <v>32</v>
      </c>
      <c r="D130" s="10" t="e">
        <f>'dpc-covid19-ita-andamento-naz'!#REF!</f>
        <v>#REF!</v>
      </c>
      <c r="E130" s="8">
        <f t="shared" si="2"/>
        <v>274.82749297089799</v>
      </c>
      <c r="F130" s="10">
        <f t="shared" si="6"/>
        <v>7605.4630490265181</v>
      </c>
      <c r="G130" s="10">
        <f t="shared" si="7"/>
        <v>0</v>
      </c>
      <c r="H130" s="10" t="e">
        <f>'dpc-covid19-ita-andamento-naz'!#REF!</f>
        <v>#REF!</v>
      </c>
      <c r="I130" s="8">
        <f t="shared" si="3"/>
        <v>17965.523123522191</v>
      </c>
      <c r="J130" s="10">
        <f t="shared" si="4"/>
        <v>18847.77015071311</v>
      </c>
      <c r="K130" s="10">
        <f t="shared" si="5"/>
        <v>17083.276096331272</v>
      </c>
    </row>
    <row r="131" spans="2:14" x14ac:dyDescent="0.3">
      <c r="B131" s="22">
        <v>43913</v>
      </c>
      <c r="C131" s="4">
        <v>33</v>
      </c>
      <c r="D131" s="10" t="e">
        <f>'dpc-covid19-ita-andamento-naz'!#REF!</f>
        <v>#REF!</v>
      </c>
      <c r="E131" s="8">
        <f t="shared" si="2"/>
        <v>293.36315233080433</v>
      </c>
      <c r="F131" s="10">
        <f t="shared" si="6"/>
        <v>7623.9987083864244</v>
      </c>
      <c r="G131" s="10">
        <f t="shared" si="7"/>
        <v>0</v>
      </c>
      <c r="H131" s="10" t="e">
        <f>'dpc-covid19-ita-andamento-naz'!#REF!</f>
        <v>#REF!</v>
      </c>
      <c r="I131" s="8">
        <f t="shared" si="3"/>
        <v>19613.352820941946</v>
      </c>
      <c r="J131" s="10">
        <f t="shared" si="4"/>
        <v>20495.599848132864</v>
      </c>
      <c r="K131" s="10">
        <f t="shared" si="5"/>
        <v>18731.105793751027</v>
      </c>
    </row>
    <row r="132" spans="2:14" x14ac:dyDescent="0.3">
      <c r="B132" s="9">
        <v>43914</v>
      </c>
      <c r="C132" s="4">
        <v>34</v>
      </c>
      <c r="D132" s="10" t="e">
        <f>'dpc-covid19-ita-andamento-naz'!#REF!</f>
        <v>#REF!</v>
      </c>
      <c r="E132" s="8">
        <f t="shared" si="2"/>
        <v>311.70831805762572</v>
      </c>
      <c r="F132" s="10">
        <f t="shared" si="6"/>
        <v>7642.3438741132459</v>
      </c>
      <c r="G132" s="10">
        <f t="shared" si="7"/>
        <v>0</v>
      </c>
      <c r="H132" s="10" t="e">
        <f>'dpc-covid19-ita-andamento-naz'!#REF!</f>
        <v>#REF!</v>
      </c>
      <c r="I132" s="8">
        <f t="shared" si="3"/>
        <v>21271.843012238438</v>
      </c>
      <c r="J132" s="10">
        <f t="shared" si="4"/>
        <v>22154.090039429357</v>
      </c>
      <c r="K132" s="10">
        <f t="shared" si="5"/>
        <v>20389.595985047519</v>
      </c>
    </row>
    <row r="133" spans="2:14" x14ac:dyDescent="0.3">
      <c r="B133" s="9">
        <v>43915</v>
      </c>
      <c r="C133" s="4">
        <v>35</v>
      </c>
      <c r="D133" s="10" t="e">
        <f>'dpc-covid19-ita-andamento-naz'!#REF!</f>
        <v>#REF!</v>
      </c>
      <c r="E133" s="8">
        <f t="shared" si="2"/>
        <v>329.78541738706463</v>
      </c>
      <c r="F133" s="10">
        <f t="shared" si="6"/>
        <v>7660.420973442685</v>
      </c>
      <c r="G133" s="10">
        <f t="shared" si="7"/>
        <v>0</v>
      </c>
      <c r="H133" s="10" t="e">
        <f>'dpc-covid19-ita-andamento-naz'!#REF!</f>
        <v>#REF!</v>
      </c>
      <c r="I133" s="8">
        <f t="shared" si="3"/>
        <v>22930.088355921711</v>
      </c>
      <c r="J133" s="10">
        <f t="shared" si="4"/>
        <v>23812.33538311263</v>
      </c>
      <c r="K133" s="10">
        <f t="shared" si="5"/>
        <v>22047.841328730792</v>
      </c>
    </row>
    <row r="134" spans="2:14" x14ac:dyDescent="0.3">
      <c r="B134" s="9">
        <v>43916</v>
      </c>
      <c r="C134" s="4">
        <v>36</v>
      </c>
      <c r="D134" s="10" t="e">
        <f>'dpc-covid19-ita-andamento-naz'!#REF!</f>
        <v>#REF!</v>
      </c>
      <c r="E134" s="8">
        <f t="shared" si="2"/>
        <v>347.52479061989885</v>
      </c>
      <c r="F134" s="10">
        <f t="shared" si="6"/>
        <v>7678.1603466755196</v>
      </c>
      <c r="G134" s="10">
        <f t="shared" si="7"/>
        <v>0</v>
      </c>
      <c r="H134" s="10" t="e">
        <f>'dpc-covid19-ita-andamento-naz'!#REF!</f>
        <v>#REF!</v>
      </c>
      <c r="I134" s="8">
        <f t="shared" si="3"/>
        <v>24577.808909348751</v>
      </c>
      <c r="J134" s="10">
        <f t="shared" si="4"/>
        <v>25460.055936539669</v>
      </c>
      <c r="K134" s="10">
        <f t="shared" si="5"/>
        <v>23695.561882157832</v>
      </c>
    </row>
    <row r="135" spans="2:14" x14ac:dyDescent="0.3">
      <c r="B135" s="9">
        <v>43917</v>
      </c>
      <c r="C135" s="4">
        <v>37</v>
      </c>
      <c r="D135" s="10" t="e">
        <f>'dpc-covid19-ita-andamento-naz'!#REF!</f>
        <v>#REF!</v>
      </c>
      <c r="E135" s="8">
        <f t="shared" si="2"/>
        <v>364.86482940156048</v>
      </c>
      <c r="F135" s="10">
        <f t="shared" si="6"/>
        <v>7695.5003854571805</v>
      </c>
      <c r="G135" s="10">
        <f t="shared" si="7"/>
        <v>0</v>
      </c>
      <c r="H135" s="10" t="e">
        <f>'dpc-covid19-ita-andamento-naz'!#REF!</f>
        <v>#REF!</v>
      </c>
      <c r="I135" s="8">
        <f t="shared" si="3"/>
        <v>26205.482065737036</v>
      </c>
      <c r="J135" s="10">
        <f t="shared" si="4"/>
        <v>27087.729092927955</v>
      </c>
      <c r="K135" s="10">
        <f t="shared" si="5"/>
        <v>25323.235038546118</v>
      </c>
    </row>
    <row r="136" spans="2:14" x14ac:dyDescent="0.3">
      <c r="B136" s="9">
        <v>43918</v>
      </c>
      <c r="C136" s="4">
        <v>38</v>
      </c>
      <c r="D136" s="10" t="e">
        <f>'dpc-covid19-ita-andamento-naz'!#REF!</f>
        <v>#REF!</v>
      </c>
      <c r="E136" s="8">
        <f t="shared" si="2"/>
        <v>381.75196053526071</v>
      </c>
      <c r="F136" s="10">
        <f t="shared" si="6"/>
        <v>7712.3875165908812</v>
      </c>
      <c r="G136" s="10">
        <f t="shared" si="7"/>
        <v>0</v>
      </c>
      <c r="H136" s="10" t="e">
        <f>'dpc-covid19-ita-andamento-naz'!#REF!</f>
        <v>#REF!</v>
      </c>
      <c r="I136" s="8">
        <f t="shared" si="3"/>
        <v>27804.441844385678</v>
      </c>
      <c r="J136" s="10">
        <f t="shared" si="4"/>
        <v>28686.688871576596</v>
      </c>
      <c r="K136" s="10">
        <f t="shared" si="5"/>
        <v>26922.194817194759</v>
      </c>
    </row>
    <row r="137" spans="2:14" x14ac:dyDescent="0.3">
      <c r="B137" s="9">
        <v>43919</v>
      </c>
      <c r="C137" s="4">
        <v>39</v>
      </c>
      <c r="D137" s="10" t="e">
        <f>'dpc-covid19-ita-andamento-naz'!#REF!</f>
        <v>#REF!</v>
      </c>
      <c r="E137" s="8">
        <f t="shared" si="2"/>
        <v>398.14049868006373</v>
      </c>
      <c r="F137" s="10">
        <f t="shared" si="6"/>
        <v>7728.7760547356838</v>
      </c>
      <c r="G137" s="10">
        <f t="shared" si="7"/>
        <v>0</v>
      </c>
      <c r="H137" s="10" t="e">
        <f>'dpc-covid19-ita-andamento-naz'!#REF!</f>
        <v>#REF!</v>
      </c>
      <c r="I137" s="8">
        <f t="shared" si="3"/>
        <v>29366.947248684897</v>
      </c>
      <c r="J137" s="10">
        <f t="shared" si="4"/>
        <v>30249.194275875816</v>
      </c>
      <c r="K137" s="10">
        <f t="shared" si="5"/>
        <v>28484.700221493978</v>
      </c>
    </row>
    <row r="138" spans="2:14" x14ac:dyDescent="0.3">
      <c r="B138" s="9">
        <v>43920</v>
      </c>
      <c r="C138" s="4">
        <v>40</v>
      </c>
      <c r="D138" s="10" t="e">
        <f>'dpc-covid19-ita-andamento-naz'!#REF!</f>
        <v>#REF!</v>
      </c>
      <c r="E138" s="8">
        <f t="shared" si="2"/>
        <v>413.99239043504343</v>
      </c>
      <c r="F138" s="10">
        <f t="shared" si="6"/>
        <v>7744.6279464906638</v>
      </c>
      <c r="G138" s="10">
        <f t="shared" si="7"/>
        <v>0</v>
      </c>
      <c r="H138" s="10" t="e">
        <f>'dpc-covid19-ita-andamento-naz'!#REF!</f>
        <v>#REF!</v>
      </c>
      <c r="I138" s="8">
        <f t="shared" si="3"/>
        <v>30886.222151871054</v>
      </c>
      <c r="J138" s="10">
        <f t="shared" si="4"/>
        <v>31768.469179061973</v>
      </c>
      <c r="K138" s="10">
        <f t="shared" si="5"/>
        <v>30003.975124680135</v>
      </c>
    </row>
    <row r="139" spans="2:14" x14ac:dyDescent="0.3">
      <c r="B139" s="9">
        <v>43921</v>
      </c>
      <c r="C139" s="4">
        <v>41</v>
      </c>
      <c r="D139" s="10" t="e">
        <f>'dpc-covid19-ita-andamento-naz'!#REF!</f>
        <v>#REF!</v>
      </c>
      <c r="E139" s="8">
        <f t="shared" si="2"/>
        <v>429.27687100705879</v>
      </c>
      <c r="F139" s="10">
        <f t="shared" si="6"/>
        <v>7759.9124270626789</v>
      </c>
      <c r="G139" s="10">
        <f t="shared" si="7"/>
        <v>0</v>
      </c>
      <c r="H139" s="10" t="e">
        <f>'dpc-covid19-ita-andamento-naz'!#REF!</f>
        <v>#REF!</v>
      </c>
      <c r="I139" s="8">
        <f t="shared" si="3"/>
        <v>32356.469684560161</v>
      </c>
      <c r="J139" s="10">
        <f>I139+CIh</f>
        <v>33238.716711751083</v>
      </c>
      <c r="K139" s="10">
        <f>MAX(I139-CIh,0)</f>
        <v>31474.222657369242</v>
      </c>
    </row>
    <row r="140" spans="2:14" x14ac:dyDescent="0.3">
      <c r="B140" s="9">
        <v>43922</v>
      </c>
      <c r="C140" s="4">
        <v>42</v>
      </c>
      <c r="D140" s="10" t="e">
        <f>'dpc-covid19-ita-andamento-naz'!#REF!</f>
        <v>#REF!</v>
      </c>
      <c r="E140" s="8">
        <f t="shared" si="2"/>
        <v>443.97005304027766</v>
      </c>
      <c r="F140" s="10">
        <f t="shared" si="6"/>
        <v>7774.6056090958982</v>
      </c>
      <c r="G140" s="10">
        <f t="shared" si="7"/>
        <v>0</v>
      </c>
      <c r="H140" s="10" t="e">
        <f>'dpc-covid19-ita-andamento-naz'!#REF!</f>
        <v>#REF!</v>
      </c>
      <c r="I140" s="8">
        <f t="shared" si="3"/>
        <v>33772.864407430963</v>
      </c>
      <c r="J140" s="10">
        <f>I140+CIh</f>
        <v>34655.111434621882</v>
      </c>
      <c r="K140" s="10">
        <f>MAX(I140-CIh,0)</f>
        <v>32890.617380240044</v>
      </c>
    </row>
    <row r="141" spans="2:14" x14ac:dyDescent="0.3">
      <c r="B141" s="9">
        <v>43923</v>
      </c>
      <c r="C141" s="4">
        <v>43</v>
      </c>
      <c r="D141" s="10" t="e">
        <f>'dpc-covid19-ita-andamento-naz'!#REF!</f>
        <v>#REF!</v>
      </c>
      <c r="E141" s="8">
        <f t="shared" si="2"/>
        <v>458.0544653660707</v>
      </c>
      <c r="F141" s="10">
        <f t="shared" si="6"/>
        <v>7788.6900214216912</v>
      </c>
      <c r="G141" s="10">
        <f t="shared" si="7"/>
        <v>0</v>
      </c>
      <c r="H141" s="10" t="e">
        <f>'dpc-covid19-ita-andamento-naz'!#REF!</f>
        <v>#REF!</v>
      </c>
      <c r="I141" s="8">
        <f t="shared" si="3"/>
        <v>35131.525686913345</v>
      </c>
      <c r="J141" s="10">
        <f>I141+CIh</f>
        <v>36013.772714104263</v>
      </c>
      <c r="K141" s="10">
        <f>MAX(I141-CIh,0)</f>
        <v>34249.278659722426</v>
      </c>
    </row>
    <row r="142" spans="2:14" x14ac:dyDescent="0.3">
      <c r="B142" s="9">
        <v>43924</v>
      </c>
      <c r="C142" s="4">
        <v>44</v>
      </c>
      <c r="D142" s="10" t="e">
        <f>'dpc-covid19-ita-andamento-naz'!#REF!</f>
        <v>#REF!</v>
      </c>
      <c r="E142" s="8">
        <f t="shared" si="2"/>
        <v>471.51855750769232</v>
      </c>
      <c r="F142" s="10">
        <f t="shared" si="6"/>
        <v>7802.1541135633124</v>
      </c>
      <c r="G142" s="10">
        <f t="shared" si="7"/>
        <v>0</v>
      </c>
      <c r="H142" s="10" t="e">
        <f>'dpc-covid19-ita-andamento-naz'!#REF!</f>
        <v>#REF!</v>
      </c>
      <c r="I142" s="8">
        <f t="shared" si="3"/>
        <v>36429.475682276825</v>
      </c>
      <c r="J142" s="10">
        <f>I142+CIh</f>
        <v>37311.722709467744</v>
      </c>
      <c r="K142" s="10">
        <f>MAX(I142-CIh,0)</f>
        <v>35547.228655085906</v>
      </c>
    </row>
    <row r="143" spans="2:14" x14ac:dyDescent="0.3">
      <c r="B143" s="9">
        <v>43925</v>
      </c>
      <c r="C143" s="4">
        <v>45</v>
      </c>
      <c r="D143" s="10" t="e">
        <f>'dpc-covid19-ita-andamento-naz'!#REF!</f>
        <v>#REF!</v>
      </c>
      <c r="E143" s="8">
        <f t="shared" si="2"/>
        <v>484.35618382188574</v>
      </c>
      <c r="F143" s="10">
        <f t="shared" si="6"/>
        <v>7814.991739877506</v>
      </c>
      <c r="G143" s="10">
        <f t="shared" si="7"/>
        <v>0</v>
      </c>
      <c r="H143" s="10" t="e">
        <f>'dpc-covid19-ita-andamento-naz'!#REF!</f>
        <v>#REF!</v>
      </c>
      <c r="I143" s="8">
        <f t="shared" si="3"/>
        <v>37664.585229276767</v>
      </c>
      <c r="J143" s="10">
        <f>I143+CIh</f>
        <v>38546.832256467686</v>
      </c>
      <c r="K143" s="10">
        <f>MAX(I143-CIh,0)</f>
        <v>36782.338202085848</v>
      </c>
    </row>
    <row r="144" spans="2:14" x14ac:dyDescent="0.3">
      <c r="B144" s="9">
        <v>43926</v>
      </c>
      <c r="C144" s="4">
        <v>46</v>
      </c>
      <c r="E144" s="8">
        <f t="shared" si="2"/>
        <v>496.56607923924986</v>
      </c>
      <c r="I144" s="8">
        <f t="shared" si="3"/>
        <v>38835.510696691854</v>
      </c>
    </row>
    <row r="145" spans="2:9" x14ac:dyDescent="0.3">
      <c r="B145" s="9">
        <v>43927</v>
      </c>
      <c r="C145" s="4">
        <v>47</v>
      </c>
      <c r="E145" s="8">
        <f t="shared" si="2"/>
        <v>508.1513367222305</v>
      </c>
      <c r="I145" s="8">
        <f t="shared" si="3"/>
        <v>39941.624623066309</v>
      </c>
    </row>
    <row r="146" spans="2:9" x14ac:dyDescent="0.3">
      <c r="B146" s="9">
        <v>43928</v>
      </c>
      <c r="C146" s="4">
        <v>48</v>
      </c>
      <c r="E146" s="8">
        <f t="shared" si="2"/>
        <v>519.11889482684933</v>
      </c>
      <c r="I146" s="8">
        <f t="shared" si="3"/>
        <v>40982.942633879524</v>
      </c>
    </row>
    <row r="147" spans="2:9" x14ac:dyDescent="0.3">
      <c r="B147" s="9">
        <v>43929</v>
      </c>
      <c r="C147" s="4">
        <v>49</v>
      </c>
      <c r="E147" s="8">
        <f t="shared" si="2"/>
        <v>529.47904215405447</v>
      </c>
      <c r="I147" s="8">
        <f t="shared" si="3"/>
        <v>41960.048812879817</v>
      </c>
    </row>
    <row r="148" spans="2:9" x14ac:dyDescent="0.3">
      <c r="B148" s="9">
        <v>43930</v>
      </c>
      <c r="C148" s="4">
        <v>50</v>
      </c>
      <c r="E148" s="8">
        <f t="shared" si="2"/>
        <v>539.24494402243783</v>
      </c>
      <c r="I148" s="8">
        <f t="shared" si="3"/>
        <v>42874.021370693263</v>
      </c>
    </row>
    <row r="149" spans="2:9" x14ac:dyDescent="0.3">
      <c r="B149" s="9">
        <v>43931</v>
      </c>
      <c r="C149" s="4">
        <v>51</v>
      </c>
      <c r="E149" s="8">
        <f t="shared" si="2"/>
        <v>548.43219539251004</v>
      </c>
      <c r="I149" s="8">
        <f t="shared" si="3"/>
        <v>43726.360131059067</v>
      </c>
    </row>
    <row r="150" spans="2:9" x14ac:dyDescent="0.3">
      <c r="B150" s="9">
        <v>43932</v>
      </c>
      <c r="C150" s="4">
        <v>52</v>
      </c>
      <c r="E150" s="8">
        <f t="shared" si="2"/>
        <v>557.05840292469861</v>
      </c>
      <c r="I150" s="8">
        <f t="shared" si="3"/>
        <v>44518.917049198724</v>
      </c>
    </row>
    <row r="151" spans="2:9" x14ac:dyDescent="0.3">
      <c r="B151" s="9">
        <v>43933</v>
      </c>
      <c r="C151" s="4">
        <v>53</v>
      </c>
      <c r="E151" s="8">
        <f t="shared" si="2"/>
        <v>565.14279805527576</v>
      </c>
      <c r="I151" s="8">
        <f t="shared" si="3"/>
        <v>45253.830694316632</v>
      </c>
    </row>
    <row r="152" spans="2:9" x14ac:dyDescent="0.3">
      <c r="B152" s="9">
        <v>43934</v>
      </c>
      <c r="C152" s="4">
        <v>54</v>
      </c>
      <c r="E152" s="8">
        <f t="shared" si="2"/>
        <v>572.70588211997961</v>
      </c>
      <c r="I152" s="8">
        <f t="shared" si="3"/>
        <v>45933.46537322583</v>
      </c>
    </row>
    <row r="153" spans="2:9" x14ac:dyDescent="0.3">
      <c r="B153" s="9">
        <v>43935</v>
      </c>
      <c r="C153" s="4">
        <v>55</v>
      </c>
      <c r="E153" s="8">
        <f t="shared" si="2"/>
        <v>579.76910383524012</v>
      </c>
      <c r="I153" s="8">
        <f t="shared" si="3"/>
        <v>46560.35534687851</v>
      </c>
    </row>
    <row r="154" spans="2:9" x14ac:dyDescent="0.3">
      <c r="B154" s="9">
        <v>43936</v>
      </c>
      <c r="C154" s="4">
        <v>56</v>
      </c>
      <c r="E154" s="8">
        <f t="shared" si="2"/>
        <v>586.35456885129042</v>
      </c>
      <c r="I154" s="8">
        <f t="shared" si="3"/>
        <v>47137.154396918515</v>
      </c>
    </row>
    <row r="155" spans="2:9" x14ac:dyDescent="0.3">
      <c r="B155" s="9">
        <v>43937</v>
      </c>
      <c r="C155" s="4">
        <v>57</v>
      </c>
      <c r="E155" s="8">
        <f t="shared" si="2"/>
        <v>592.48478060875789</v>
      </c>
      <c r="I155" s="8">
        <f t="shared" si="3"/>
        <v>47666.59083482944</v>
      </c>
    </row>
    <row r="156" spans="2:9" x14ac:dyDescent="0.3">
      <c r="B156" s="9">
        <v>43938</v>
      </c>
      <c r="C156" s="4">
        <v>58</v>
      </c>
      <c r="E156" s="8">
        <f t="shared" si="2"/>
        <v>598.18241134897539</v>
      </c>
      <c r="I156" s="8">
        <f t="shared" si="3"/>
        <v>48151.427910492974</v>
      </c>
    </row>
    <row r="157" spans="2:9" x14ac:dyDescent="0.3">
      <c r="B157" s="9">
        <v>43939</v>
      </c>
      <c r="C157" s="4">
        <v>59</v>
      </c>
      <c r="E157" s="8">
        <f t="shared" si="2"/>
        <v>603.47010183658688</v>
      </c>
      <c r="I157" s="8">
        <f t="shared" si="3"/>
        <v>48594.42946802744</v>
      </c>
    </row>
    <row r="158" spans="2:9" x14ac:dyDescent="0.3">
      <c r="B158" s="9">
        <v>43940</v>
      </c>
      <c r="C158" s="4">
        <v>60</v>
      </c>
      <c r="E158" s="8">
        <f t="shared" si="2"/>
        <v>608.37028813977588</v>
      </c>
      <c r="I158" s="8">
        <f t="shared" si="3"/>
        <v>48998.33061224952</v>
      </c>
    </row>
    <row r="159" spans="2:9" x14ac:dyDescent="0.3">
      <c r="B159" s="9">
        <v>43941</v>
      </c>
      <c r="C159" s="4">
        <v>61</v>
      </c>
      <c r="E159" s="8">
        <f t="shared" si="2"/>
        <v>612.9050536678551</v>
      </c>
      <c r="I159" s="8">
        <f t="shared" si="3"/>
        <v>49365.813086360751</v>
      </c>
    </row>
    <row r="160" spans="2:9" x14ac:dyDescent="0.3">
      <c r="B160" s="9">
        <v>43942</v>
      </c>
      <c r="C160" s="4">
        <v>62</v>
      </c>
      <c r="E160" s="8">
        <f t="shared" si="2"/>
        <v>617.09600457794238</v>
      </c>
      <c r="I160" s="8">
        <f t="shared" si="3"/>
        <v>49699.485017773295</v>
      </c>
    </row>
    <row r="161" spans="2:9" x14ac:dyDescent="0.3">
      <c r="B161" s="9">
        <v>43943</v>
      </c>
      <c r="C161" s="4">
        <v>63</v>
      </c>
      <c r="E161" s="8">
        <f t="shared" si="2"/>
        <v>620.96416662275578</v>
      </c>
      <c r="I161" s="8">
        <f t="shared" si="3"/>
        <v>50001.86466164772</v>
      </c>
    </row>
    <row r="162" spans="2:9" x14ac:dyDescent="0.3">
      <c r="B162" s="9">
        <v>43944</v>
      </c>
      <c r="C162" s="4">
        <v>64</v>
      </c>
      <c r="E162" s="8">
        <f t="shared" si="2"/>
        <v>624.52990151173242</v>
      </c>
      <c r="I162" s="8">
        <f t="shared" si="3"/>
        <v>50275.367758111024</v>
      </c>
    </row>
    <row r="163" spans="2:9" x14ac:dyDescent="0.3">
      <c r="B163" s="9"/>
      <c r="C163" s="4"/>
      <c r="E163" s="8"/>
      <c r="I163" s="8"/>
    </row>
    <row r="164" spans="2:9" x14ac:dyDescent="0.3">
      <c r="B164" s="9"/>
      <c r="C164" s="4"/>
      <c r="E164" s="8"/>
      <c r="I164" s="8"/>
    </row>
    <row r="165" spans="2:9" x14ac:dyDescent="0.3">
      <c r="B165" s="9"/>
      <c r="C165" s="4"/>
      <c r="E165" s="8"/>
      <c r="I165" s="8"/>
    </row>
    <row r="166" spans="2:9" x14ac:dyDescent="0.3">
      <c r="B166" s="9"/>
      <c r="C166" s="4"/>
      <c r="E166" s="8"/>
      <c r="I166" s="8"/>
    </row>
    <row r="167" spans="2:9" x14ac:dyDescent="0.3">
      <c r="B167" s="9"/>
      <c r="C167" s="4"/>
      <c r="E167" s="8"/>
      <c r="I167" s="8"/>
    </row>
    <row r="168" spans="2:9" x14ac:dyDescent="0.3">
      <c r="B168" s="9"/>
      <c r="C168" s="4"/>
      <c r="E168" s="8"/>
      <c r="I168" s="8"/>
    </row>
    <row r="169" spans="2:9" x14ac:dyDescent="0.3">
      <c r="B169" s="9"/>
      <c r="C169" s="4"/>
      <c r="E169" s="8"/>
      <c r="I169" s="8"/>
    </row>
    <row r="170" spans="2:9" x14ac:dyDescent="0.3">
      <c r="B170" s="9"/>
      <c r="C170" s="4"/>
      <c r="E170" s="8"/>
      <c r="I170" s="8"/>
    </row>
    <row r="171" spans="2:9" x14ac:dyDescent="0.3">
      <c r="B171" s="9"/>
      <c r="C171" s="4"/>
      <c r="E171" s="8"/>
      <c r="I171" s="8"/>
    </row>
    <row r="172" spans="2:9" x14ac:dyDescent="0.3">
      <c r="B172" s="9"/>
      <c r="C172" s="4"/>
      <c r="E172" s="8"/>
      <c r="I172" s="8"/>
    </row>
    <row r="173" spans="2:9" x14ac:dyDescent="0.3">
      <c r="B173" s="9"/>
      <c r="C173" s="4"/>
      <c r="E173" s="8"/>
      <c r="I173" s="8"/>
    </row>
    <row r="174" spans="2:9" x14ac:dyDescent="0.3">
      <c r="B174" s="9"/>
      <c r="C174" s="4"/>
      <c r="E174" s="8"/>
      <c r="I174" s="8"/>
    </row>
    <row r="175" spans="2:9" x14ac:dyDescent="0.3">
      <c r="B175" s="9"/>
      <c r="C175" s="4"/>
      <c r="E175" s="8"/>
      <c r="I175" s="8"/>
    </row>
    <row r="176" spans="2:9" x14ac:dyDescent="0.3">
      <c r="B176" s="9"/>
      <c r="C176" s="4"/>
      <c r="E176" s="8"/>
      <c r="I176" s="8"/>
    </row>
    <row r="177" spans="2:9" x14ac:dyDescent="0.3">
      <c r="B177" s="9"/>
      <c r="C177" s="4"/>
      <c r="E177" s="8"/>
      <c r="I177" s="8"/>
    </row>
    <row r="178" spans="2:9" x14ac:dyDescent="0.3">
      <c r="B178" s="9"/>
      <c r="C178" s="4"/>
      <c r="E178" s="8"/>
      <c r="I178" s="8"/>
    </row>
    <row r="179" spans="2:9" x14ac:dyDescent="0.3">
      <c r="B179" s="9"/>
      <c r="C179" s="4"/>
      <c r="E179" s="8"/>
      <c r="I179" s="8"/>
    </row>
    <row r="180" spans="2:9" x14ac:dyDescent="0.3">
      <c r="B180" s="9"/>
      <c r="C180" s="4"/>
      <c r="E180" s="8"/>
      <c r="I180" s="8"/>
    </row>
    <row r="181" spans="2:9" x14ac:dyDescent="0.3">
      <c r="B181" s="9"/>
      <c r="C181" s="4"/>
      <c r="E181" s="8"/>
      <c r="I181" s="8"/>
    </row>
    <row r="182" spans="2:9" x14ac:dyDescent="0.3">
      <c r="B182" s="9"/>
      <c r="C182" s="4"/>
      <c r="E182" s="8"/>
      <c r="I182" s="8"/>
    </row>
    <row r="183" spans="2:9" x14ac:dyDescent="0.3">
      <c r="B183" s="9"/>
      <c r="C183" s="4"/>
      <c r="E183" s="8"/>
      <c r="I183" s="8"/>
    </row>
    <row r="184" spans="2:9" x14ac:dyDescent="0.3">
      <c r="B184" s="9"/>
      <c r="C184" s="4"/>
      <c r="E184" s="8"/>
      <c r="I184" s="8"/>
    </row>
    <row r="185" spans="2:9" x14ac:dyDescent="0.3">
      <c r="B185" s="9"/>
      <c r="C185" s="4"/>
      <c r="E185" s="8"/>
      <c r="I185" s="8"/>
    </row>
    <row r="186" spans="2:9" x14ac:dyDescent="0.3">
      <c r="B186" s="9"/>
      <c r="C186" s="4"/>
      <c r="E186" s="8"/>
      <c r="I186" s="8"/>
    </row>
    <row r="187" spans="2:9" x14ac:dyDescent="0.3">
      <c r="B187" s="9"/>
      <c r="C187" s="4"/>
      <c r="E187" s="8"/>
      <c r="I187" s="8"/>
    </row>
    <row r="188" spans="2:9" x14ac:dyDescent="0.3">
      <c r="B188" s="9"/>
      <c r="C188" s="4"/>
      <c r="E188" s="8"/>
      <c r="I188" s="8"/>
    </row>
    <row r="189" spans="2:9" x14ac:dyDescent="0.3">
      <c r="B189" s="9"/>
      <c r="C189" s="4"/>
      <c r="E189" s="8"/>
      <c r="I189" s="8"/>
    </row>
    <row r="190" spans="2:9" x14ac:dyDescent="0.3">
      <c r="B190" s="9"/>
      <c r="C190" s="4"/>
      <c r="E190" s="8"/>
      <c r="I190" s="8"/>
    </row>
    <row r="191" spans="2:9" x14ac:dyDescent="0.3">
      <c r="B191" s="9"/>
      <c r="C191" s="4"/>
      <c r="E191" s="8"/>
      <c r="I191" s="8"/>
    </row>
    <row r="192" spans="2:9" x14ac:dyDescent="0.3">
      <c r="B192" s="9"/>
      <c r="C192" s="4"/>
      <c r="E192" s="8"/>
      <c r="I192" s="8"/>
    </row>
    <row r="193" spans="2:9" x14ac:dyDescent="0.3">
      <c r="B193" s="9"/>
      <c r="C193" s="4"/>
      <c r="E193" s="8"/>
      <c r="I193" s="8"/>
    </row>
    <row r="194" spans="2:9" x14ac:dyDescent="0.3">
      <c r="B194" s="9"/>
      <c r="C194" s="4"/>
      <c r="E194" s="8"/>
      <c r="I194" s="8"/>
    </row>
    <row r="195" spans="2:9" x14ac:dyDescent="0.3">
      <c r="B195" s="9"/>
      <c r="C195" s="4"/>
      <c r="E195" s="8"/>
      <c r="I195" s="8"/>
    </row>
    <row r="196" spans="2:9" x14ac:dyDescent="0.3">
      <c r="B196" s="9"/>
      <c r="C196" s="4"/>
      <c r="E196" s="8"/>
      <c r="I196" s="8"/>
    </row>
    <row r="197" spans="2:9" x14ac:dyDescent="0.3">
      <c r="B197" s="9"/>
      <c r="C197" s="4"/>
      <c r="E197" s="8"/>
      <c r="I197" s="8"/>
    </row>
    <row r="198" spans="2:9" x14ac:dyDescent="0.3">
      <c r="B198" s="9"/>
      <c r="C198" s="4"/>
      <c r="E198" s="8"/>
      <c r="I198" s="8"/>
    </row>
    <row r="199" spans="2:9" x14ac:dyDescent="0.3">
      <c r="B199" s="9"/>
      <c r="C199" s="4"/>
      <c r="E199" s="8"/>
      <c r="I199" s="8"/>
    </row>
    <row r="200" spans="2:9" x14ac:dyDescent="0.3">
      <c r="B200" s="9"/>
      <c r="C200" s="4"/>
      <c r="E200" s="8"/>
      <c r="I200" s="8"/>
    </row>
    <row r="201" spans="2:9" x14ac:dyDescent="0.3">
      <c r="B201" s="9"/>
      <c r="C201" s="4"/>
      <c r="E201" s="8"/>
      <c r="I201" s="8"/>
    </row>
    <row r="202" spans="2:9" x14ac:dyDescent="0.3">
      <c r="B202" s="9"/>
      <c r="C202" s="4"/>
      <c r="E202" s="8"/>
      <c r="I202" s="8"/>
    </row>
    <row r="203" spans="2:9" x14ac:dyDescent="0.3">
      <c r="B203" s="9"/>
      <c r="C203" s="4"/>
      <c r="E203" s="8"/>
      <c r="I203" s="8"/>
    </row>
    <row r="204" spans="2:9" x14ac:dyDescent="0.3">
      <c r="B204" s="9"/>
      <c r="C204" s="4"/>
      <c r="E204" s="8"/>
      <c r="I204" s="8"/>
    </row>
    <row r="205" spans="2:9" x14ac:dyDescent="0.3">
      <c r="B205" s="9"/>
      <c r="C205" s="4"/>
      <c r="E205" s="8"/>
      <c r="I205" s="8"/>
    </row>
    <row r="206" spans="2:9" x14ac:dyDescent="0.3">
      <c r="B206" s="9"/>
      <c r="C206" s="4"/>
      <c r="E206" s="8"/>
      <c r="I206" s="8"/>
    </row>
    <row r="207" spans="2:9" x14ac:dyDescent="0.3">
      <c r="B207" s="9"/>
      <c r="C207" s="4"/>
      <c r="E207" s="8"/>
      <c r="I207" s="8"/>
    </row>
    <row r="208" spans="2:9" x14ac:dyDescent="0.3">
      <c r="B208" s="9"/>
      <c r="C208" s="4"/>
      <c r="E208" s="8"/>
      <c r="I208" s="8"/>
    </row>
    <row r="209" spans="2:9" x14ac:dyDescent="0.3">
      <c r="B209" s="9"/>
      <c r="C209" s="4"/>
      <c r="E209" s="8"/>
      <c r="I209" s="8"/>
    </row>
    <row r="210" spans="2:9" x14ac:dyDescent="0.3">
      <c r="B210" s="9"/>
      <c r="C210" s="4"/>
      <c r="E210" s="8"/>
      <c r="I210" s="8"/>
    </row>
    <row r="211" spans="2:9" x14ac:dyDescent="0.3">
      <c r="B211" s="9"/>
      <c r="C211" s="4"/>
      <c r="E211" s="8"/>
      <c r="I211" s="8"/>
    </row>
    <row r="212" spans="2:9" x14ac:dyDescent="0.3">
      <c r="B212" s="9"/>
      <c r="C212" s="4"/>
      <c r="E212" s="8"/>
      <c r="I212" s="8"/>
    </row>
    <row r="213" spans="2:9" x14ac:dyDescent="0.3">
      <c r="B213" s="9"/>
      <c r="C213" s="4"/>
      <c r="E213" s="8"/>
      <c r="I213" s="8"/>
    </row>
    <row r="214" spans="2:9" x14ac:dyDescent="0.3">
      <c r="B214" s="9"/>
      <c r="C214" s="4"/>
      <c r="E214" s="8"/>
      <c r="I214" s="8"/>
    </row>
    <row r="215" spans="2:9" x14ac:dyDescent="0.3">
      <c r="B215" s="9"/>
      <c r="C215" s="4"/>
      <c r="E215" s="8"/>
      <c r="I215" s="8"/>
    </row>
    <row r="216" spans="2:9" x14ac:dyDescent="0.3">
      <c r="B216" s="9"/>
      <c r="C216" s="4"/>
      <c r="E216" s="8"/>
      <c r="I216" s="8"/>
    </row>
    <row r="217" spans="2:9" x14ac:dyDescent="0.3">
      <c r="B217" s="9"/>
      <c r="C217" s="4"/>
      <c r="E217" s="8"/>
      <c r="I217" s="8"/>
    </row>
    <row r="218" spans="2:9" x14ac:dyDescent="0.3">
      <c r="B218" s="9"/>
      <c r="C218" s="4"/>
      <c r="E218" s="8"/>
      <c r="I218" s="8"/>
    </row>
    <row r="219" spans="2:9" x14ac:dyDescent="0.3">
      <c r="B219" s="9"/>
      <c r="C219" s="4"/>
      <c r="E219" s="8"/>
      <c r="I219" s="8"/>
    </row>
    <row r="220" spans="2:9" x14ac:dyDescent="0.3">
      <c r="B220" s="9"/>
      <c r="C220" s="4"/>
      <c r="E220" s="8"/>
      <c r="I220" s="8"/>
    </row>
    <row r="221" spans="2:9" x14ac:dyDescent="0.3">
      <c r="B221" s="9"/>
      <c r="C221" s="4"/>
      <c r="E221" s="8"/>
      <c r="I221" s="8"/>
    </row>
    <row r="222" spans="2:9" x14ac:dyDescent="0.3">
      <c r="B222" s="9"/>
      <c r="C222" s="4"/>
      <c r="E222" s="8"/>
      <c r="I222" s="8"/>
    </row>
    <row r="223" spans="2:9" x14ac:dyDescent="0.3">
      <c r="B223" s="9"/>
      <c r="C223" s="4"/>
      <c r="E223" s="8"/>
      <c r="I223" s="8"/>
    </row>
    <row r="224" spans="2:9" x14ac:dyDescent="0.3">
      <c r="B224" s="9"/>
      <c r="C224" s="4"/>
      <c r="E224" s="8"/>
      <c r="I224" s="8"/>
    </row>
    <row r="225" spans="2:9" x14ac:dyDescent="0.3">
      <c r="B225" s="9"/>
      <c r="C225" s="4"/>
      <c r="E225" s="8"/>
      <c r="I225" s="8"/>
    </row>
    <row r="226" spans="2:9" x14ac:dyDescent="0.3">
      <c r="B226" s="9"/>
      <c r="C226" s="4"/>
      <c r="E226" s="8"/>
      <c r="I226" s="8"/>
    </row>
    <row r="227" spans="2:9" x14ac:dyDescent="0.3">
      <c r="B227" s="9"/>
      <c r="C227" s="4"/>
      <c r="E227" s="8"/>
      <c r="I227" s="8"/>
    </row>
    <row r="228" spans="2:9" x14ac:dyDescent="0.3">
      <c r="B228" s="9"/>
      <c r="C228" s="4"/>
      <c r="E228" s="8"/>
      <c r="I228" s="8"/>
    </row>
    <row r="229" spans="2:9" x14ac:dyDescent="0.3">
      <c r="B229" s="9"/>
      <c r="C229" s="4"/>
      <c r="E229" s="8"/>
      <c r="I229" s="8"/>
    </row>
    <row r="230" spans="2:9" x14ac:dyDescent="0.3">
      <c r="B230" s="9"/>
      <c r="C230" s="4"/>
      <c r="E230" s="8"/>
      <c r="I230" s="8"/>
    </row>
    <row r="231" spans="2:9" x14ac:dyDescent="0.3">
      <c r="B231" s="9"/>
      <c r="C231" s="4"/>
      <c r="E231" s="8"/>
      <c r="I231" s="8"/>
    </row>
    <row r="232" spans="2:9" x14ac:dyDescent="0.3">
      <c r="B232" s="9"/>
      <c r="C232" s="4"/>
      <c r="E232" s="8"/>
      <c r="I232" s="8"/>
    </row>
    <row r="233" spans="2:9" x14ac:dyDescent="0.3">
      <c r="B233" s="9"/>
      <c r="C233" s="4"/>
      <c r="E233" s="8"/>
      <c r="I233" s="8"/>
    </row>
    <row r="234" spans="2:9" x14ac:dyDescent="0.3">
      <c r="B234" s="9"/>
      <c r="C234" s="4"/>
      <c r="E234" s="8"/>
      <c r="I234" s="8"/>
    </row>
    <row r="235" spans="2:9" x14ac:dyDescent="0.3">
      <c r="B235" s="9"/>
      <c r="C235" s="4"/>
      <c r="E235" s="8"/>
      <c r="I235" s="8"/>
    </row>
    <row r="236" spans="2:9" x14ac:dyDescent="0.3">
      <c r="B236" s="9"/>
      <c r="C236" s="4"/>
      <c r="E236" s="8"/>
      <c r="I236" s="8"/>
    </row>
    <row r="237" spans="2:9" x14ac:dyDescent="0.3">
      <c r="B237" s="9"/>
      <c r="C237" s="4"/>
      <c r="E237" s="8"/>
      <c r="I237" s="8"/>
    </row>
    <row r="238" spans="2:9" x14ac:dyDescent="0.3">
      <c r="B238" s="9"/>
      <c r="C238" s="4"/>
      <c r="E238" s="8"/>
      <c r="I238" s="8"/>
    </row>
    <row r="239" spans="2:9" x14ac:dyDescent="0.3">
      <c r="B239" s="9"/>
      <c r="C239" s="4"/>
      <c r="E239" s="8"/>
      <c r="I239" s="8"/>
    </row>
    <row r="240" spans="2:9" x14ac:dyDescent="0.3">
      <c r="B240" s="9"/>
      <c r="C240" s="4"/>
      <c r="E240" s="8"/>
      <c r="I240" s="8"/>
    </row>
    <row r="241" spans="2:9" x14ac:dyDescent="0.3">
      <c r="B241" s="9"/>
      <c r="C241" s="4"/>
      <c r="E241" s="8"/>
      <c r="I241" s="8"/>
    </row>
    <row r="242" spans="2:9" x14ac:dyDescent="0.3">
      <c r="B242" s="9"/>
      <c r="C242" s="4"/>
      <c r="E242" s="8"/>
      <c r="I242" s="8"/>
    </row>
    <row r="243" spans="2:9" x14ac:dyDescent="0.3">
      <c r="B243" s="9"/>
      <c r="C243" s="4"/>
      <c r="E243" s="8"/>
      <c r="I243" s="8"/>
    </row>
    <row r="244" spans="2:9" x14ac:dyDescent="0.3">
      <c r="B244" s="9"/>
      <c r="C244" s="4"/>
      <c r="E244" s="8"/>
      <c r="I244" s="8"/>
    </row>
    <row r="245" spans="2:9" x14ac:dyDescent="0.3">
      <c r="B245" s="9"/>
      <c r="C245" s="4"/>
      <c r="E245" s="8"/>
      <c r="I245" s="8"/>
    </row>
    <row r="246" spans="2:9" x14ac:dyDescent="0.3">
      <c r="B246" s="9"/>
      <c r="C246" s="4"/>
      <c r="E246" s="8"/>
      <c r="I246" s="8"/>
    </row>
    <row r="247" spans="2:9" x14ac:dyDescent="0.3">
      <c r="B247" s="9"/>
      <c r="C247" s="4"/>
      <c r="E247" s="8"/>
      <c r="I247" s="8"/>
    </row>
    <row r="248" spans="2:9" x14ac:dyDescent="0.3">
      <c r="B248" s="9"/>
      <c r="C248" s="4"/>
      <c r="E248" s="8"/>
      <c r="I248" s="8"/>
    </row>
    <row r="249" spans="2:9" x14ac:dyDescent="0.3">
      <c r="B249" s="9"/>
      <c r="C249" s="4"/>
      <c r="E249" s="8"/>
      <c r="I249" s="8"/>
    </row>
    <row r="250" spans="2:9" x14ac:dyDescent="0.3">
      <c r="B250" s="9"/>
      <c r="C250" s="4"/>
      <c r="E250" s="8"/>
      <c r="I250" s="8"/>
    </row>
    <row r="251" spans="2:9" x14ac:dyDescent="0.3">
      <c r="B251" s="9"/>
      <c r="C251" s="4"/>
      <c r="E251" s="8"/>
      <c r="I251" s="8"/>
    </row>
    <row r="252" spans="2:9" x14ac:dyDescent="0.3">
      <c r="B252" s="9"/>
      <c r="C252" s="4"/>
      <c r="E252" s="8"/>
      <c r="I252" s="8"/>
    </row>
    <row r="253" spans="2:9" x14ac:dyDescent="0.3">
      <c r="B253" s="9"/>
      <c r="C253" s="4"/>
      <c r="E253" s="8"/>
      <c r="I253" s="8"/>
    </row>
    <row r="254" spans="2:9" x14ac:dyDescent="0.3">
      <c r="B254" s="9"/>
      <c r="C254" s="4"/>
      <c r="E254" s="8"/>
      <c r="I254" s="8"/>
    </row>
    <row r="255" spans="2:9" x14ac:dyDescent="0.3">
      <c r="B255" s="9"/>
      <c r="C255" s="4"/>
      <c r="E255" s="8"/>
      <c r="I255" s="8"/>
    </row>
    <row r="256" spans="2:9" x14ac:dyDescent="0.3">
      <c r="B256" s="9"/>
      <c r="C256" s="4"/>
      <c r="E256" s="8"/>
      <c r="I256" s="8"/>
    </row>
    <row r="257" spans="2:9" x14ac:dyDescent="0.3">
      <c r="B257" s="9"/>
      <c r="C257" s="4"/>
      <c r="E257" s="8"/>
      <c r="I257" s="8"/>
    </row>
    <row r="258" spans="2:9" x14ac:dyDescent="0.3">
      <c r="B258" s="9"/>
      <c r="C258" s="4"/>
      <c r="E258" s="8"/>
      <c r="I258" s="8"/>
    </row>
    <row r="259" spans="2:9" x14ac:dyDescent="0.3">
      <c r="B259" s="9"/>
      <c r="C259" s="4"/>
      <c r="E259" s="8"/>
      <c r="I259" s="8"/>
    </row>
    <row r="260" spans="2:9" x14ac:dyDescent="0.3">
      <c r="B260" s="9"/>
      <c r="C260" s="4"/>
      <c r="E260" s="8"/>
      <c r="I260" s="8"/>
    </row>
    <row r="261" spans="2:9" x14ac:dyDescent="0.3">
      <c r="B261" s="9"/>
      <c r="C261" s="4"/>
      <c r="E261" s="8"/>
      <c r="I261" s="8"/>
    </row>
    <row r="262" spans="2:9" x14ac:dyDescent="0.3">
      <c r="B262" s="9"/>
      <c r="C262" s="4"/>
      <c r="E262" s="8"/>
      <c r="I262" s="8"/>
    </row>
    <row r="263" spans="2:9" x14ac:dyDescent="0.3">
      <c r="B263" s="9"/>
      <c r="C263" s="4"/>
      <c r="E263" s="8"/>
      <c r="I263" s="8"/>
    </row>
    <row r="264" spans="2:9" x14ac:dyDescent="0.3">
      <c r="B264" s="9"/>
      <c r="C264" s="4"/>
      <c r="E264" s="8"/>
      <c r="I264" s="8"/>
    </row>
    <row r="265" spans="2:9" x14ac:dyDescent="0.3">
      <c r="B265" s="9"/>
      <c r="C265" s="4"/>
      <c r="E265" s="8"/>
      <c r="I265" s="8"/>
    </row>
    <row r="266" spans="2:9" x14ac:dyDescent="0.3">
      <c r="B266" s="9"/>
      <c r="C266" s="4"/>
      <c r="E266" s="8"/>
      <c r="I266" s="8"/>
    </row>
    <row r="267" spans="2:9" x14ac:dyDescent="0.3">
      <c r="B267" s="9"/>
      <c r="C267" s="4"/>
      <c r="E267" s="8"/>
      <c r="I267" s="8"/>
    </row>
    <row r="268" spans="2:9" x14ac:dyDescent="0.3">
      <c r="B268" s="9"/>
      <c r="C268" s="4"/>
      <c r="E268" s="8"/>
      <c r="I268" s="8"/>
    </row>
    <row r="269" spans="2:9" x14ac:dyDescent="0.3">
      <c r="B269" s="9"/>
      <c r="C269" s="4"/>
      <c r="E269" s="8"/>
      <c r="I269" s="8"/>
    </row>
    <row r="270" spans="2:9" x14ac:dyDescent="0.3">
      <c r="B270" s="9"/>
      <c r="C270" s="4"/>
      <c r="E270" s="8"/>
      <c r="I270" s="8"/>
    </row>
    <row r="271" spans="2:9" x14ac:dyDescent="0.3">
      <c r="B271" s="9"/>
      <c r="C271" s="4"/>
      <c r="E271" s="8"/>
      <c r="I271" s="8"/>
    </row>
    <row r="272" spans="2:9" x14ac:dyDescent="0.3">
      <c r="B272" s="9"/>
      <c r="C272" s="4"/>
      <c r="E272" s="8"/>
      <c r="I272" s="8"/>
    </row>
    <row r="273" spans="2:9" x14ac:dyDescent="0.3">
      <c r="B273" s="9"/>
      <c r="C273" s="4"/>
      <c r="E273" s="8"/>
      <c r="I273" s="8"/>
    </row>
    <row r="274" spans="2:9" x14ac:dyDescent="0.3">
      <c r="B274" s="9"/>
      <c r="C274" s="4"/>
      <c r="E274" s="8"/>
      <c r="I274" s="8"/>
    </row>
    <row r="275" spans="2:9" x14ac:dyDescent="0.3">
      <c r="B275" s="9"/>
      <c r="C275" s="4"/>
      <c r="E275" s="8"/>
      <c r="I275" s="8"/>
    </row>
    <row r="276" spans="2:9" x14ac:dyDescent="0.3">
      <c r="B276" s="9"/>
      <c r="C276" s="4"/>
      <c r="E276" s="8"/>
      <c r="I276" s="8"/>
    </row>
    <row r="277" spans="2:9" x14ac:dyDescent="0.3">
      <c r="B277" s="9"/>
      <c r="C277" s="4"/>
      <c r="E277" s="8"/>
      <c r="I277" s="8"/>
    </row>
    <row r="278" spans="2:9" x14ac:dyDescent="0.3">
      <c r="B278" s="9"/>
      <c r="C278" s="4"/>
      <c r="E278" s="8"/>
      <c r="I278" s="8"/>
    </row>
    <row r="279" spans="2:9" x14ac:dyDescent="0.3">
      <c r="B279" s="9"/>
      <c r="C279" s="4"/>
      <c r="E279" s="8"/>
      <c r="I279" s="8"/>
    </row>
    <row r="280" spans="2:9" x14ac:dyDescent="0.3">
      <c r="B280" s="9"/>
      <c r="C280" s="4"/>
      <c r="E280" s="8"/>
      <c r="I280" s="8"/>
    </row>
    <row r="281" spans="2:9" x14ac:dyDescent="0.3">
      <c r="B281" s="9"/>
      <c r="C281" s="4"/>
      <c r="E281" s="8"/>
      <c r="I281" s="8"/>
    </row>
    <row r="282" spans="2:9" x14ac:dyDescent="0.3">
      <c r="B282" s="9"/>
      <c r="C282" s="4"/>
      <c r="E282" s="8"/>
      <c r="I282" s="8"/>
    </row>
    <row r="283" spans="2:9" x14ac:dyDescent="0.3">
      <c r="B283" s="9"/>
      <c r="C283" s="4"/>
      <c r="E283" s="8"/>
      <c r="I283" s="8"/>
    </row>
    <row r="284" spans="2:9" x14ac:dyDescent="0.3">
      <c r="B284" s="9"/>
      <c r="C284" s="4"/>
      <c r="E284" s="8"/>
      <c r="I284" s="8"/>
    </row>
    <row r="285" spans="2:9" x14ac:dyDescent="0.3">
      <c r="B285" s="9"/>
      <c r="C285" s="4"/>
      <c r="E285" s="8"/>
      <c r="I285" s="8"/>
    </row>
    <row r="286" spans="2:9" x14ac:dyDescent="0.3">
      <c r="B286" s="9"/>
      <c r="C286" s="4"/>
      <c r="E286" s="8"/>
      <c r="I286" s="8"/>
    </row>
  </sheetData>
  <mergeCells count="9">
    <mergeCell ref="AT14:AT17"/>
    <mergeCell ref="AT24:AT27"/>
    <mergeCell ref="B2:H2"/>
    <mergeCell ref="H3:H6"/>
    <mergeCell ref="B4:G4"/>
    <mergeCell ref="B5:G5"/>
    <mergeCell ref="AI3:AM3"/>
    <mergeCell ref="AI4:AM4"/>
    <mergeCell ref="AI5:AM5"/>
  </mergeCells>
  <pageMargins left="0.7" right="0.7" top="0.75" bottom="0.75" header="0.3" footer="0.3"/>
  <drawing r:id="rId1"/>
  <legacyDrawing r:id="rId2"/>
  <tableParts count="4"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68</vt:i4>
      </vt:variant>
    </vt:vector>
  </HeadingPairs>
  <TitlesOfParts>
    <vt:vector size="71" baseType="lpstr">
      <vt:lpstr>dpc-covid19-ita-andamento-naz</vt:lpstr>
      <vt:lpstr>New_confirmed - ExpPwLaw</vt:lpstr>
      <vt:lpstr>Cumul_confirmed - ExpPwLaw</vt:lpstr>
      <vt:lpstr>CI</vt:lpstr>
      <vt:lpstr>CId</vt:lpstr>
      <vt:lpstr>CIh</vt:lpstr>
      <vt:lpstr>CIn</vt:lpstr>
      <vt:lpstr>CIr</vt:lpstr>
      <vt:lpstr>CIt</vt:lpstr>
      <vt:lpstr>Critical_t</vt:lpstr>
      <vt:lpstr>Critical_td</vt:lpstr>
      <vt:lpstr>Critical_th</vt:lpstr>
      <vt:lpstr>Critical_tn</vt:lpstr>
      <vt:lpstr>Critical_tr</vt:lpstr>
      <vt:lpstr>Critical_tt</vt:lpstr>
      <vt:lpstr>df</vt:lpstr>
      <vt:lpstr>dfd</vt:lpstr>
      <vt:lpstr>dfh</vt:lpstr>
      <vt:lpstr>dfn</vt:lpstr>
      <vt:lpstr>dfr</vt:lpstr>
      <vt:lpstr>dft</vt:lpstr>
      <vt:lpstr>k</vt:lpstr>
      <vt:lpstr>Kd</vt:lpstr>
      <vt:lpstr>kh</vt:lpstr>
      <vt:lpstr>Kn</vt:lpstr>
      <vt:lpstr>kr</vt:lpstr>
      <vt:lpstr>kt</vt:lpstr>
      <vt:lpstr>Mean_of_y</vt:lpstr>
      <vt:lpstr>Mean_of_yd</vt:lpstr>
      <vt:lpstr>Mean_of_yh</vt:lpstr>
      <vt:lpstr>Mean_of_yn</vt:lpstr>
      <vt:lpstr>Mean_of_yr</vt:lpstr>
      <vt:lpstr>Mean_of_yt</vt:lpstr>
      <vt:lpstr>Peak</vt:lpstr>
      <vt:lpstr>Peak_d</vt:lpstr>
      <vt:lpstr>Peak_h</vt:lpstr>
      <vt:lpstr>Peak_n</vt:lpstr>
      <vt:lpstr>Peak_r</vt:lpstr>
      <vt:lpstr>Peak_t</vt:lpstr>
      <vt:lpstr>RSQ</vt:lpstr>
      <vt:lpstr>RSQd</vt:lpstr>
      <vt:lpstr>RSQh</vt:lpstr>
      <vt:lpstr>RSQn</vt:lpstr>
      <vt:lpstr>RSQr</vt:lpstr>
      <vt:lpstr>RSQt</vt:lpstr>
      <vt:lpstr>SE_of_y</vt:lpstr>
      <vt:lpstr>SE_of_yd</vt:lpstr>
      <vt:lpstr>SE_of_yh</vt:lpstr>
      <vt:lpstr>SE_of_yn</vt:lpstr>
      <vt:lpstr>SE_of_yr</vt:lpstr>
      <vt:lpstr>SE_of_yt</vt:lpstr>
      <vt:lpstr>t</vt:lpstr>
      <vt:lpstr>t_d</vt:lpstr>
      <vt:lpstr>t_h</vt:lpstr>
      <vt:lpstr>t_n</vt:lpstr>
      <vt:lpstr>t_r</vt:lpstr>
      <vt:lpstr>t_t</vt:lpstr>
      <vt:lpstr>t0</vt:lpstr>
      <vt:lpstr>t0d</vt:lpstr>
      <vt:lpstr>t0f</vt:lpstr>
      <vt:lpstr>t0h</vt:lpstr>
      <vt:lpstr>t0n</vt:lpstr>
      <vt:lpstr>t0r</vt:lpstr>
      <vt:lpstr>t0t</vt:lpstr>
      <vt:lpstr>w</vt:lpstr>
      <vt:lpstr>wd</vt:lpstr>
      <vt:lpstr>wf</vt:lpstr>
      <vt:lpstr>wh</vt:lpstr>
      <vt:lpstr>wn</vt:lpstr>
      <vt:lpstr>wr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2020-04-12T00:36:10Z</dcterms:modified>
</cp:coreProperties>
</file>