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52CB0687-5DA1-46F7-A93E-3B69BB6586B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Boltzmann fit'!$N$15</definedName>
    <definedName name="CIh">'Cumul_confirmed - Boltzmann fit'!$N$26</definedName>
    <definedName name="CIn">'New_confirmed - Boltzmann fit'!$L$15</definedName>
    <definedName name="Critical_t">'Cumul_confirmed - Boltzmann fit'!$N$14</definedName>
    <definedName name="Critical_th">'Cumul_confirmed - Boltzmann fit'!$N$25</definedName>
    <definedName name="Critical_tn">'New_confirmed - Boltzmann fit'!$L$14</definedName>
    <definedName name="DatiEsterni_1" localSheetId="0" hidden="1">'dpc-covid19-ita-andamento-naz'!$A$1:$N$35</definedName>
    <definedName name="DatiEsterni_2" localSheetId="0" hidden="1">'dpc-covid19-ita-andamento-naz'!#REF!</definedName>
    <definedName name="df">'Cumul_confirmed - Boltzmann fit'!$N$11</definedName>
    <definedName name="dfh">'Cumul_confirmed - Boltzmann fit'!$N$22</definedName>
    <definedName name="dfn">'New_confirmed - Boltzmann fit'!$L$11</definedName>
    <definedName name="dpc_covid19_ita_andamento_nazionale_1" localSheetId="1" hidden="1">'Cumul_confirmed - Boltzmann fit'!#REF!</definedName>
    <definedName name="K">'Cumul_confirmed - Boltzmann fit'!$N$7</definedName>
    <definedName name="Kh">'Cumul_confirmed - Boltzmann fit'!$N$18</definedName>
    <definedName name="Kn">'New_confirmed - Boltzmann fit'!$L$7</definedName>
    <definedName name="Mean_of_y">'Cumul_confirmed - Boltzmann fit'!$N$10</definedName>
    <definedName name="Mean_of_yh">'Cumul_confirmed - Boltzmann fit'!$N$21</definedName>
    <definedName name="Mean_of_yn">'New_confirmed - Boltzmann fit'!$L$10</definedName>
    <definedName name="RSQ">'Cumul_confirmed - Boltzmann fit'!$N$13</definedName>
    <definedName name="RSQh">'Cumul_confirmed - Boltzmann fit'!$N$24</definedName>
    <definedName name="RSQn">'New_confirmed - Boltzmann fit'!$L$13</definedName>
    <definedName name="SE_of_y">'Cumul_confirmed - Boltzmann fit'!$N$12</definedName>
    <definedName name="SE_of_yh">'Cumul_confirmed - Boltzmann fit'!$N$23</definedName>
    <definedName name="SE_of_yn">'New_confirmed - Boltzmann fit'!$L$12</definedName>
    <definedName name="solver_adj" localSheetId="1" hidden="1">'Cumul_confirmed - Boltzmann fit'!$N$18,'Cumul_confirmed - Boltzmann fit'!$N$19,'Cumul_confirmed - Boltzmann fit'!$N$20</definedName>
    <definedName name="solver_adj" localSheetId="2" hidden="1">'New_confirmed - Boltzmann fit'!$L$7,'New_confirmed - Boltzmann fit'!$L$8,'New_confirmed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 fit'!$N$18</definedName>
    <definedName name="solver_lhs1" localSheetId="2" hidden="1">'New_confirmed - Boltzmann fit'!$L$7</definedName>
    <definedName name="solver_lhs2" localSheetId="1" hidden="1">'Cumul_confirmed - Boltzmann fit'!$N$19</definedName>
    <definedName name="solver_lhs2" localSheetId="2" hidden="1">'New_confirmed - Boltzmann fit'!$L$8</definedName>
    <definedName name="solver_lhs3" localSheetId="1" hidden="1">'Cumul_confirmed - Boltzmann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'Cumul_confirmed - Boltzmann fit'!$N$24</definedName>
    <definedName name="solver_opt" localSheetId="2" hidden="1">'New_confirmed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fit'!$N$8</definedName>
    <definedName name="t0h">'Cumul_confirmed - Boltzmann fit'!$N$19</definedName>
    <definedName name="t0n">'New_confirmed - Boltzmann fit'!$L$8</definedName>
    <definedName name="w">'Cumul_confirmed - Boltzmann fit'!$N$9</definedName>
    <definedName name="wh">'Cumul_confirmed - Boltzmann fit'!$N$20</definedName>
    <definedName name="wn">'New_confirmed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9" l="1"/>
  <c r="L10" i="19"/>
  <c r="E40" i="19"/>
  <c r="D39" i="19"/>
  <c r="D40" i="19"/>
  <c r="N11" i="12"/>
  <c r="N10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7" i="12"/>
  <c r="H8" i="12"/>
  <c r="N22" i="12" s="1"/>
  <c r="N25" i="12" s="1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7" i="12"/>
  <c r="D40" i="12"/>
  <c r="D39" i="12"/>
  <c r="D38" i="12"/>
  <c r="N13" i="12" l="1" a="1"/>
  <c r="N13" i="12" s="1"/>
  <c r="N12" i="12" a="1"/>
  <c r="N12" i="12" s="1"/>
  <c r="N21" i="12"/>
  <c r="N24" i="12" s="1" a="1"/>
  <c r="N24" i="12" s="1"/>
  <c r="N23" i="12" a="1"/>
  <c r="N23" i="12" s="1"/>
  <c r="N26" i="12" s="1"/>
  <c r="E9" i="19"/>
  <c r="E20" i="19"/>
  <c r="E21" i="19"/>
  <c r="E32" i="19"/>
  <c r="E33" i="19"/>
  <c r="E34" i="19"/>
  <c r="E39" i="19"/>
  <c r="D8" i="19"/>
  <c r="D9" i="19"/>
  <c r="D10" i="19"/>
  <c r="E10" i="19" s="1"/>
  <c r="D11" i="19"/>
  <c r="E11" i="19" s="1"/>
  <c r="D12" i="19"/>
  <c r="D13" i="19"/>
  <c r="E13" i="19" s="1"/>
  <c r="D14" i="19"/>
  <c r="D15" i="19"/>
  <c r="E15" i="19" s="1"/>
  <c r="D16" i="19"/>
  <c r="E16" i="19" s="1"/>
  <c r="D17" i="19"/>
  <c r="E17" i="19" s="1"/>
  <c r="D18" i="19"/>
  <c r="E18" i="19" s="1"/>
  <c r="D19" i="19"/>
  <c r="D20" i="19"/>
  <c r="D21" i="19"/>
  <c r="D22" i="19"/>
  <c r="E22" i="19" s="1"/>
  <c r="D23" i="19"/>
  <c r="E23" i="19" s="1"/>
  <c r="D24" i="19"/>
  <c r="D25" i="19"/>
  <c r="E25" i="19" s="1"/>
  <c r="D26" i="19"/>
  <c r="D27" i="19"/>
  <c r="E27" i="19" s="1"/>
  <c r="D28" i="19"/>
  <c r="E28" i="19" s="1"/>
  <c r="D29" i="19"/>
  <c r="E29" i="19" s="1"/>
  <c r="D30" i="19"/>
  <c r="E30" i="19" s="1"/>
  <c r="D31" i="19"/>
  <c r="D32" i="19"/>
  <c r="D33" i="19"/>
  <c r="D34" i="19"/>
  <c r="D35" i="19"/>
  <c r="E35" i="19" s="1"/>
  <c r="D36" i="19"/>
  <c r="D37" i="19"/>
  <c r="E37" i="19" s="1"/>
  <c r="D38" i="19"/>
  <c r="D7" i="19"/>
  <c r="E7" i="19" s="1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7" i="12"/>
  <c r="E36" i="19" l="1"/>
  <c r="E24" i="19"/>
  <c r="E12" i="19"/>
  <c r="E31" i="19"/>
  <c r="E19" i="19"/>
  <c r="E14" i="19"/>
  <c r="E38" i="19"/>
  <c r="E26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7" i="19"/>
  <c r="G7" i="19" s="1"/>
  <c r="G60" i="19" l="1"/>
  <c r="G48" i="19"/>
  <c r="G36" i="19"/>
  <c r="G30" i="19"/>
  <c r="G24" i="19"/>
  <c r="G18" i="19"/>
  <c r="G12" i="19"/>
  <c r="E8" i="19"/>
  <c r="L14" i="19" l="1"/>
  <c r="G47" i="19"/>
  <c r="G42" i="19"/>
  <c r="G37" i="19"/>
  <c r="G49" i="19"/>
  <c r="G61" i="19"/>
  <c r="G15" i="19"/>
  <c r="G53" i="19"/>
  <c r="G56" i="19"/>
  <c r="G35" i="19"/>
  <c r="G10" i="19"/>
  <c r="G59" i="19"/>
  <c r="G41" i="19"/>
  <c r="G33" i="19"/>
  <c r="G21" i="19"/>
  <c r="G22" i="19"/>
  <c r="G28" i="19"/>
  <c r="G34" i="19"/>
  <c r="G44" i="19"/>
  <c r="G16" i="19"/>
  <c r="G13" i="19"/>
  <c r="G19" i="19"/>
  <c r="G25" i="19"/>
  <c r="G31" i="19"/>
  <c r="G38" i="19"/>
  <c r="G50" i="19"/>
  <c r="G62" i="19"/>
  <c r="G63" i="19"/>
  <c r="G32" i="19"/>
  <c r="G40" i="19"/>
  <c r="G52" i="19"/>
  <c r="G64" i="19"/>
  <c r="G54" i="19"/>
  <c r="G66" i="19"/>
  <c r="G8" i="19"/>
  <c r="G20" i="19"/>
  <c r="G43" i="19"/>
  <c r="G55" i="19"/>
  <c r="G39" i="19"/>
  <c r="G9" i="19"/>
  <c r="G57" i="19"/>
  <c r="G11" i="19"/>
  <c r="G23" i="19"/>
  <c r="G29" i="19"/>
  <c r="G46" i="19"/>
  <c r="G58" i="19"/>
  <c r="G26" i="19"/>
  <c r="G45" i="19"/>
  <c r="G17" i="19"/>
  <c r="G51" i="19"/>
  <c r="G65" i="19"/>
  <c r="G27" i="19"/>
  <c r="G14" i="19"/>
  <c r="L12" i="19" l="1" a="1"/>
  <c r="L12" i="19" s="1"/>
  <c r="L15" i="19" s="1"/>
  <c r="I40" i="19" s="1"/>
  <c r="L13" i="19" a="1"/>
  <c r="L13" i="19" s="1"/>
  <c r="H40" i="19" l="1"/>
  <c r="I18" i="19"/>
  <c r="H23" i="19"/>
  <c r="I32" i="19"/>
  <c r="I33" i="19"/>
  <c r="H37" i="19"/>
  <c r="H14" i="19"/>
  <c r="I11" i="19"/>
  <c r="I23" i="19"/>
  <c r="I35" i="19"/>
  <c r="H15" i="19"/>
  <c r="H27" i="19"/>
  <c r="H39" i="19"/>
  <c r="I12" i="19"/>
  <c r="I24" i="19"/>
  <c r="I36" i="19"/>
  <c r="H16" i="19"/>
  <c r="H28" i="19"/>
  <c r="H7" i="19"/>
  <c r="I13" i="19"/>
  <c r="I25" i="19"/>
  <c r="I37" i="19"/>
  <c r="H17" i="19"/>
  <c r="H29" i="19"/>
  <c r="I14" i="19"/>
  <c r="I26" i="19"/>
  <c r="I38" i="19"/>
  <c r="H18" i="19"/>
  <c r="H30" i="19"/>
  <c r="I15" i="19"/>
  <c r="I27" i="19"/>
  <c r="I39" i="19"/>
  <c r="H31" i="19"/>
  <c r="I16" i="19"/>
  <c r="I28" i="19"/>
  <c r="H8" i="19"/>
  <c r="H20" i="19"/>
  <c r="I20" i="19"/>
  <c r="H36" i="19"/>
  <c r="H13" i="19"/>
  <c r="H25" i="19"/>
  <c r="I22" i="19"/>
  <c r="H38" i="19"/>
  <c r="H19" i="19"/>
  <c r="H32" i="19"/>
  <c r="H12" i="19"/>
  <c r="I9" i="19"/>
  <c r="I10" i="19"/>
  <c r="I17" i="19"/>
  <c r="I29" i="19"/>
  <c r="H9" i="19"/>
  <c r="H21" i="19"/>
  <c r="H33" i="19"/>
  <c r="I30" i="19"/>
  <c r="H10" i="19"/>
  <c r="H22" i="19"/>
  <c r="H34" i="19"/>
  <c r="I19" i="19"/>
  <c r="I31" i="19"/>
  <c r="H11" i="19"/>
  <c r="H35" i="19"/>
  <c r="I8" i="19"/>
  <c r="H24" i="19"/>
  <c r="I21" i="19"/>
  <c r="I34" i="19"/>
  <c r="H26" i="19"/>
  <c r="I7" i="19"/>
  <c r="N14" i="12" l="1"/>
  <c r="N15" i="12" l="1"/>
  <c r="J40" i="12" l="1"/>
  <c r="J37" i="12"/>
  <c r="J34" i="12"/>
  <c r="K29" i="12"/>
  <c r="J32" i="12"/>
  <c r="J14" i="12"/>
  <c r="K26" i="12"/>
  <c r="J38" i="12"/>
  <c r="J29" i="12"/>
  <c r="J23" i="12"/>
  <c r="J17" i="12"/>
  <c r="K35" i="12"/>
  <c r="J26" i="12"/>
  <c r="J11" i="12"/>
  <c r="K23" i="12"/>
  <c r="J35" i="12"/>
  <c r="J8" i="12"/>
  <c r="K38" i="12"/>
  <c r="K32" i="12"/>
  <c r="K20" i="12"/>
  <c r="K17" i="12"/>
  <c r="J20" i="12"/>
  <c r="K19" i="12"/>
  <c r="K9" i="12"/>
  <c r="K11" i="12"/>
  <c r="J7" i="12"/>
  <c r="K30" i="12"/>
  <c r="K15" i="12"/>
  <c r="J9" i="12"/>
  <c r="J10" i="12"/>
  <c r="K24" i="12"/>
  <c r="J33" i="12"/>
  <c r="J36" i="12"/>
  <c r="J39" i="12"/>
  <c r="K25" i="12"/>
  <c r="K21" i="12"/>
  <c r="J12" i="12"/>
  <c r="J13" i="12"/>
  <c r="J19" i="12"/>
  <c r="J21" i="12"/>
  <c r="K16" i="12"/>
  <c r="J30" i="12"/>
  <c r="K36" i="12"/>
  <c r="K27" i="12"/>
  <c r="J15" i="12"/>
  <c r="J16" i="12"/>
  <c r="J22" i="12"/>
  <c r="K12" i="12"/>
  <c r="J28" i="12"/>
  <c r="K34" i="12"/>
  <c r="K13" i="12"/>
  <c r="K33" i="12"/>
  <c r="J18" i="12"/>
  <c r="J27" i="12"/>
  <c r="K7" i="12"/>
  <c r="K31" i="12"/>
  <c r="K39" i="12"/>
  <c r="K28" i="12"/>
  <c r="K18" i="12"/>
  <c r="K8" i="12"/>
  <c r="K10" i="12"/>
  <c r="J24" i="12"/>
  <c r="J25" i="12"/>
  <c r="K22" i="12"/>
  <c r="K37" i="12"/>
  <c r="K40" i="12"/>
  <c r="J31" i="12"/>
  <c r="K14" i="12"/>
  <c r="F40" i="12"/>
  <c r="G40" i="12"/>
  <c r="G39" i="12"/>
  <c r="F39" i="12"/>
  <c r="G38" i="12"/>
  <c r="F38" i="12"/>
  <c r="F37" i="12"/>
  <c r="G37" i="12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9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<sst xmlns="http://schemas.openxmlformats.org/spreadsheetml/2006/main" count="179" uniqueCount="62">
  <si>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</si>
  <si>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</si>
  <si>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</si>
  <si>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</si>
  <si>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</si>
  <si>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</si>
  <si>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</si>
  <si>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</si>
  <si>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</si>
  <si>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</si>
  <si>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</si>
  <si>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</si>
  <si>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</si>
  <si>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</si>
  <si>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</si>
  <si>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</si>
  <si>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</si>
  <si>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</si>
  <si>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</si>
  <si>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</si>
  <si>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</si>
  <si>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</si>
  <si>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</si>
  <si>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</si>
  <si>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</si>
  <si>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</si>
  <si>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</si>
  <si>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</si>
  <si>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</si>
  <si>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</si>
  <si>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</si>
  <si>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</si>
  <si>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</si>
  <si>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</si>
  <si>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</si>
  <si>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</si>
  <si>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Boltzmann cum_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</si>
  <si>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</si>
  <si>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</si>
  <si>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</si>
  <si>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</si>
  <si>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</si>
  <si>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</si>
  <si>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</si>
  <si>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</si>
  <si>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</si>
  <si>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</si>
  <si>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</si>
  <si>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</si>
  <si>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</si>
  <si>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</si>
  <si>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</si>
  <si>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</si>
  <si>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</si>
  <si>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Hospitalized</t>
  </si>
  <si>
    <t>Confirmed fit</t>
  </si>
  <si>
    <t>Hospitalized fit</t>
  </si>
  <si>
    <t>C. Upper CI</t>
  </si>
  <si>
    <t>C. Lower CI</t>
  </si>
  <si>
    <t>H. Upper CI</t>
  </si>
  <si>
    <t>H. Lower CI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</si>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</sst>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6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fit'!$D$7:$D$40</c:f>
              <c:numCache>
                <c:formatCode>0</c:formatCode>
                <c:ptCount val="34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fit'!$E$7:$E$66</c:f>
              <c:numCache>
                <c:formatCode>0</c:formatCode>
                <c:ptCount val="60"/>
                <c:pt idx="0">
                  <c:v>600.99574635888894</c:v>
                </c:pt>
                <c:pt idx="1">
                  <c:v>730.32554042194533</c:v>
                </c:pt>
                <c:pt idx="2">
                  <c:v>887.27932148506738</c:v>
                </c:pt>
                <c:pt idx="3">
                  <c:v>1077.6591593592484</c:v>
                </c:pt>
                <c:pt idx="4">
                  <c:v>1308.4392827605252</c:v>
                </c:pt>
                <c:pt idx="5">
                  <c:v>1587.9809096496258</c:v>
                </c:pt>
                <c:pt idx="6">
                  <c:v>1926.2759690598643</c:v>
                </c:pt>
                <c:pt idx="7">
                  <c:v>2335.2183340381639</c:v>
                </c:pt>
                <c:pt idx="8">
                  <c:v>2828.8978362619314</c:v>
                </c:pt>
                <c:pt idx="9">
                  <c:v>3423.9072384875294</c:v>
                </c:pt>
                <c:pt idx="10">
                  <c:v>4139.644936230472</c:v>
                </c:pt>
                <c:pt idx="11">
                  <c:v>4998.585854539836</c:v>
                </c:pt>
                <c:pt idx="12">
                  <c:v>6026.4793185765402</c:v>
                </c:pt>
                <c:pt idx="13">
                  <c:v>7252.4154928615762</c:v>
                </c:pt>
                <c:pt idx="14">
                  <c:v>8708.6819812849299</c:v>
                </c:pt>
                <c:pt idx="15">
                  <c:v>10430.311459786126</c:v>
                </c:pt>
                <c:pt idx="16">
                  <c:v>12454.204104148615</c:v>
                </c:pt>
                <c:pt idx="17">
                  <c:v>14817.702425891186</c:v>
                </c:pt>
                <c:pt idx="18">
                  <c:v>17556.511657832696</c:v>
                </c:pt>
                <c:pt idx="19">
                  <c:v>20701.909242800306</c:v>
                </c:pt>
                <c:pt idx="20">
                  <c:v>24277.284805586612</c:v>
                </c:pt>
                <c:pt idx="21">
                  <c:v>28294.202778313404</c:v>
                </c:pt>
                <c:pt idx="22">
                  <c:v>32748.373032900581</c:v>
                </c:pt>
                <c:pt idx="23">
                  <c:v>37616.114701913299</c:v>
                </c:pt>
                <c:pt idx="24">
                  <c:v>42852.041205303649</c:v>
                </c:pt>
                <c:pt idx="25">
                  <c:v>48388.700496502359</c:v>
                </c:pt>
                <c:pt idx="26">
                  <c:v>54138.707936043538</c:v>
                </c:pt>
                <c:pt idx="27">
                  <c:v>59999.5</c:v>
                </c:pt>
                <c:pt idx="28">
                  <c:v>65860.292063956455</c:v>
                </c:pt>
                <c:pt idx="29">
                  <c:v>71610.299503497634</c:v>
                </c:pt>
                <c:pt idx="30">
                  <c:v>77146.958794696344</c:v>
                </c:pt>
                <c:pt idx="31">
                  <c:v>82382.885298086709</c:v>
                </c:pt>
                <c:pt idx="32">
                  <c:v>87250.626967099422</c:v>
                </c:pt>
                <c:pt idx="33">
                  <c:v>91704.797221686589</c:v>
                </c:pt>
                <c:pt idx="34">
                  <c:v>95721.71519441338</c:v>
                </c:pt>
                <c:pt idx="35">
                  <c:v>99297.090757199694</c:v>
                </c:pt>
                <c:pt idx="36">
                  <c:v>102442.4883421673</c:v>
                </c:pt>
                <c:pt idx="37">
                  <c:v>105181.29757410882</c:v>
                </c:pt>
                <c:pt idx="38">
                  <c:v>107544.79589585139</c:v>
                </c:pt>
                <c:pt idx="39">
                  <c:v>109568.68854021387</c:v>
                </c:pt>
                <c:pt idx="40">
                  <c:v>111290.31801871507</c:v>
                </c:pt>
                <c:pt idx="41">
                  <c:v>112746.58450713842</c:v>
                </c:pt>
                <c:pt idx="42">
                  <c:v>113972.52068142346</c:v>
                </c:pt>
                <c:pt idx="43">
                  <c:v>115000.41414546018</c:v>
                </c:pt>
                <c:pt idx="44">
                  <c:v>115859.35506376953</c:v>
                </c:pt>
                <c:pt idx="45">
                  <c:v>116575.09276151248</c:v>
                </c:pt>
                <c:pt idx="46">
                  <c:v>117170.10216373806</c:v>
                </c:pt>
                <c:pt idx="47">
                  <c:v>117663.78166596183</c:v>
                </c:pt>
                <c:pt idx="48">
                  <c:v>118072.72403094014</c:v>
                </c:pt>
                <c:pt idx="49">
                  <c:v>118411.01909035038</c:v>
                </c:pt>
                <c:pt idx="50">
                  <c:v>118690.56071723948</c:v>
                </c:pt>
                <c:pt idx="51">
                  <c:v>118921.34084064075</c:v>
                </c:pt>
                <c:pt idx="52">
                  <c:v>119111.72067851493</c:v>
                </c:pt>
                <c:pt idx="53">
                  <c:v>119268.67445957805</c:v>
                </c:pt>
                <c:pt idx="54">
                  <c:v>119398.00425364112</c:v>
                </c:pt>
                <c:pt idx="55">
                  <c:v>119504.52661465916</c:v>
                </c:pt>
                <c:pt idx="56">
                  <c:v>119592.23294199303</c:v>
                </c:pt>
                <c:pt idx="57">
                  <c:v>119664.42607113214</c:v>
                </c:pt>
                <c:pt idx="58">
                  <c:v>119723.83582439195</c:v>
                </c:pt>
                <c:pt idx="59">
                  <c:v>119772.71623209481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fit'!$F$7:$F$40</c:f>
              <c:numCache>
                <c:formatCode>0</c:formatCode>
                <c:ptCount val="34"/>
                <c:pt idx="0">
                  <c:v>2795.0636796637737</c:v>
                </c:pt>
                <c:pt idx="1">
                  <c:v>2924.3934737268301</c:v>
                </c:pt>
                <c:pt idx="2">
                  <c:v>3081.3472547899519</c:v>
                </c:pt>
                <c:pt idx="3">
                  <c:v>3271.7270926641331</c:v>
                </c:pt>
                <c:pt idx="4">
                  <c:v>3502.5072160654099</c:v>
                </c:pt>
                <c:pt idx="5">
                  <c:v>3782.0488429545103</c:v>
                </c:pt>
                <c:pt idx="6">
                  <c:v>4120.3439023647488</c:v>
                </c:pt>
                <c:pt idx="7">
                  <c:v>4529.2862673430482</c:v>
                </c:pt>
                <c:pt idx="8">
                  <c:v>5022.9657695668157</c:v>
                </c:pt>
                <c:pt idx="9">
                  <c:v>5617.9751717924137</c:v>
                </c:pt>
                <c:pt idx="10">
                  <c:v>6333.7128695353567</c:v>
                </c:pt>
                <c:pt idx="11">
                  <c:v>7192.6537878447207</c:v>
                </c:pt>
                <c:pt idx="12">
                  <c:v>8220.547251881424</c:v>
                </c:pt>
                <c:pt idx="13">
                  <c:v>9446.4834261664619</c:v>
                </c:pt>
                <c:pt idx="14">
                  <c:v>10902.749914589815</c:v>
                </c:pt>
                <c:pt idx="15">
                  <c:v>12624.379393091011</c:v>
                </c:pt>
                <c:pt idx="16">
                  <c:v>14648.2720374535</c:v>
                </c:pt>
                <c:pt idx="17">
                  <c:v>17011.770359196071</c:v>
                </c:pt>
                <c:pt idx="18">
                  <c:v>19750.579591137583</c:v>
                </c:pt>
                <c:pt idx="19">
                  <c:v>22895.977176105189</c:v>
                </c:pt>
                <c:pt idx="20">
                  <c:v>26471.352738891495</c:v>
                </c:pt>
                <c:pt idx="21">
                  <c:v>30488.270711618286</c:v>
                </c:pt>
                <c:pt idx="22">
                  <c:v>34942.440966205468</c:v>
                </c:pt>
                <c:pt idx="23">
                  <c:v>39810.182635218182</c:v>
                </c:pt>
                <c:pt idx="24">
                  <c:v>45046.109138608532</c:v>
                </c:pt>
                <c:pt idx="25">
                  <c:v>50582.768429807242</c:v>
                </c:pt>
                <c:pt idx="26">
                  <c:v>56332.775869348421</c:v>
                </c:pt>
                <c:pt idx="27">
                  <c:v>62193.567933304883</c:v>
                </c:pt>
                <c:pt idx="28">
                  <c:v>68054.359997261345</c:v>
                </c:pt>
                <c:pt idx="29">
                  <c:v>73804.367436802524</c:v>
                </c:pt>
                <c:pt idx="30">
                  <c:v>79341.026728001234</c:v>
                </c:pt>
                <c:pt idx="31">
                  <c:v>84576.953231391599</c:v>
                </c:pt>
                <c:pt idx="32">
                  <c:v>89444.694900404313</c:v>
                </c:pt>
                <c:pt idx="33">
                  <c:v>93898.865154991479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fit'!$G$7:$G$40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141.15040073327918</c:v>
                </c:pt>
                <c:pt idx="8">
                  <c:v>634.82990295704667</c:v>
                </c:pt>
                <c:pt idx="9">
                  <c:v>1229.8393051826447</c:v>
                </c:pt>
                <c:pt idx="10">
                  <c:v>1945.5770029255873</c:v>
                </c:pt>
                <c:pt idx="11">
                  <c:v>2804.5179212349512</c:v>
                </c:pt>
                <c:pt idx="12">
                  <c:v>3832.4113852716555</c:v>
                </c:pt>
                <c:pt idx="13">
                  <c:v>5058.3475595566915</c:v>
                </c:pt>
                <c:pt idx="14">
                  <c:v>6514.6140479800451</c:v>
                </c:pt>
                <c:pt idx="15">
                  <c:v>8236.2435264812411</c:v>
                </c:pt>
                <c:pt idx="16">
                  <c:v>10260.136170843731</c:v>
                </c:pt>
                <c:pt idx="17">
                  <c:v>12623.634492586301</c:v>
                </c:pt>
                <c:pt idx="18">
                  <c:v>15362.443724527811</c:v>
                </c:pt>
                <c:pt idx="19">
                  <c:v>18507.841309495423</c:v>
                </c:pt>
                <c:pt idx="20">
                  <c:v>22083.21687228173</c:v>
                </c:pt>
                <c:pt idx="21">
                  <c:v>26100.134845008521</c:v>
                </c:pt>
                <c:pt idx="22">
                  <c:v>30554.305099595695</c:v>
                </c:pt>
                <c:pt idx="23">
                  <c:v>35422.046768608416</c:v>
                </c:pt>
                <c:pt idx="24">
                  <c:v>40657.973271998766</c:v>
                </c:pt>
                <c:pt idx="25">
                  <c:v>46194.632563197476</c:v>
                </c:pt>
                <c:pt idx="26">
                  <c:v>51944.640002738655</c:v>
                </c:pt>
                <c:pt idx="27">
                  <c:v>57805.432066695117</c:v>
                </c:pt>
                <c:pt idx="28">
                  <c:v>63666.224130651572</c:v>
                </c:pt>
                <c:pt idx="29">
                  <c:v>69416.231570192744</c:v>
                </c:pt>
                <c:pt idx="30">
                  <c:v>74952.890861391454</c:v>
                </c:pt>
                <c:pt idx="31">
                  <c:v>80188.817364781818</c:v>
                </c:pt>
                <c:pt idx="32">
                  <c:v>85056.559033794532</c:v>
                </c:pt>
                <c:pt idx="33">
                  <c:v>89510.729288381699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Boltzmann fit'!$H$6</c:f>
              <c:strCache>
                <c:ptCount val="1"/>
                <c:pt idx="0">
                  <c:v>Hospitalized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Boltzmann fit'!$H$7:$H$40</c:f>
              <c:numCache>
                <c:formatCode>0</c:formatCode>
                <c:ptCount val="34"/>
                <c:pt idx="0">
                  <c:v>127</c:v>
                </c:pt>
                <c:pt idx="1">
                  <c:v>150</c:v>
                </c:pt>
                <c:pt idx="2">
                  <c:v>164</c:v>
                </c:pt>
                <c:pt idx="3">
                  <c:v>304</c:v>
                </c:pt>
                <c:pt idx="4">
                  <c:v>409</c:v>
                </c:pt>
                <c:pt idx="5">
                  <c:v>506</c:v>
                </c:pt>
                <c:pt idx="6">
                  <c:v>779</c:v>
                </c:pt>
                <c:pt idx="7">
                  <c:v>908</c:v>
                </c:pt>
                <c:pt idx="8">
                  <c:v>1263</c:v>
                </c:pt>
                <c:pt idx="9">
                  <c:v>1641</c:v>
                </c:pt>
                <c:pt idx="10">
                  <c:v>2141</c:v>
                </c:pt>
                <c:pt idx="11">
                  <c:v>2856</c:v>
                </c:pt>
                <c:pt idx="12">
                  <c:v>3218</c:v>
                </c:pt>
                <c:pt idx="13">
                  <c:v>4207</c:v>
                </c:pt>
                <c:pt idx="14">
                  <c:v>5049</c:v>
                </c:pt>
                <c:pt idx="15">
                  <c:v>5915</c:v>
                </c:pt>
                <c:pt idx="16">
                  <c:v>6866</c:v>
                </c:pt>
                <c:pt idx="17">
                  <c:v>7803</c:v>
                </c:pt>
                <c:pt idx="18">
                  <c:v>8754</c:v>
                </c:pt>
                <c:pt idx="19">
                  <c:v>9890</c:v>
                </c:pt>
                <c:pt idx="20">
                  <c:v>11335</c:v>
                </c:pt>
                <c:pt idx="21">
                  <c:v>12876</c:v>
                </c:pt>
                <c:pt idx="22">
                  <c:v>14954</c:v>
                </c:pt>
                <c:pt idx="23">
                  <c:v>16620</c:v>
                </c:pt>
                <c:pt idx="24">
                  <c:v>18255</c:v>
                </c:pt>
                <c:pt idx="25">
                  <c:v>18675</c:v>
                </c:pt>
                <c:pt idx="26">
                  <c:v>20565</c:v>
                </c:pt>
                <c:pt idx="27">
                  <c:v>22855</c:v>
                </c:pt>
                <c:pt idx="28">
                  <c:v>23896</c:v>
                </c:pt>
                <c:pt idx="29">
                  <c:v>25333</c:v>
                </c:pt>
                <c:pt idx="30">
                  <c:v>26601</c:v>
                </c:pt>
                <c:pt idx="31">
                  <c:v>28365</c:v>
                </c:pt>
                <c:pt idx="32">
                  <c:v>29761</c:v>
                </c:pt>
                <c:pt idx="33">
                  <c:v>30532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Boltzmann fit'!$I$6</c:f>
              <c:strCache>
                <c:ptCount val="1"/>
                <c:pt idx="0">
                  <c:v>Hospitalized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fit'!$I$7:$I$66</c:f>
              <c:numCache>
                <c:formatCode>0</c:formatCode>
                <c:ptCount val="60"/>
                <c:pt idx="0">
                  <c:v>533.37122696202232</c:v>
                </c:pt>
                <c:pt idx="1">
                  <c:v>627.88573265450896</c:v>
                </c:pt>
                <c:pt idx="2">
                  <c:v>738.83487393362429</c:v>
                </c:pt>
                <c:pt idx="3">
                  <c:v>868.95634494166916</c:v>
                </c:pt>
                <c:pt idx="4">
                  <c:v>1021.3982478725136</c:v>
                </c:pt>
                <c:pt idx="5">
                  <c:v>1199.7632448926088</c:v>
                </c:pt>
                <c:pt idx="6">
                  <c:v>1408.150565937887</c:v>
                </c:pt>
                <c:pt idx="7">
                  <c:v>1651.1924398855988</c:v>
                </c:pt>
                <c:pt idx="8">
                  <c:v>1934.0802061836068</c:v>
                </c:pt>
                <c:pt idx="9">
                  <c:v>2262.5737994534838</c:v>
                </c:pt>
                <c:pt idx="10">
                  <c:v>2642.9865362883647</c:v>
                </c:pt>
                <c:pt idx="11">
                  <c:v>3082.1353069114894</c:v>
                </c:pt>
                <c:pt idx="12">
                  <c:v>3587.2446369925433</c:v>
                </c:pt>
                <c:pt idx="13">
                  <c:v>4165.7920439792651</c:v>
                </c:pt>
                <c:pt idx="14">
                  <c:v>4825.2822558407261</c:v>
                </c:pt>
                <c:pt idx="15">
                  <c:v>5572.9399489752141</c:v>
                </c:pt>
                <c:pt idx="16">
                  <c:v>6415.3155557755827</c:v>
                </c:pt>
                <c:pt idx="17">
                  <c:v>7357.8071726318512</c:v>
                </c:pt>
                <c:pt idx="18">
                  <c:v>8404.1140647852844</c:v>
                </c:pt>
                <c:pt idx="19">
                  <c:v>9555.6533107721389</c:v>
                </c:pt>
                <c:pt idx="20">
                  <c:v>10810.989098842727</c:v>
                </c:pt>
                <c:pt idx="21">
                  <c:v>12165.340880015749</c:v>
                </c:pt>
                <c:pt idx="22">
                  <c:v>13610.247391802144</c:v>
                </c:pt>
                <c:pt idx="23">
                  <c:v>15133.463307563712</c:v>
                </c:pt>
                <c:pt idx="24">
                  <c:v>16719.14974723215</c:v>
                </c:pt>
                <c:pt idx="25">
                  <c:v>18348.387902102892</c:v>
                </c:pt>
                <c:pt idx="26">
                  <c:v>20000</c:v>
                </c:pt>
                <c:pt idx="27">
                  <c:v>21651.612097897108</c:v>
                </c:pt>
                <c:pt idx="28">
                  <c:v>23280.850252767847</c:v>
                </c:pt>
                <c:pt idx="29">
                  <c:v>24866.536692436286</c:v>
                </c:pt>
                <c:pt idx="30">
                  <c:v>26389.752608197858</c:v>
                </c:pt>
                <c:pt idx="31">
                  <c:v>27834.659119984251</c:v>
                </c:pt>
                <c:pt idx="32">
                  <c:v>29189.010901157271</c:v>
                </c:pt>
                <c:pt idx="33">
                  <c:v>30444.346689227863</c:v>
                </c:pt>
                <c:pt idx="34">
                  <c:v>31595.885935214719</c:v>
                </c:pt>
                <c:pt idx="35">
                  <c:v>32642.192827368148</c:v>
                </c:pt>
                <c:pt idx="36">
                  <c:v>33584.684444224418</c:v>
                </c:pt>
                <c:pt idx="37">
                  <c:v>34427.060051024782</c:v>
                </c:pt>
                <c:pt idx="38">
                  <c:v>35174.717744159279</c:v>
                </c:pt>
                <c:pt idx="39">
                  <c:v>35834.207956020735</c:v>
                </c:pt>
                <c:pt idx="40">
                  <c:v>36412.755363007454</c:v>
                </c:pt>
                <c:pt idx="41">
                  <c:v>36917.864693088515</c:v>
                </c:pt>
                <c:pt idx="42">
                  <c:v>37357.013463711635</c:v>
                </c:pt>
                <c:pt idx="43">
                  <c:v>37737.426200546513</c:v>
                </c:pt>
                <c:pt idx="44">
                  <c:v>38065.9197938164</c:v>
                </c:pt>
                <c:pt idx="45">
                  <c:v>38348.807560114401</c:v>
                </c:pt>
                <c:pt idx="46">
                  <c:v>38591.849434062111</c:v>
                </c:pt>
                <c:pt idx="47">
                  <c:v>38800.236755107391</c:v>
                </c:pt>
                <c:pt idx="48">
                  <c:v>38978.601752127484</c:v>
                </c:pt>
                <c:pt idx="49">
                  <c:v>39131.043655058333</c:v>
                </c:pt>
                <c:pt idx="50">
                  <c:v>39261.165126066371</c:v>
                </c:pt>
                <c:pt idx="51">
                  <c:v>39372.114267345496</c:v>
                </c:pt>
                <c:pt idx="52">
                  <c:v>39466.628773037977</c:v>
                </c:pt>
                <c:pt idx="53">
                  <c:v>39547.079843353175</c:v>
                </c:pt>
                <c:pt idx="54">
                  <c:v>39615.514291437197</c:v>
                </c:pt>
                <c:pt idx="55">
                  <c:v>39673.693882123574</c:v>
                </c:pt>
                <c:pt idx="56">
                  <c:v>39723.131383734428</c:v>
                </c:pt>
                <c:pt idx="57">
                  <c:v>39765.123124974562</c:v>
                </c:pt>
                <c:pt idx="58">
                  <c:v>39800.778059567878</c:v>
                </c:pt>
                <c:pt idx="59">
                  <c:v>39831.043477243773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Boltzmann fit'!$J$6</c:f>
              <c:strCache>
                <c:ptCount val="1"/>
                <c:pt idx="0">
                  <c:v>H.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fit'!$J$7:$J$40</c:f>
              <c:numCache>
                <c:formatCode>0</c:formatCode>
                <c:ptCount val="34"/>
                <c:pt idx="0">
                  <c:v>2727.439160266907</c:v>
                </c:pt>
                <c:pt idx="1">
                  <c:v>2821.9536659593937</c:v>
                </c:pt>
                <c:pt idx="2">
                  <c:v>2932.902807238509</c:v>
                </c:pt>
                <c:pt idx="3">
                  <c:v>3063.0242782465539</c:v>
                </c:pt>
                <c:pt idx="4">
                  <c:v>3215.4661811773985</c:v>
                </c:pt>
                <c:pt idx="5">
                  <c:v>3393.8311781974935</c:v>
                </c:pt>
                <c:pt idx="6">
                  <c:v>3602.2184992427719</c:v>
                </c:pt>
                <c:pt idx="7">
                  <c:v>3845.2603731904837</c:v>
                </c:pt>
                <c:pt idx="8">
                  <c:v>4128.1481394884913</c:v>
                </c:pt>
                <c:pt idx="9">
                  <c:v>4456.6417327583686</c:v>
                </c:pt>
                <c:pt idx="10">
                  <c:v>4837.0544695932495</c:v>
                </c:pt>
                <c:pt idx="11">
                  <c:v>5276.2032402163741</c:v>
                </c:pt>
                <c:pt idx="12">
                  <c:v>5781.3125702974285</c:v>
                </c:pt>
                <c:pt idx="13">
                  <c:v>6359.8599772841499</c:v>
                </c:pt>
                <c:pt idx="14">
                  <c:v>7019.3501891456108</c:v>
                </c:pt>
                <c:pt idx="15">
                  <c:v>7767.0078822800988</c:v>
                </c:pt>
                <c:pt idx="16">
                  <c:v>8609.3834890804683</c:v>
                </c:pt>
                <c:pt idx="17">
                  <c:v>9551.8751059367351</c:v>
                </c:pt>
                <c:pt idx="18">
                  <c:v>10598.181998090169</c:v>
                </c:pt>
                <c:pt idx="19">
                  <c:v>11749.721244077024</c:v>
                </c:pt>
                <c:pt idx="20">
                  <c:v>13005.057032147612</c:v>
                </c:pt>
                <c:pt idx="21">
                  <c:v>14359.408813320633</c:v>
                </c:pt>
                <c:pt idx="22">
                  <c:v>15804.315325107029</c:v>
                </c:pt>
                <c:pt idx="23">
                  <c:v>17327.531240868597</c:v>
                </c:pt>
                <c:pt idx="24">
                  <c:v>18913.217680537033</c:v>
                </c:pt>
                <c:pt idx="25">
                  <c:v>20542.455835407774</c:v>
                </c:pt>
                <c:pt idx="26">
                  <c:v>22194.067933304883</c:v>
                </c:pt>
                <c:pt idx="27">
                  <c:v>23845.680031201991</c:v>
                </c:pt>
                <c:pt idx="28">
                  <c:v>25474.918186072733</c:v>
                </c:pt>
                <c:pt idx="29">
                  <c:v>27060.604625741173</c:v>
                </c:pt>
                <c:pt idx="30">
                  <c:v>28583.820541502741</c:v>
                </c:pt>
                <c:pt idx="31">
                  <c:v>30028.727053289134</c:v>
                </c:pt>
                <c:pt idx="32">
                  <c:v>31383.078834462154</c:v>
                </c:pt>
                <c:pt idx="33">
                  <c:v>32638.414622532749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Boltzmann fit'!$K$6</c:f>
              <c:strCache>
                <c:ptCount val="1"/>
                <c:pt idx="0">
                  <c:v>H.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Boltzmann fit'!$K$7:$K$40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68.505866148599125</c:v>
                </c:pt>
                <c:pt idx="10">
                  <c:v>448.91860298348001</c:v>
                </c:pt>
                <c:pt idx="11">
                  <c:v>888.06737360660463</c:v>
                </c:pt>
                <c:pt idx="12">
                  <c:v>1393.1767036876586</c:v>
                </c:pt>
                <c:pt idx="13">
                  <c:v>1971.7241106743804</c:v>
                </c:pt>
                <c:pt idx="14">
                  <c:v>2631.2143225358413</c:v>
                </c:pt>
                <c:pt idx="15">
                  <c:v>3378.8720156703293</c:v>
                </c:pt>
                <c:pt idx="16">
                  <c:v>4221.2476224706979</c:v>
                </c:pt>
                <c:pt idx="17">
                  <c:v>5163.7392393269665</c:v>
                </c:pt>
                <c:pt idx="18">
                  <c:v>6210.0461314803997</c:v>
                </c:pt>
                <c:pt idx="19">
                  <c:v>7361.5853774672541</c:v>
                </c:pt>
                <c:pt idx="20">
                  <c:v>8616.9211655378422</c:v>
                </c:pt>
                <c:pt idx="21">
                  <c:v>9971.2729467108638</c:v>
                </c:pt>
                <c:pt idx="22">
                  <c:v>11416.179458497259</c:v>
                </c:pt>
                <c:pt idx="23">
                  <c:v>12939.395374258827</c:v>
                </c:pt>
                <c:pt idx="24">
                  <c:v>14525.081813927265</c:v>
                </c:pt>
                <c:pt idx="25">
                  <c:v>16154.319968798007</c:v>
                </c:pt>
                <c:pt idx="26">
                  <c:v>17805.932066695117</c:v>
                </c:pt>
                <c:pt idx="27">
                  <c:v>19457.544164592226</c:v>
                </c:pt>
                <c:pt idx="28">
                  <c:v>21086.78231946296</c:v>
                </c:pt>
                <c:pt idx="29">
                  <c:v>22672.4687591314</c:v>
                </c:pt>
                <c:pt idx="30">
                  <c:v>24195.684674892975</c:v>
                </c:pt>
                <c:pt idx="31">
                  <c:v>25640.591186679369</c:v>
                </c:pt>
                <c:pt idx="32">
                  <c:v>26994.942967852388</c:v>
                </c:pt>
                <c:pt idx="33">
                  <c:v>28250.278755922976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fit'!$E$7:$E$40</c:f>
              <c:numCache>
                <c:formatCode>0</c:formatCode>
                <c:ptCount val="3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fit'!$G$7:$G$66</c:f>
              <c:numCache>
                <c:formatCode>0</c:formatCode>
                <c:ptCount val="60"/>
                <c:pt idx="0">
                  <c:v>966.49501742523262</c:v>
                </c:pt>
                <c:pt idx="1">
                  <c:v>179.07756850988312</c:v>
                </c:pt>
                <c:pt idx="2">
                  <c:v>211.9334948882688</c:v>
                </c:pt>
                <c:pt idx="3">
                  <c:v>250.68673370881766</c:v>
                </c:pt>
                <c:pt idx="4">
                  <c:v>296.34323088644328</c:v>
                </c:pt>
                <c:pt idx="5">
                  <c:v>350.05942113746937</c:v>
                </c:pt>
                <c:pt idx="6">
                  <c:v>413.15613923507863</c:v>
                </c:pt>
                <c:pt idx="7">
                  <c:v>487.13002295589649</c:v>
                </c:pt>
                <c:pt idx="8">
                  <c:v>573.66028328871334</c:v>
                </c:pt>
                <c:pt idx="9">
                  <c:v>674.60790007613514</c:v>
                </c:pt>
                <c:pt idx="10">
                  <c:v>792.00330152619608</c:v>
                </c:pt>
                <c:pt idx="11">
                  <c:v>928.01742775549701</c:v>
                </c:pt>
                <c:pt idx="12">
                  <c:v>1084.9098399320428</c:v>
                </c:pt>
                <c:pt idx="13">
                  <c:v>1264.9463834798762</c:v>
                </c:pt>
                <c:pt idx="14">
                  <c:v>1470.2781406984104</c:v>
                </c:pt>
                <c:pt idx="15">
                  <c:v>1702.773480804206</c:v>
                </c:pt>
                <c:pt idx="16">
                  <c:v>1963.7965988726774</c:v>
                </c:pt>
                <c:pt idx="17">
                  <c:v>2253.9298773538649</c:v>
                </c:pt>
                <c:pt idx="18">
                  <c:v>2572.6446282628258</c:v>
                </c:pt>
                <c:pt idx="19">
                  <c:v>2917.9360241103823</c:v>
                </c:pt>
                <c:pt idx="20">
                  <c:v>3285.9534125423379</c:v>
                </c:pt>
                <c:pt idx="21">
                  <c:v>3670.6755746743293</c:v>
                </c:pt>
                <c:pt idx="22">
                  <c:v>4063.6987135364179</c:v>
                </c:pt>
                <c:pt idx="23">
                  <c:v>4454.2175692499732</c:v>
                </c:pt>
                <c:pt idx="24">
                  <c:v>4829.279624162431</c:v>
                </c:pt>
                <c:pt idx="25">
                  <c:v>5174.3712842908863</c:v>
                </c:pt>
                <c:pt idx="26">
                  <c:v>5474.3487394725744</c:v>
                </c:pt>
                <c:pt idx="27">
                  <c:v>5714.657667516658</c:v>
                </c:pt>
                <c:pt idx="28">
                  <c:v>5882.7079265617285</c:v>
                </c:pt>
                <c:pt idx="29">
                  <c:v>5969.2039730847464</c:v>
                </c:pt>
                <c:pt idx="30">
                  <c:v>5969.2039730847464</c:v>
                </c:pt>
                <c:pt idx="31">
                  <c:v>5882.7079265617213</c:v>
                </c:pt>
                <c:pt idx="32">
                  <c:v>5714.657667516658</c:v>
                </c:pt>
                <c:pt idx="33">
                  <c:v>5474.3487394725817</c:v>
                </c:pt>
                <c:pt idx="34">
                  <c:v>5174.3712842908717</c:v>
                </c:pt>
                <c:pt idx="35">
                  <c:v>4829.279624162431</c:v>
                </c:pt>
                <c:pt idx="36">
                  <c:v>4454.2175692499877</c:v>
                </c:pt>
                <c:pt idx="37">
                  <c:v>4063.6987135364179</c:v>
                </c:pt>
                <c:pt idx="38">
                  <c:v>3670.6755746743147</c:v>
                </c:pt>
                <c:pt idx="39">
                  <c:v>3285.9534125423525</c:v>
                </c:pt>
                <c:pt idx="40">
                  <c:v>2917.9360241103859</c:v>
                </c:pt>
                <c:pt idx="41">
                  <c:v>2572.6446282628312</c:v>
                </c:pt>
                <c:pt idx="42">
                  <c:v>2253.9298773538467</c:v>
                </c:pt>
                <c:pt idx="43">
                  <c:v>1963.7965988726792</c:v>
                </c:pt>
                <c:pt idx="44">
                  <c:v>1702.7734808042005</c:v>
                </c:pt>
                <c:pt idx="45">
                  <c:v>1470.2781406983995</c:v>
                </c:pt>
                <c:pt idx="46">
                  <c:v>1264.9463834798953</c:v>
                </c:pt>
                <c:pt idx="47">
                  <c:v>1084.9098399320501</c:v>
                </c:pt>
                <c:pt idx="48">
                  <c:v>928.01742775549064</c:v>
                </c:pt>
                <c:pt idx="49">
                  <c:v>792.00330152618699</c:v>
                </c:pt>
                <c:pt idx="50">
                  <c:v>674.60790007616743</c:v>
                </c:pt>
                <c:pt idx="51">
                  <c:v>573.66028328871471</c:v>
                </c:pt>
                <c:pt idx="52">
                  <c:v>487.13002295588376</c:v>
                </c:pt>
                <c:pt idx="53">
                  <c:v>413.15613923507044</c:v>
                </c:pt>
                <c:pt idx="54">
                  <c:v>350.05942113747005</c:v>
                </c:pt>
                <c:pt idx="55">
                  <c:v>296.34323088644305</c:v>
                </c:pt>
                <c:pt idx="56">
                  <c:v>250.68673370880424</c:v>
                </c:pt>
                <c:pt idx="57">
                  <c:v>211.93349488827516</c:v>
                </c:pt>
                <c:pt idx="58">
                  <c:v>179.077568509907</c:v>
                </c:pt>
                <c:pt idx="59">
                  <c:v>151.24856051083771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fit'!$H$7:$H$40</c:f>
              <c:numCache>
                <c:formatCode>0</c:formatCode>
                <c:ptCount val="34"/>
                <c:pt idx="0">
                  <c:v>1963.2209121391606</c:v>
                </c:pt>
                <c:pt idx="1">
                  <c:v>1175.8034632238111</c:v>
                </c:pt>
                <c:pt idx="2">
                  <c:v>1208.6593896021968</c:v>
                </c:pt>
                <c:pt idx="3">
                  <c:v>1247.4126284227457</c:v>
                </c:pt>
                <c:pt idx="4">
                  <c:v>1293.0691256003713</c:v>
                </c:pt>
                <c:pt idx="5">
                  <c:v>1346.7853158513974</c:v>
                </c:pt>
                <c:pt idx="6">
                  <c:v>1409.8820339490067</c:v>
                </c:pt>
                <c:pt idx="7">
                  <c:v>1483.8559176698245</c:v>
                </c:pt>
                <c:pt idx="8">
                  <c:v>1570.3861780026414</c:v>
                </c:pt>
                <c:pt idx="9">
                  <c:v>1671.3337947900632</c:v>
                </c:pt>
                <c:pt idx="10">
                  <c:v>1788.7291962401241</c:v>
                </c:pt>
                <c:pt idx="11">
                  <c:v>1924.743322469425</c:v>
                </c:pt>
                <c:pt idx="12">
                  <c:v>2081.6357346459708</c:v>
                </c:pt>
                <c:pt idx="13">
                  <c:v>2261.6722781938042</c:v>
                </c:pt>
                <c:pt idx="14">
                  <c:v>2467.0040354123385</c:v>
                </c:pt>
                <c:pt idx="15">
                  <c:v>2699.499375518134</c:v>
                </c:pt>
                <c:pt idx="16">
                  <c:v>2960.5224935866054</c:v>
                </c:pt>
                <c:pt idx="17">
                  <c:v>3250.6557720677929</c:v>
                </c:pt>
                <c:pt idx="18">
                  <c:v>3569.3705229767538</c:v>
                </c:pt>
                <c:pt idx="19">
                  <c:v>3914.6619188243103</c:v>
                </c:pt>
                <c:pt idx="20">
                  <c:v>4282.6793072562659</c:v>
                </c:pt>
                <c:pt idx="21">
                  <c:v>4667.4014693882573</c:v>
                </c:pt>
                <c:pt idx="22">
                  <c:v>5060.424608250346</c:v>
                </c:pt>
                <c:pt idx="23">
                  <c:v>5450.9434639639012</c:v>
                </c:pt>
                <c:pt idx="24">
                  <c:v>5826.005518876359</c:v>
                </c:pt>
                <c:pt idx="25">
                  <c:v>6171.0971790048143</c:v>
                </c:pt>
                <c:pt idx="26">
                  <c:v>6471.0746341865024</c:v>
                </c:pt>
                <c:pt idx="27">
                  <c:v>6711.383562230586</c:v>
                </c:pt>
                <c:pt idx="28">
                  <c:v>6879.4338212756566</c:v>
                </c:pt>
                <c:pt idx="29">
                  <c:v>6965.9298677986744</c:v>
                </c:pt>
                <c:pt idx="30">
                  <c:v>6965.9298677986744</c:v>
                </c:pt>
                <c:pt idx="31">
                  <c:v>6879.4338212756493</c:v>
                </c:pt>
                <c:pt idx="32">
                  <c:v>6711.383562230586</c:v>
                </c:pt>
                <c:pt idx="33">
                  <c:v>6471.0746341865097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fit'!$I$7:$I$40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88.183945218114786</c:v>
                </c:pt>
                <c:pt idx="13">
                  <c:v>268.22048876594818</c:v>
                </c:pt>
                <c:pt idx="14">
                  <c:v>473.5522459844824</c:v>
                </c:pt>
                <c:pt idx="15">
                  <c:v>706.04758609027795</c:v>
                </c:pt>
                <c:pt idx="16">
                  <c:v>967.07070415874932</c:v>
                </c:pt>
                <c:pt idx="17">
                  <c:v>1257.2039826399368</c:v>
                </c:pt>
                <c:pt idx="18">
                  <c:v>1575.9187335488978</c:v>
                </c:pt>
                <c:pt idx="19">
                  <c:v>1921.2101293964542</c:v>
                </c:pt>
                <c:pt idx="20">
                  <c:v>2289.2275178284099</c:v>
                </c:pt>
                <c:pt idx="21">
                  <c:v>2673.9496799604012</c:v>
                </c:pt>
                <c:pt idx="22">
                  <c:v>3066.9728188224899</c:v>
                </c:pt>
                <c:pt idx="23">
                  <c:v>3457.4916745360451</c:v>
                </c:pt>
                <c:pt idx="24">
                  <c:v>3832.553729448503</c:v>
                </c:pt>
                <c:pt idx="25">
                  <c:v>4177.6453895769582</c:v>
                </c:pt>
                <c:pt idx="26">
                  <c:v>4477.6228447586464</c:v>
                </c:pt>
                <c:pt idx="27">
                  <c:v>4717.9317728027299</c:v>
                </c:pt>
                <c:pt idx="28">
                  <c:v>4885.9820318478005</c:v>
                </c:pt>
                <c:pt idx="29">
                  <c:v>4972.4780783708184</c:v>
                </c:pt>
                <c:pt idx="30">
                  <c:v>4972.4780783708184</c:v>
                </c:pt>
                <c:pt idx="31">
                  <c:v>4885.9820318477932</c:v>
                </c:pt>
                <c:pt idx="32">
                  <c:v>4717.9317728027299</c:v>
                </c:pt>
                <c:pt idx="33">
                  <c:v>4477.6228447586536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33</xdr:row>
      <xdr:rowOff>144780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10035540" y="1287780"/>
          <a:ext cx="6941820" cy="5341620"/>
          <a:chOff x="6629400" y="1287780"/>
          <a:chExt cx="6941820" cy="5303520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D7E1A92A-3CA9-4350-9FDC-7482CD6BAA0A}"/>
              </a:ext>
            </a:extLst>
          </xdr:cNvPr>
          <xdr:cNvGrpSpPr/>
        </xdr:nvGrpSpPr>
        <xdr:grpSpPr>
          <a:xfrm>
            <a:off x="6629400" y="1287780"/>
            <a:ext cx="6941820" cy="5303520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10165080" y="4799904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10165080" y="4799904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𝑦=𝐾/(</a:t>
                  </a:r>
                  <a:r>
                    <a:rPr lang="it-IT" sz="14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7802880" y="2529873"/>
            <a:ext cx="1828800" cy="13756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119999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5.102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0.9987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2194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0.59349</cdr:x>
      <cdr:y>0.33333</cdr:y>
    </cdr:from>
    <cdr:to>
      <cdr:x>0.85693</cdr:x>
      <cdr:y>0.59271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119880" y="1780540"/>
          <a:ext cx="1828800" cy="138550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Hospitalized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40000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27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6.041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0.9956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1429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4A1F1B9E-F4DA-427F-88E4-2FF3551D9945}"/>
            </a:ext>
          </a:extLst>
        </xdr:cNvPr>
        <xdr:cNvGrpSpPr/>
      </xdr:nvGrpSpPr>
      <xdr:grpSpPr>
        <a:xfrm>
          <a:off x="8846820" y="1287780"/>
          <a:ext cx="6941820" cy="5303520"/>
          <a:chOff x="8846820" y="1287780"/>
          <a:chExt cx="6941820" cy="5303520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95F3DA41-4DFD-45B3-8167-891DCA1368C7}"/>
              </a:ext>
            </a:extLst>
          </xdr:cNvPr>
          <xdr:cNvGrpSpPr/>
        </xdr:nvGrpSpPr>
        <xdr:grpSpPr>
          <a:xfrm>
            <a:off x="8846820" y="1287780"/>
            <a:ext cx="6941820" cy="5303520"/>
            <a:chOff x="8846820" y="1287780"/>
            <a:chExt cx="6941820" cy="5303520"/>
          </a:xfrm>
        </xdr:grpSpPr>
        <xdr:grpSp>
          <xdr:nvGrpSpPr>
            <xdr:cNvPr id="19" name="Gruppo 18">
              <a:extLst>
                <a:ext uri="{FF2B5EF4-FFF2-40B4-BE49-F238E27FC236}">
                  <a16:creationId xmlns:a16="http://schemas.microsoft.com/office/drawing/2014/main" id="{D25FE9E0-6E39-41D0-A756-6C7FAD1336E5}"/>
                </a:ext>
              </a:extLst>
            </xdr:cNvPr>
            <xdr:cNvGrpSpPr/>
          </xdr:nvGrpSpPr>
          <xdr:grpSpPr>
            <a:xfrm>
              <a:off x="8846820" y="1287780"/>
              <a:ext cx="6941820" cy="5303520"/>
              <a:chOff x="8846820" y="1287780"/>
              <a:chExt cx="6941820" cy="5303520"/>
            </a:xfrm>
          </xdr:grpSpPr>
          <xdr:grpSp>
            <xdr:nvGrpSpPr>
              <xdr:cNvPr id="18" name="Gruppo 17">
                <a:extLst>
                  <a:ext uri="{FF2B5EF4-FFF2-40B4-BE49-F238E27FC236}">
                    <a16:creationId xmlns:a16="http://schemas.microsoft.com/office/drawing/2014/main" id="{2CA05283-5F31-4B63-8812-E61CCEB33C10}"/>
                  </a:ext>
                </a:extLst>
              </xdr:cNvPr>
              <xdr:cNvGrpSpPr/>
            </xdr:nvGrpSpPr>
            <xdr:grpSpPr>
              <a:xfrm>
                <a:off x="8846820" y="1287780"/>
                <a:ext cx="6941820" cy="5303520"/>
                <a:chOff x="8846820" y="1287780"/>
                <a:chExt cx="6941820" cy="5303520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F5082D72-C1F7-4963-A285-6EBE98D385D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8846820" y="1287780"/>
                <a:ext cx="6941820" cy="530352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" name="CasellaDiTesto 2">
                      <a:extLst>
                        <a:ext uri="{FF2B5EF4-FFF2-40B4-BE49-F238E27FC236}">
                          <a16:creationId xmlns:a16="http://schemas.microsoft.com/office/drawing/2014/main" id="{F60049A7-7A9D-42EC-BA7A-E00A5179BC56}"/>
                        </a:ext>
                      </a:extLst>
                    </xdr:cNvPr>
                    <xdr:cNvSpPr txBox="1"/>
                  </xdr:nvSpPr>
                  <xdr:spPr>
                    <a:xfrm>
                      <a:off x="12161520" y="2537460"/>
                      <a:ext cx="3017520" cy="66294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𝐵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)=</m:t>
                            </m:r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𝐾</m:t>
                                </m:r>
                              </m:num>
                              <m:den>
                                <m:d>
                                  <m:d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1+</m:t>
                                    </m:r>
                                    <m:sSup>
                                      <m:sSup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 </m:t>
                                        </m:r>
                                        <m:box>
                                          <m:box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boxPr>
                                          <m:e>
                                            <m:argPr>
                                              <m:argSz m:val="-1"/>
                                            </m:argPr>
                                            <m:f>
                                              <m:f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  <m:t>𝑡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  <m:t>0</m:t>
                                                    </m:r>
                                                  </m:sub>
                                                </m:sSub>
                                              </m:num>
                                              <m:den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𝑤</m:t>
                                                </m:r>
                                              </m:den>
                                            </m:f>
                                          </m:e>
                                        </m:box>
                                      </m:sup>
                                    </m:sSup>
                                  </m:e>
                                </m:d>
                              </m:den>
                            </m:f>
                          </m:oMath>
                        </m:oMathPara>
                      </a14:m>
                      <a:endParaRPr lang="it-IT" sz="16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3" name="CasellaDiTesto 2">
                      <a:extLst>
                        <a:ext uri="{FF2B5EF4-FFF2-40B4-BE49-F238E27FC236}">
                          <a16:creationId xmlns:a16="http://schemas.microsoft.com/office/drawing/2014/main" id="{F60049A7-7A9D-42EC-BA7A-E00A5179BC56}"/>
                        </a:ext>
                      </a:extLst>
                    </xdr:cNvPr>
                    <xdr:cNvSpPr txBox="1"/>
                  </xdr:nvSpPr>
                  <xdr:spPr>
                    <a:xfrm>
                      <a:off x="12161520" y="2537460"/>
                      <a:ext cx="3017520" cy="66294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it-IT" sz="1400" b="0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𝐵(𝑡)=𝐾/(</a:t>
                      </a:r>
                      <a:r>
                        <a:rPr lang="it-IT" sz="14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(1+𝑒^(− □(64&amp;(𝑡−𝑡_0)/𝑤)) ) )</a:t>
                      </a:r>
                      <a:endParaRPr lang="it-IT" sz="16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endParaRPr>
                    </a:p>
                  </xdr:txBody>
                </xdr:sp>
              </mc:Fallback>
            </mc:AlternateContent>
            <xdr:sp macro="" textlink="">
              <xdr:nvSpPr>
                <xdr:cNvPr id="5" name="CasellaDiTesto 4">
                  <a:extLst>
                    <a:ext uri="{FF2B5EF4-FFF2-40B4-BE49-F238E27FC236}">
                      <a16:creationId xmlns:a16="http://schemas.microsoft.com/office/drawing/2014/main" id="{580D4956-4D83-46BD-BB91-8CFB546A67AD}"/>
                    </a:ext>
                  </a:extLst>
                </xdr:cNvPr>
                <xdr:cNvSpPr txBox="1"/>
              </xdr:nvSpPr>
              <xdr:spPr>
                <a:xfrm>
                  <a:off x="13639800" y="4282440"/>
                  <a:ext cx="1828800" cy="12954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K=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139747</a:t>
                  </a:r>
                  <a:r>
                    <a:rPr lang="it-IT"/>
                    <a:t> </a:t>
                  </a:r>
                </a:p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</a:t>
                  </a:r>
                  <a:r>
                    <a:rPr lang="it-IT" sz="1100" b="0" i="1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29</a:t>
                  </a:r>
                  <a:r>
                    <a:rPr lang="it-IT"/>
                    <a:t> </a:t>
                  </a:r>
                </a:p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w=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5.839</a:t>
                  </a:r>
                  <a:r>
                    <a:rPr lang="it-IT"/>
                    <a:t> </a:t>
                  </a:r>
                </a:p>
                <a:p>
                  <a:r>
                    <a:rPr lang="it-IT" sz="1100" i="1"/>
                    <a:t>R</a:t>
                  </a:r>
                  <a:r>
                    <a:rPr lang="it-IT" sz="1100" i="1" baseline="30000"/>
                    <a:t>2</a:t>
                  </a:r>
                  <a:r>
                    <a:rPr lang="it-IT" sz="1100" baseline="0"/>
                    <a:t>= 0.9560</a:t>
                  </a:r>
                </a:p>
                <a:p>
                  <a:r>
                    <a:rPr lang="it-IT" sz="1100" i="1" baseline="0"/>
                    <a:t>CI</a:t>
                  </a:r>
                  <a:r>
                    <a:rPr lang="it-IT" sz="1100" baseline="0"/>
                    <a:t>= 997</a:t>
                  </a:r>
                </a:p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it-IT" sz="1100" i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(day</a:t>
                  </a:r>
                  <a:r>
                    <a:rPr lang="it-IT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0</a:t>
                  </a:r>
                  <a:r>
                    <a:rPr lang="it-IT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= Feb 24)</a:t>
                  </a:r>
                  <a:endParaRPr lang="it-IT">
                    <a:effectLst/>
                  </a:endParaRPr>
                </a:p>
                <a:p>
                  <a:endParaRPr lang="it-IT" sz="1100" baseline="30000"/>
                </a:p>
              </xdr:txBody>
            </xdr:sp>
          </xdr:grpSp>
          <xdr:cxnSp macro="">
            <xdr:nvCxnSpPr>
              <xdr:cNvPr id="7" name="Connettore diritto 6">
                <a:extLst>
                  <a:ext uri="{FF2B5EF4-FFF2-40B4-BE49-F238E27FC236}">
                    <a16:creationId xmlns:a16="http://schemas.microsoft.com/office/drawing/2014/main" id="{F2565D0C-65C1-4565-A4DC-96DFBF81741D}"/>
                  </a:ext>
                </a:extLst>
              </xdr:cNvPr>
              <xdr:cNvCxnSpPr/>
            </xdr:nvCxnSpPr>
            <xdr:spPr>
              <a:xfrm flipV="1">
                <a:off x="9265920" y="2537460"/>
                <a:ext cx="3048000" cy="762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" name="CasellaDiTesto 7">
                  <a:extLst>
                    <a:ext uri="{FF2B5EF4-FFF2-40B4-BE49-F238E27FC236}">
                      <a16:creationId xmlns:a16="http://schemas.microsoft.com/office/drawing/2014/main" id="{9A75C98C-EBF5-4DF2-A100-86430DA8BE86}"/>
                    </a:ext>
                  </a:extLst>
                </xdr:cNvPr>
                <xdr:cNvSpPr txBox="1"/>
              </xdr:nvSpPr>
              <xdr:spPr>
                <a:xfrm>
                  <a:off x="12580620" y="3284220"/>
                  <a:ext cx="2679131" cy="548099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 algn="l"/>
                  <a:endParaRPr lang="it-IT" sz="1100" b="0" i="1">
                    <a:latin typeface="Cambria Math" panose="02040503050406030204" pitchFamily="18" charset="0"/>
                  </a:endParaRPr>
                </a:p>
                <a:p>
                  <a:pPr marL="0" indent="0"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</m:d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=0,  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𝐵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+1</m:t>
                            </m:r>
                          </m:e>
                        </m:d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𝐵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e>
                        </m:d>
                      </m:oMath>
                    </m:oMathPara>
                  </a14:m>
                  <a:endParaRPr lang="it-IT" sz="14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endParaRPr lang="it-IT" sz="1100"/>
                </a:p>
              </xdr:txBody>
            </xdr:sp>
          </mc:Choice>
          <mc:Fallback xmlns="">
            <xdr:sp macro="" textlink="">
              <xdr:nvSpPr>
                <xdr:cNvPr id="8" name="CasellaDiTesto 7">
                  <a:extLst>
                    <a:ext uri="{FF2B5EF4-FFF2-40B4-BE49-F238E27FC236}">
                      <a16:creationId xmlns:a16="http://schemas.microsoft.com/office/drawing/2014/main" id="{9A75C98C-EBF5-4DF2-A100-86430DA8BE86}"/>
                    </a:ext>
                  </a:extLst>
                </xdr:cNvPr>
                <xdr:cNvSpPr txBox="1"/>
              </xdr:nvSpPr>
              <xdr:spPr>
                <a:xfrm>
                  <a:off x="12580620" y="3284220"/>
                  <a:ext cx="2679131" cy="548099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 algn="l"/>
                  <a:endParaRPr lang="it-IT" sz="1100" b="0" i="1">
                    <a:latin typeface="Cambria Math" panose="02040503050406030204" pitchFamily="18" charset="0"/>
                  </a:endParaRPr>
                </a:p>
                <a:p>
                  <a:pPr marL="0" indent="0" algn="l"/>
                  <a:r>
                    <a:rPr lang="it-IT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𝑦(0)=0,  𝑦=𝐵(𝑡+1)−𝐵(𝑡)</a:t>
                  </a:r>
                  <a:endParaRPr lang="it-IT" sz="14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endParaRPr lang="it-IT" sz="1100"/>
                </a:p>
              </xdr:txBody>
            </xdr:sp>
          </mc:Fallback>
        </mc:AlternateContent>
      </xdr:grp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F5A9E7AE-FCC6-486F-BCA8-67CE5DF76905}"/>
              </a:ext>
            </a:extLst>
          </xdr:cNvPr>
          <xdr:cNvCxnSpPr/>
        </xdr:nvCxnSpPr>
        <xdr:spPr>
          <a:xfrm flipH="1">
            <a:off x="12923520" y="3832860"/>
            <a:ext cx="998220" cy="8229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0.2082</cdr:x>
      <cdr:y>0.16331</cdr:y>
    </cdr:from>
    <cdr:to>
      <cdr:x>0.27703</cdr:x>
      <cdr:y>0.21598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5287" y="866141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5287" y="866141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C1506BEB-F6BF-46BC-B8CE-3B8706980FA9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83117-8D4F-492A-819B-7F8BC7527DF9}" name="dpc_covid19_ita_andamento_nazionale__7" displayName="dpc_covid19_ita_andamento_nazionale__7" ref="A1:N35" tableType="queryTable" totalsRowShown="0">
  <autoFilter ref="A1:N35" xr:uid="{635A0628-3E32-4308-969D-DA82DF01A72C}"/>
  <tableColumns count="14">
    <tableColumn id="1" xr3:uid="{8E3BCBDE-3E9F-449A-A359-8807E509E5FB}" uniqueName="1" name="data" queryTableFieldId="1" dataDxfId="3"/>
    <tableColumn id="2" xr3:uid="{32B5CCB9-7CDF-41E9-98D0-E894DCB8F034}" uniqueName="2" name="stato" queryTableFieldId="2" dataDxfId="2"/>
    <tableColumn id="3" xr3:uid="{EDD977C5-06AD-4531-B107-2C56014C177C}" uniqueName="3" name="ricoverati_con_sintomi" queryTableFieldId="3"/>
    <tableColumn id="4" xr3:uid="{8ADF31C4-BFB2-4863-90BB-909B6B8E4C3C}" uniqueName="4" name="terapia_intensiva" queryTableFieldId="4"/>
    <tableColumn id="5" xr3:uid="{C6020E51-907B-4FB5-BFF9-FC7AC3DBCCED}" uniqueName="5" name="totale_ospedalizzati" queryTableFieldId="5"/>
    <tableColumn id="6" xr3:uid="{2494D2D2-59CE-406C-BD3E-B01F52FCDD26}" uniqueName="6" name="isolamento_domiciliare" queryTableFieldId="6"/>
    <tableColumn id="7" xr3:uid="{92B1BB43-C32C-4106-AEC6-CBF9CAAB4594}" uniqueName="7" name="totale_attualmente_positivi" queryTableFieldId="7"/>
    <tableColumn id="8" xr3:uid="{6109AC91-9878-4C07-B47E-DB6B945A678A}" uniqueName="8" name="nuovi_attualmente_positivi" queryTableFieldId="8"/>
    <tableColumn id="9" xr3:uid="{1355997B-D430-4698-8A4A-7836DA7C4AE3}" uniqueName="9" name="dimessi_guariti" queryTableFieldId="9"/>
    <tableColumn id="10" xr3:uid="{0625F684-0C76-4F1F-804E-17915FB42C4A}" uniqueName="10" name="deceduti" queryTableFieldId="10"/>
    <tableColumn id="11" xr3:uid="{AA1BDAC9-8EE4-4FD8-ADB6-90EF13C5E944}" uniqueName="11" name="totale_casi" queryTableFieldId="11"/>
    <tableColumn id="12" xr3:uid="{63B848AE-9329-425D-8D95-6C03A73DA547}" uniqueName="12" name="tamponi" queryTableFieldId="12"/>
    <tableColumn id="13" xr3:uid="{989EC54C-03F3-431F-92A1-AB9B05F03F64}" uniqueName="13" name="note_it" queryTableFieldId="13" dataDxfId="1"/>
    <tableColumn id="14" xr3:uid="{4E88894E-3B65-4BF9-87DF-2F4752A7076D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N35"/>
  <sheetViews>
    <sheetView workbookViewId="0">
      <selection activeCell="A35" sqref="A35:XFD35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37</v>
      </c>
      <c r="N1" t="s">
        <v>38</v>
      </c>
    </row>
    <row r="2" spans="1:14" x14ac:dyDescent="0.3">
      <c r="A2" s="19">
        <v>43885.75</v>
      </c>
      <c r="B2" s="18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8" t="s">
        <v>39</v>
      </c>
      <c r="N2" s="18" t="s">
        <v>39</v>
      </c>
    </row>
    <row r="3" spans="1:14" x14ac:dyDescent="0.3">
      <c r="A3" s="19">
        <v>43886.75</v>
      </c>
      <c r="B3" s="18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8" t="s">
        <v>39</v>
      </c>
      <c r="N3" s="18" t="s">
        <v>39</v>
      </c>
    </row>
    <row r="4" spans="1:14" x14ac:dyDescent="0.3">
      <c r="A4" s="19">
        <v>43887.75</v>
      </c>
      <c r="B4" s="18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8" t="s">
        <v>39</v>
      </c>
      <c r="N4" s="18" t="s">
        <v>39</v>
      </c>
    </row>
    <row r="5" spans="1:14" x14ac:dyDescent="0.3">
      <c r="A5" s="19">
        <v>43888.75</v>
      </c>
      <c r="B5" s="18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8" t="s">
        <v>39</v>
      </c>
      <c r="N5" s="18" t="s">
        <v>39</v>
      </c>
    </row>
    <row r="6" spans="1:14" x14ac:dyDescent="0.3">
      <c r="A6" s="19">
        <v>43889.75</v>
      </c>
      <c r="B6" s="18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8" t="s">
        <v>39</v>
      </c>
      <c r="N6" s="18" t="s">
        <v>39</v>
      </c>
    </row>
    <row r="7" spans="1:14" x14ac:dyDescent="0.3">
      <c r="A7" s="19">
        <v>43890.75</v>
      </c>
      <c r="B7" s="18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8" t="s">
        <v>39</v>
      </c>
      <c r="N7" s="18" t="s">
        <v>39</v>
      </c>
    </row>
    <row r="8" spans="1:14" x14ac:dyDescent="0.3">
      <c r="A8" s="19">
        <v>43891.75</v>
      </c>
      <c r="B8" s="18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8" t="s">
        <v>39</v>
      </c>
      <c r="N8" s="18" t="s">
        <v>39</v>
      </c>
    </row>
    <row r="9" spans="1:14" x14ac:dyDescent="0.3">
      <c r="A9" s="19">
        <v>43892.75</v>
      </c>
      <c r="B9" s="18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8" t="s">
        <v>39</v>
      </c>
      <c r="N9" s="18" t="s">
        <v>39</v>
      </c>
    </row>
    <row r="10" spans="1:14" x14ac:dyDescent="0.3">
      <c r="A10" s="19">
        <v>43893.75</v>
      </c>
      <c r="B10" s="18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8" t="s">
        <v>39</v>
      </c>
      <c r="N10" s="18" t="s">
        <v>39</v>
      </c>
    </row>
    <row r="11" spans="1:14" x14ac:dyDescent="0.3">
      <c r="A11" s="19">
        <v>43894.75</v>
      </c>
      <c r="B11" s="18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8" t="s">
        <v>39</v>
      </c>
      <c r="N11" s="18" t="s">
        <v>39</v>
      </c>
    </row>
    <row r="12" spans="1:14" x14ac:dyDescent="0.3">
      <c r="A12" s="19">
        <v>43895.75</v>
      </c>
      <c r="B12" s="18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8" t="s">
        <v>39</v>
      </c>
      <c r="N12" s="18" t="s">
        <v>39</v>
      </c>
    </row>
    <row r="13" spans="1:14" x14ac:dyDescent="0.3">
      <c r="A13" s="19">
        <v>43896.75</v>
      </c>
      <c r="B13" s="18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8" t="s">
        <v>39</v>
      </c>
      <c r="N13" s="18" t="s">
        <v>39</v>
      </c>
    </row>
    <row r="14" spans="1:14" x14ac:dyDescent="0.3">
      <c r="A14" s="19">
        <v>43897.75</v>
      </c>
      <c r="B14" s="18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8" t="s">
        <v>40</v>
      </c>
      <c r="N14" s="18" t="s">
        <v>41</v>
      </c>
    </row>
    <row r="15" spans="1:14" x14ac:dyDescent="0.3">
      <c r="A15" s="19">
        <v>43898.75</v>
      </c>
      <c r="B15" s="18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8" t="s">
        <v>39</v>
      </c>
      <c r="N15" s="18" t="s">
        <v>39</v>
      </c>
    </row>
    <row r="16" spans="1:14" x14ac:dyDescent="0.3">
      <c r="A16" s="19">
        <v>43899.75</v>
      </c>
      <c r="B16" s="18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8" t="s">
        <v>39</v>
      </c>
      <c r="N16" s="18" t="s">
        <v>39</v>
      </c>
    </row>
    <row r="17" spans="1:14" x14ac:dyDescent="0.3">
      <c r="A17" s="19">
        <v>43900.75</v>
      </c>
      <c r="B17" s="18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8" t="s">
        <v>42</v>
      </c>
      <c r="N17" s="18" t="s">
        <v>43</v>
      </c>
    </row>
    <row r="18" spans="1:14" x14ac:dyDescent="0.3">
      <c r="A18" s="19">
        <v>43901.708333333336</v>
      </c>
      <c r="B18" s="18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8" t="s">
        <v>44</v>
      </c>
      <c r="N18" s="18" t="s">
        <v>45</v>
      </c>
    </row>
    <row r="19" spans="1:14" x14ac:dyDescent="0.3">
      <c r="A19" s="19">
        <v>43902.708333333336</v>
      </c>
      <c r="B19" s="18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8" t="s">
        <v>39</v>
      </c>
      <c r="N19" s="18" t="s">
        <v>39</v>
      </c>
    </row>
    <row r="20" spans="1:14" x14ac:dyDescent="0.3">
      <c r="A20" s="19">
        <v>43903.708333333336</v>
      </c>
      <c r="B20" s="18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8" t="s">
        <v>39</v>
      </c>
      <c r="N20" s="18" t="s">
        <v>39</v>
      </c>
    </row>
    <row r="21" spans="1:14" x14ac:dyDescent="0.3">
      <c r="A21" s="19">
        <v>43904.708333333336</v>
      </c>
      <c r="B21" s="18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8" t="s">
        <v>39</v>
      </c>
      <c r="N21" s="18" t="s">
        <v>39</v>
      </c>
    </row>
    <row r="22" spans="1:14" x14ac:dyDescent="0.3">
      <c r="A22" s="19">
        <v>43905.708333333336</v>
      </c>
      <c r="B22" s="18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8" t="s">
        <v>39</v>
      </c>
      <c r="N22" s="18" t="s">
        <v>39</v>
      </c>
    </row>
    <row r="23" spans="1:14" x14ac:dyDescent="0.3">
      <c r="A23" s="19">
        <v>43906.708333333336</v>
      </c>
      <c r="B23" s="18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8" t="s">
        <v>46</v>
      </c>
      <c r="N23" s="18" t="s">
        <v>47</v>
      </c>
    </row>
    <row r="24" spans="1:14" x14ac:dyDescent="0.3">
      <c r="A24" s="19">
        <v>43907.708333333336</v>
      </c>
      <c r="B24" s="18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8" t="s">
        <v>48</v>
      </c>
      <c r="N24" s="18" t="s">
        <v>49</v>
      </c>
    </row>
    <row r="25" spans="1:14" x14ac:dyDescent="0.3">
      <c r="A25" s="19">
        <v>43908.708333333336</v>
      </c>
      <c r="B25" s="18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8" t="s">
        <v>50</v>
      </c>
      <c r="N25" s="18" t="s">
        <v>51</v>
      </c>
    </row>
    <row r="26" spans="1:14" x14ac:dyDescent="0.3">
      <c r="A26" s="19">
        <v>43909.708333333336</v>
      </c>
      <c r="B26" s="18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8" t="s">
        <v>39</v>
      </c>
      <c r="N26" s="18" t="s">
        <v>39</v>
      </c>
    </row>
    <row r="27" spans="1:14" x14ac:dyDescent="0.3">
      <c r="A27" s="19">
        <v>43910.708333333336</v>
      </c>
      <c r="B27" s="18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8" t="s">
        <v>39</v>
      </c>
      <c r="N27" s="18" t="s">
        <v>39</v>
      </c>
    </row>
    <row r="28" spans="1:14" x14ac:dyDescent="0.3">
      <c r="A28" s="19">
        <v>43911.708333333336</v>
      </c>
      <c r="B28" s="18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8" t="s">
        <v>39</v>
      </c>
      <c r="N28" s="18" t="s">
        <v>39</v>
      </c>
    </row>
    <row r="29" spans="1:14" x14ac:dyDescent="0.3">
      <c r="A29" s="19">
        <v>43912.708333333336</v>
      </c>
      <c r="B29" s="18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8" t="s">
        <v>39</v>
      </c>
      <c r="N29" s="18" t="s">
        <v>39</v>
      </c>
    </row>
    <row r="30" spans="1:14" x14ac:dyDescent="0.3">
      <c r="A30" s="19">
        <v>43913.708333333336</v>
      </c>
      <c r="B30" s="18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8" t="s">
        <v>39</v>
      </c>
      <c r="N30" s="18" t="s">
        <v>39</v>
      </c>
    </row>
    <row r="31" spans="1:14" x14ac:dyDescent="0.3">
      <c r="A31" s="19">
        <v>43914.708333333336</v>
      </c>
      <c r="B31" s="18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8" t="s">
        <v>39</v>
      </c>
      <c r="N31" s="18" t="s">
        <v>39</v>
      </c>
    </row>
    <row r="32" spans="1:14" x14ac:dyDescent="0.3">
      <c r="A32" s="19">
        <v>43915.708333333336</v>
      </c>
      <c r="B32" s="18" t="s">
        <v>30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8" t="s">
        <v>39</v>
      </c>
      <c r="N32" s="18" t="s">
        <v>39</v>
      </c>
    </row>
    <row r="33" spans="1:14" x14ac:dyDescent="0.3">
      <c r="A33" s="19">
        <v>43916.708333333336</v>
      </c>
      <c r="B33" s="18" t="s">
        <v>30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8" t="s">
        <v>52</v>
      </c>
      <c r="N33" s="18" t="s">
        <v>53</v>
      </c>
    </row>
    <row r="34" spans="1:14" x14ac:dyDescent="0.3">
      <c r="A34" s="19">
        <v>43917.708333333336</v>
      </c>
      <c r="B34" s="18" t="s">
        <v>30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10950</v>
      </c>
      <c r="J34" s="2">
        <v>9134</v>
      </c>
      <c r="K34" s="2">
        <v>86498</v>
      </c>
      <c r="L34" s="2">
        <v>394079</v>
      </c>
      <c r="M34" s="18" t="s">
        <v>39</v>
      </c>
      <c r="N34" s="18" t="s">
        <v>39</v>
      </c>
    </row>
    <row r="35" spans="1:14" x14ac:dyDescent="0.3">
      <c r="A35" s="19">
        <v>43918.708333333336</v>
      </c>
      <c r="B35" s="18" t="s">
        <v>30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12384</v>
      </c>
      <c r="J35" s="2">
        <v>10023</v>
      </c>
      <c r="K35" s="2">
        <v>92472</v>
      </c>
      <c r="L35" s="2">
        <v>429526</v>
      </c>
      <c r="M35" s="18" t="s">
        <v>39</v>
      </c>
      <c r="N35" s="1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68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0.88671875" style="2" bestFit="1" customWidth="1"/>
    <col min="9" max="9" width="15.44140625" style="2" customWidth="1"/>
    <col min="10" max="10" width="11.33203125" style="2" customWidth="1"/>
    <col min="11" max="11" width="11.109375" style="2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2" t="s">
        <v>13</v>
      </c>
    </row>
    <row r="3" spans="2:18" ht="17.399999999999999" customHeight="1" x14ac:dyDescent="0.6">
      <c r="B3" s="13"/>
      <c r="C3" s="14"/>
      <c r="D3" s="14"/>
      <c r="E3" s="14"/>
      <c r="F3" s="14"/>
      <c r="H3" s="14"/>
      <c r="I3" s="14"/>
      <c r="J3" s="14"/>
      <c r="O3" s="21" t="s">
        <v>0</v>
      </c>
      <c r="P3" s="20" t="s">
        <v>15</v>
      </c>
      <c r="Q3" s="17"/>
      <c r="R3" s="17"/>
    </row>
    <row r="4" spans="2:18" ht="20.399999999999999" x14ac:dyDescent="0.35">
      <c r="B4" s="16" t="s">
        <v>31</v>
      </c>
      <c r="C4" s="15"/>
      <c r="D4" s="14"/>
      <c r="E4" s="14"/>
      <c r="F4" s="14"/>
      <c r="H4" s="14"/>
      <c r="I4" s="14"/>
      <c r="J4" s="14"/>
      <c r="O4" s="21" t="s">
        <v>32</v>
      </c>
      <c r="P4" s="20" t="s">
        <v>16</v>
      </c>
      <c r="Q4" s="17"/>
      <c r="R4" s="17"/>
    </row>
    <row r="5" spans="2:18" ht="18" x14ac:dyDescent="0.3">
      <c r="B5" s="14"/>
      <c r="C5" s="14"/>
      <c r="D5" s="14"/>
      <c r="E5" s="14"/>
      <c r="F5" s="14"/>
      <c r="H5" s="14"/>
      <c r="I5" s="14"/>
      <c r="J5" s="14"/>
      <c r="O5" s="21" t="s">
        <v>1</v>
      </c>
      <c r="P5" s="20" t="s">
        <v>17</v>
      </c>
      <c r="Q5" s="17"/>
      <c r="R5" s="17"/>
    </row>
    <row r="6" spans="2:18" x14ac:dyDescent="0.3">
      <c r="B6" s="4" t="s">
        <v>10</v>
      </c>
      <c r="C6" s="4" t="s">
        <v>11</v>
      </c>
      <c r="D6" s="4" t="s">
        <v>12</v>
      </c>
      <c r="E6" s="9" t="s">
        <v>55</v>
      </c>
      <c r="F6" s="9" t="s">
        <v>57</v>
      </c>
      <c r="G6" s="9" t="s">
        <v>58</v>
      </c>
      <c r="H6" s="4" t="s">
        <v>54</v>
      </c>
      <c r="I6" s="9" t="s">
        <v>56</v>
      </c>
      <c r="J6" s="9" t="s">
        <v>59</v>
      </c>
      <c r="K6" s="9" t="s">
        <v>60</v>
      </c>
      <c r="L6" s="9"/>
      <c r="M6" s="24" t="s">
        <v>61</v>
      </c>
      <c r="N6" s="3"/>
      <c r="O6" s="3"/>
    </row>
    <row r="7" spans="2:18" x14ac:dyDescent="0.3">
      <c r="B7" s="23">
        <v>43885</v>
      </c>
      <c r="C7" s="4">
        <v>1</v>
      </c>
      <c r="D7" s="11">
        <f>'dpc-covid19-ita-andamento-naz'!K2</f>
        <v>229</v>
      </c>
      <c r="E7" s="11">
        <f>K/(1+EXP(-($C7-t0)/w))</f>
        <v>600.99574635888894</v>
      </c>
      <c r="F7" s="11">
        <f t="shared" ref="F7:F29" si="0">E7+CI</f>
        <v>2795.0636796637737</v>
      </c>
      <c r="G7" s="11">
        <f t="shared" ref="G7:G33" si="1">MAX(E7-CI,0)</f>
        <v>0</v>
      </c>
      <c r="H7" s="11">
        <f>'dpc-covid19-ita-andamento-naz'!E2</f>
        <v>127</v>
      </c>
      <c r="I7" s="11">
        <f>Kh/(1+EXP(-($C7-t0h)/wh))</f>
        <v>533.37122696202232</v>
      </c>
      <c r="J7" s="11">
        <f t="shared" ref="J7:J40" si="2">I7+CI</f>
        <v>2727.439160266907</v>
      </c>
      <c r="K7" s="11">
        <f t="shared" ref="K7:K40" si="3">MAX(I7-CI,0)</f>
        <v>0</v>
      </c>
      <c r="L7" s="1"/>
      <c r="M7" s="22" t="s">
        <v>0</v>
      </c>
      <c r="N7" s="5">
        <v>119999</v>
      </c>
    </row>
    <row r="8" spans="2:18" ht="15.6" x14ac:dyDescent="0.35">
      <c r="B8" s="10">
        <v>43886</v>
      </c>
      <c r="C8" s="4">
        <v>2</v>
      </c>
      <c r="D8" s="11">
        <f>'dpc-covid19-ita-andamento-naz'!K3</f>
        <v>322</v>
      </c>
      <c r="E8" s="11">
        <f>K/(1+EXP(-($C8-t0)/w))</f>
        <v>730.32554042194533</v>
      </c>
      <c r="F8" s="11">
        <f t="shared" si="0"/>
        <v>2924.3934737268301</v>
      </c>
      <c r="G8" s="11">
        <f t="shared" si="1"/>
        <v>0</v>
      </c>
      <c r="H8" s="11">
        <f>'dpc-covid19-ita-andamento-naz'!E3</f>
        <v>150</v>
      </c>
      <c r="I8" s="11">
        <f>Kh/(1+EXP(-($C8-t0h)/wh))</f>
        <v>627.88573265450896</v>
      </c>
      <c r="J8" s="11">
        <f t="shared" si="2"/>
        <v>2821.9536659593937</v>
      </c>
      <c r="K8" s="11">
        <f t="shared" si="3"/>
        <v>0</v>
      </c>
      <c r="L8" s="1"/>
      <c r="M8" s="22" t="s">
        <v>33</v>
      </c>
      <c r="N8" s="5">
        <v>28</v>
      </c>
    </row>
    <row r="9" spans="2:18" x14ac:dyDescent="0.3">
      <c r="B9" s="10">
        <v>43887</v>
      </c>
      <c r="C9" s="4">
        <v>3</v>
      </c>
      <c r="D9" s="11">
        <f>'dpc-covid19-ita-andamento-naz'!K4</f>
        <v>400</v>
      </c>
      <c r="E9" s="11">
        <f>K/(1+EXP(-($C9-t0)/w))</f>
        <v>887.27932148506738</v>
      </c>
      <c r="F9" s="11">
        <f t="shared" si="0"/>
        <v>3081.3472547899519</v>
      </c>
      <c r="G9" s="11">
        <f t="shared" si="1"/>
        <v>0</v>
      </c>
      <c r="H9" s="11">
        <f>'dpc-covid19-ita-andamento-naz'!E4</f>
        <v>164</v>
      </c>
      <c r="I9" s="11">
        <f>Kh/(1+EXP(-($C9-t0h)/wh))</f>
        <v>738.83487393362429</v>
      </c>
      <c r="J9" s="11">
        <f t="shared" si="2"/>
        <v>2932.902807238509</v>
      </c>
      <c r="K9" s="11">
        <f t="shared" si="3"/>
        <v>0</v>
      </c>
      <c r="L9" s="1"/>
      <c r="M9" s="22" t="s">
        <v>1</v>
      </c>
      <c r="N9" s="25">
        <v>5.1023976485307996</v>
      </c>
    </row>
    <row r="10" spans="2:18" x14ac:dyDescent="0.3">
      <c r="B10" s="10">
        <v>43888</v>
      </c>
      <c r="C10" s="4">
        <v>4</v>
      </c>
      <c r="D10" s="11">
        <f>'dpc-covid19-ita-andamento-naz'!K5</f>
        <v>650</v>
      </c>
      <c r="E10" s="11">
        <f>K/(1+EXP(-($C10-t0)/w))</f>
        <v>1077.6591593592484</v>
      </c>
      <c r="F10" s="11">
        <f t="shared" si="0"/>
        <v>3271.7270926641331</v>
      </c>
      <c r="G10" s="11">
        <f t="shared" si="1"/>
        <v>0</v>
      </c>
      <c r="H10" s="11">
        <f>'dpc-covid19-ita-andamento-naz'!E5</f>
        <v>304</v>
      </c>
      <c r="I10" s="11">
        <f>Kh/(1+EXP(-($C10-t0h)/wh))</f>
        <v>868.95634494166916</v>
      </c>
      <c r="J10" s="11">
        <f t="shared" si="2"/>
        <v>3063.0242782465539</v>
      </c>
      <c r="K10" s="11">
        <f t="shared" si="3"/>
        <v>0</v>
      </c>
      <c r="L10" s="1"/>
      <c r="M10" s="6" t="s">
        <v>2</v>
      </c>
      <c r="N10" s="1">
        <f>AVERAGE(D7:D40)</f>
        <v>26709.382352941175</v>
      </c>
    </row>
    <row r="11" spans="2:18" x14ac:dyDescent="0.3">
      <c r="B11" s="10">
        <v>43889</v>
      </c>
      <c r="C11" s="4">
        <v>5</v>
      </c>
      <c r="D11" s="11">
        <f>'dpc-covid19-ita-andamento-naz'!K6</f>
        <v>888</v>
      </c>
      <c r="E11" s="11">
        <f>K/(1+EXP(-($C11-t0)/w))</f>
        <v>1308.4392827605252</v>
      </c>
      <c r="F11" s="11">
        <f t="shared" si="0"/>
        <v>3502.5072160654099</v>
      </c>
      <c r="G11" s="11">
        <f t="shared" si="1"/>
        <v>0</v>
      </c>
      <c r="H11" s="11">
        <f>'dpc-covid19-ita-andamento-naz'!E6</f>
        <v>409</v>
      </c>
      <c r="I11" s="11">
        <f>Kh/(1+EXP(-($C11-t0h)/wh))</f>
        <v>1021.3982478725136</v>
      </c>
      <c r="J11" s="11">
        <f t="shared" si="2"/>
        <v>3215.4661811773985</v>
      </c>
      <c r="K11" s="11">
        <f t="shared" si="3"/>
        <v>0</v>
      </c>
      <c r="L11" s="1"/>
      <c r="M11" s="6" t="s">
        <v>3</v>
      </c>
      <c r="N11" s="1">
        <f>COUNT(D7:D40)-COUNT(N7:N9)</f>
        <v>31</v>
      </c>
    </row>
    <row r="12" spans="2:18" x14ac:dyDescent="0.3">
      <c r="B12" s="10">
        <v>43890</v>
      </c>
      <c r="C12" s="4">
        <v>6</v>
      </c>
      <c r="D12" s="11">
        <f>'dpc-covid19-ita-andamento-naz'!K7</f>
        <v>1128</v>
      </c>
      <c r="E12" s="11">
        <f>K/(1+EXP(-($C12-t0)/w))</f>
        <v>1587.9809096496258</v>
      </c>
      <c r="F12" s="11">
        <f t="shared" si="0"/>
        <v>3782.0488429545103</v>
      </c>
      <c r="G12" s="11">
        <f t="shared" si="1"/>
        <v>0</v>
      </c>
      <c r="H12" s="11">
        <f>'dpc-covid19-ita-andamento-naz'!E7</f>
        <v>506</v>
      </c>
      <c r="I12" s="11">
        <f>Kh/(1+EXP(-($C12-t0h)/wh))</f>
        <v>1199.7632448926088</v>
      </c>
      <c r="J12" s="11">
        <f t="shared" si="2"/>
        <v>3393.8311781974935</v>
      </c>
      <c r="K12" s="11">
        <f t="shared" si="3"/>
        <v>0</v>
      </c>
      <c r="L12" s="1"/>
      <c r="M12" s="6" t="s">
        <v>4</v>
      </c>
      <c r="N12" s="7" cm="1">
        <f t="array" ref="N12">SQRT(SUM((D7:D40-E7:E40)^2)/df)</f>
        <v>1075.7800774403115</v>
      </c>
    </row>
    <row r="13" spans="2:18" ht="16.2" x14ac:dyDescent="0.3">
      <c r="B13" s="23">
        <v>43891</v>
      </c>
      <c r="C13" s="4">
        <v>7</v>
      </c>
      <c r="D13" s="11">
        <f>'dpc-covid19-ita-andamento-naz'!K8</f>
        <v>1694</v>
      </c>
      <c r="E13" s="11">
        <f>K/(1+EXP(-($C13-t0)/w))</f>
        <v>1926.2759690598643</v>
      </c>
      <c r="F13" s="11">
        <f t="shared" si="0"/>
        <v>4120.3439023647488</v>
      </c>
      <c r="G13" s="11">
        <f t="shared" si="1"/>
        <v>0</v>
      </c>
      <c r="H13" s="11">
        <f>'dpc-covid19-ita-andamento-naz'!E8</f>
        <v>779</v>
      </c>
      <c r="I13" s="11">
        <f>Kh/(1+EXP(-($C13-t0h)/wh))</f>
        <v>1408.150565937887</v>
      </c>
      <c r="J13" s="11">
        <f t="shared" si="2"/>
        <v>3602.2184992427719</v>
      </c>
      <c r="K13" s="11">
        <f t="shared" si="3"/>
        <v>0</v>
      </c>
      <c r="L13" s="1"/>
      <c r="M13" s="6" t="s">
        <v>5</v>
      </c>
      <c r="N13" s="8" cm="1">
        <f t="array" ref="N13">1-SUM((D7:D40-E7:E40)^2)/SUM((D7:D40-Mean_of_y)^2)</f>
        <v>0.99872220877784301</v>
      </c>
    </row>
    <row r="14" spans="2:18" x14ac:dyDescent="0.3">
      <c r="B14" s="10">
        <v>43892</v>
      </c>
      <c r="C14" s="4">
        <v>8</v>
      </c>
      <c r="D14" s="11">
        <f>'dpc-covid19-ita-andamento-naz'!K9</f>
        <v>2036</v>
      </c>
      <c r="E14" s="11">
        <f>K/(1+EXP(-($C14-t0)/w))</f>
        <v>2335.2183340381639</v>
      </c>
      <c r="F14" s="11">
        <f t="shared" si="0"/>
        <v>4529.2862673430482</v>
      </c>
      <c r="G14" s="11">
        <f t="shared" si="1"/>
        <v>141.15040073327918</v>
      </c>
      <c r="H14" s="11">
        <f>'dpc-covid19-ita-andamento-naz'!E9</f>
        <v>908</v>
      </c>
      <c r="I14" s="11">
        <f>Kh/(1+EXP(-($C14-t0h)/wh))</f>
        <v>1651.1924398855988</v>
      </c>
      <c r="J14" s="11">
        <f t="shared" si="2"/>
        <v>3845.2603731904837</v>
      </c>
      <c r="K14" s="11">
        <f t="shared" si="3"/>
        <v>0</v>
      </c>
      <c r="L14" s="1"/>
      <c r="M14" s="6" t="s">
        <v>6</v>
      </c>
      <c r="N14" s="8">
        <f>TINV(0.05,df)</f>
        <v>2.0395134463964082</v>
      </c>
    </row>
    <row r="15" spans="2:18" x14ac:dyDescent="0.3">
      <c r="B15" s="10">
        <v>43893</v>
      </c>
      <c r="C15" s="4">
        <v>9</v>
      </c>
      <c r="D15" s="11">
        <f>'dpc-covid19-ita-andamento-naz'!K10</f>
        <v>2502</v>
      </c>
      <c r="E15" s="11">
        <f>K/(1+EXP(-($C15-t0)/w))</f>
        <v>2828.8978362619314</v>
      </c>
      <c r="F15" s="11">
        <f t="shared" si="0"/>
        <v>5022.9657695668157</v>
      </c>
      <c r="G15" s="11">
        <f t="shared" si="1"/>
        <v>634.82990295704667</v>
      </c>
      <c r="H15" s="11">
        <f>'dpc-covid19-ita-andamento-naz'!E10</f>
        <v>1263</v>
      </c>
      <c r="I15" s="11">
        <f>Kh/(1+EXP(-($C15-t0h)/wh))</f>
        <v>1934.0802061836068</v>
      </c>
      <c r="J15" s="11">
        <f t="shared" si="2"/>
        <v>4128.1481394884913</v>
      </c>
      <c r="K15" s="11">
        <f t="shared" si="3"/>
        <v>0</v>
      </c>
      <c r="L15" s="1"/>
      <c r="M15" s="6" t="s">
        <v>7</v>
      </c>
      <c r="N15" s="1">
        <f>Critical_t*SE_of_y</f>
        <v>2194.0679333048847</v>
      </c>
    </row>
    <row r="16" spans="2:18" x14ac:dyDescent="0.3">
      <c r="B16" s="10">
        <v>43894</v>
      </c>
      <c r="C16" s="4">
        <v>10</v>
      </c>
      <c r="D16" s="11">
        <f>'dpc-covid19-ita-andamento-naz'!K11</f>
        <v>3089</v>
      </c>
      <c r="E16" s="11">
        <f>K/(1+EXP(-($C16-t0)/w))</f>
        <v>3423.9072384875294</v>
      </c>
      <c r="F16" s="11">
        <f t="shared" si="0"/>
        <v>5617.9751717924137</v>
      </c>
      <c r="G16" s="11">
        <f t="shared" si="1"/>
        <v>1229.8393051826447</v>
      </c>
      <c r="H16" s="11">
        <f>'dpc-covid19-ita-andamento-naz'!E11</f>
        <v>1641</v>
      </c>
      <c r="I16" s="11">
        <f>Kh/(1+EXP(-($C16-t0h)/wh))</f>
        <v>2262.5737994534838</v>
      </c>
      <c r="J16" s="11">
        <f t="shared" si="2"/>
        <v>4456.6417327583686</v>
      </c>
      <c r="K16" s="11">
        <f t="shared" si="3"/>
        <v>68.505866148599125</v>
      </c>
      <c r="L16" s="1"/>
      <c r="M16" s="6"/>
    </row>
    <row r="17" spans="2:17" x14ac:dyDescent="0.3">
      <c r="B17" s="23">
        <v>43895</v>
      </c>
      <c r="C17" s="4">
        <v>11</v>
      </c>
      <c r="D17" s="11">
        <f>'dpc-covid19-ita-andamento-naz'!K12</f>
        <v>3858</v>
      </c>
      <c r="E17" s="11">
        <f>K/(1+EXP(-($C17-t0)/w))</f>
        <v>4139.644936230472</v>
      </c>
      <c r="F17" s="11">
        <f t="shared" si="0"/>
        <v>6333.7128695353567</v>
      </c>
      <c r="G17" s="11">
        <f t="shared" si="1"/>
        <v>1945.5770029255873</v>
      </c>
      <c r="H17" s="11">
        <f>'dpc-covid19-ita-andamento-naz'!E12</f>
        <v>2141</v>
      </c>
      <c r="I17" s="11">
        <f>Kh/(1+EXP(-($C17-t0h)/wh))</f>
        <v>2642.9865362883647</v>
      </c>
      <c r="J17" s="11">
        <f t="shared" si="2"/>
        <v>4837.0544695932495</v>
      </c>
      <c r="K17" s="11">
        <f t="shared" si="3"/>
        <v>448.91860298348001</v>
      </c>
      <c r="L17" s="1"/>
      <c r="M17" s="24" t="s">
        <v>54</v>
      </c>
      <c r="N17" s="3"/>
    </row>
    <row r="18" spans="2:17" x14ac:dyDescent="0.3">
      <c r="B18" s="10">
        <v>43896</v>
      </c>
      <c r="C18" s="4">
        <v>12</v>
      </c>
      <c r="D18" s="11">
        <f>'dpc-covid19-ita-andamento-naz'!K13</f>
        <v>4636</v>
      </c>
      <c r="E18" s="11">
        <f>K/(1+EXP(-($C18-t0)/w))</f>
        <v>4998.585854539836</v>
      </c>
      <c r="F18" s="11">
        <f t="shared" si="0"/>
        <v>7192.6537878447207</v>
      </c>
      <c r="G18" s="11">
        <f t="shared" si="1"/>
        <v>2804.5179212349512</v>
      </c>
      <c r="H18" s="11">
        <f>'dpc-covid19-ita-andamento-naz'!E13</f>
        <v>2856</v>
      </c>
      <c r="I18" s="11">
        <f>Kh/(1+EXP(-($C18-t0h)/wh))</f>
        <v>3082.1353069114894</v>
      </c>
      <c r="J18" s="11">
        <f t="shared" si="2"/>
        <v>5276.2032402163741</v>
      </c>
      <c r="K18" s="11">
        <f t="shared" si="3"/>
        <v>888.06737360660463</v>
      </c>
      <c r="L18" s="1"/>
      <c r="M18" s="22" t="s">
        <v>0</v>
      </c>
      <c r="N18" s="5">
        <v>40000</v>
      </c>
    </row>
    <row r="19" spans="2:17" ht="15.6" x14ac:dyDescent="0.35">
      <c r="B19" s="10">
        <v>43897</v>
      </c>
      <c r="C19" s="4">
        <v>13</v>
      </c>
      <c r="D19" s="11">
        <f>'dpc-covid19-ita-andamento-naz'!K14</f>
        <v>5883</v>
      </c>
      <c r="E19" s="11">
        <f>K/(1+EXP(-($C19-t0)/w))</f>
        <v>6026.4793185765402</v>
      </c>
      <c r="F19" s="11">
        <f t="shared" si="0"/>
        <v>8220.547251881424</v>
      </c>
      <c r="G19" s="11">
        <f t="shared" si="1"/>
        <v>3832.4113852716555</v>
      </c>
      <c r="H19" s="11">
        <f>'dpc-covid19-ita-andamento-naz'!E14</f>
        <v>3218</v>
      </c>
      <c r="I19" s="11">
        <f>Kh/(1+EXP(-($C19-t0h)/wh))</f>
        <v>3587.2446369925433</v>
      </c>
      <c r="J19" s="11">
        <f t="shared" si="2"/>
        <v>5781.3125702974285</v>
      </c>
      <c r="K19" s="11">
        <f t="shared" si="3"/>
        <v>1393.1767036876586</v>
      </c>
      <c r="L19" s="1"/>
      <c r="M19" s="22" t="s">
        <v>33</v>
      </c>
      <c r="N19" s="5">
        <v>27</v>
      </c>
    </row>
    <row r="20" spans="2:17" x14ac:dyDescent="0.3">
      <c r="B20" s="23">
        <v>43898</v>
      </c>
      <c r="C20" s="4">
        <v>14</v>
      </c>
      <c r="D20" s="11">
        <f>'dpc-covid19-ita-andamento-naz'!K15</f>
        <v>7375</v>
      </c>
      <c r="E20" s="11">
        <f>K/(1+EXP(-($C20-t0)/w))</f>
        <v>7252.4154928615762</v>
      </c>
      <c r="F20" s="11">
        <f t="shared" si="0"/>
        <v>9446.4834261664619</v>
      </c>
      <c r="G20" s="11">
        <f t="shared" si="1"/>
        <v>5058.3475595566915</v>
      </c>
      <c r="H20" s="11">
        <f>'dpc-covid19-ita-andamento-naz'!E15</f>
        <v>4207</v>
      </c>
      <c r="I20" s="11">
        <f>Kh/(1+EXP(-($C20-t0h)/wh))</f>
        <v>4165.7920439792651</v>
      </c>
      <c r="J20" s="11">
        <f t="shared" si="2"/>
        <v>6359.8599772841499</v>
      </c>
      <c r="K20" s="11">
        <f t="shared" si="3"/>
        <v>1971.7241106743804</v>
      </c>
      <c r="L20" s="1"/>
      <c r="M20" s="22" t="s">
        <v>1</v>
      </c>
      <c r="N20" s="25">
        <v>6.0409018988493806</v>
      </c>
    </row>
    <row r="21" spans="2:17" x14ac:dyDescent="0.3">
      <c r="B21" s="10">
        <v>43899</v>
      </c>
      <c r="C21" s="4">
        <v>15</v>
      </c>
      <c r="D21" s="11">
        <f>'dpc-covid19-ita-andamento-naz'!K16</f>
        <v>9172</v>
      </c>
      <c r="E21" s="11">
        <f>K/(1+EXP(-($C21-t0)/w))</f>
        <v>8708.6819812849299</v>
      </c>
      <c r="F21" s="11">
        <f t="shared" si="0"/>
        <v>10902.749914589815</v>
      </c>
      <c r="G21" s="11">
        <f t="shared" si="1"/>
        <v>6514.6140479800451</v>
      </c>
      <c r="H21" s="11">
        <f>'dpc-covid19-ita-andamento-naz'!E16</f>
        <v>5049</v>
      </c>
      <c r="I21" s="11">
        <f>Kh/(1+EXP(-($C21-t0h)/wh))</f>
        <v>4825.2822558407261</v>
      </c>
      <c r="J21" s="11">
        <f t="shared" si="2"/>
        <v>7019.3501891456108</v>
      </c>
      <c r="K21" s="11">
        <f t="shared" si="3"/>
        <v>2631.2143225358413</v>
      </c>
      <c r="L21" s="1"/>
      <c r="M21" s="2" t="s">
        <v>2</v>
      </c>
      <c r="N21" s="1">
        <f>AVERAGE(H7:H40)</f>
        <v>10693.323529411764</v>
      </c>
    </row>
    <row r="22" spans="2:17" x14ac:dyDescent="0.3">
      <c r="B22" s="23">
        <v>43900</v>
      </c>
      <c r="C22" s="4">
        <v>16</v>
      </c>
      <c r="D22" s="11">
        <f>'dpc-covid19-ita-andamento-naz'!K17</f>
        <v>10149</v>
      </c>
      <c r="E22" s="11">
        <f>K/(1+EXP(-($C22-t0)/w))</f>
        <v>10430.311459786126</v>
      </c>
      <c r="F22" s="11">
        <f t="shared" si="0"/>
        <v>12624.379393091011</v>
      </c>
      <c r="G22" s="11">
        <f t="shared" si="1"/>
        <v>8236.2435264812411</v>
      </c>
      <c r="H22" s="11">
        <f>'dpc-covid19-ita-andamento-naz'!E17</f>
        <v>5915</v>
      </c>
      <c r="I22" s="11">
        <f>Kh/(1+EXP(-($C22-t0h)/wh))</f>
        <v>5572.9399489752141</v>
      </c>
      <c r="J22" s="11">
        <f t="shared" si="2"/>
        <v>7767.0078822800988</v>
      </c>
      <c r="K22" s="11">
        <f t="shared" si="3"/>
        <v>3378.8720156703293</v>
      </c>
      <c r="L22" s="1"/>
      <c r="M22" s="2" t="s">
        <v>3</v>
      </c>
      <c r="N22" s="1">
        <f>COUNT(H7:H40)-COUNT(N18:N20)</f>
        <v>31</v>
      </c>
    </row>
    <row r="23" spans="2:17" x14ac:dyDescent="0.3">
      <c r="B23" s="10">
        <v>43901</v>
      </c>
      <c r="C23" s="4">
        <v>17</v>
      </c>
      <c r="D23" s="11">
        <f>'dpc-covid19-ita-andamento-naz'!K18</f>
        <v>12462</v>
      </c>
      <c r="E23" s="11">
        <f>K/(1+EXP(-($C23-t0)/w))</f>
        <v>12454.204104148615</v>
      </c>
      <c r="F23" s="11">
        <f t="shared" si="0"/>
        <v>14648.2720374535</v>
      </c>
      <c r="G23" s="11">
        <f t="shared" si="1"/>
        <v>10260.136170843731</v>
      </c>
      <c r="H23" s="11">
        <f>'dpc-covid19-ita-andamento-naz'!E18</f>
        <v>6866</v>
      </c>
      <c r="I23" s="11">
        <f>Kh/(1+EXP(-($C23-t0h)/wh))</f>
        <v>6415.3155557755827</v>
      </c>
      <c r="J23" s="11">
        <f t="shared" si="2"/>
        <v>8609.3834890804683</v>
      </c>
      <c r="K23" s="11">
        <f t="shared" si="3"/>
        <v>4221.2476224706979</v>
      </c>
      <c r="L23" s="1"/>
      <c r="M23" s="2" t="s">
        <v>4</v>
      </c>
      <c r="N23" s="7" cm="1">
        <f t="array" ref="N23">SQRT(SUM((H7:H40-I7:I40)^2)/dfh)</f>
        <v>700.52462440101817</v>
      </c>
    </row>
    <row r="24" spans="2:17" ht="16.2" x14ac:dyDescent="0.3">
      <c r="B24" s="23">
        <v>43902</v>
      </c>
      <c r="C24" s="4">
        <v>18</v>
      </c>
      <c r="D24" s="11">
        <f>'dpc-covid19-ita-andamento-naz'!K19</f>
        <v>15113</v>
      </c>
      <c r="E24" s="11">
        <f>K/(1+EXP(-($C24-t0)/w))</f>
        <v>14817.702425891186</v>
      </c>
      <c r="F24" s="11">
        <f t="shared" si="0"/>
        <v>17011.770359196071</v>
      </c>
      <c r="G24" s="11">
        <f t="shared" si="1"/>
        <v>12623.634492586301</v>
      </c>
      <c r="H24" s="11">
        <f>'dpc-covid19-ita-andamento-naz'!E19</f>
        <v>7803</v>
      </c>
      <c r="I24" s="11">
        <f>Kh/(1+EXP(-($C24-t0h)/wh))</f>
        <v>7357.8071726318512</v>
      </c>
      <c r="J24" s="11">
        <f t="shared" si="2"/>
        <v>9551.8751059367351</v>
      </c>
      <c r="K24" s="11">
        <f t="shared" si="3"/>
        <v>5163.7392393269665</v>
      </c>
      <c r="L24" s="1"/>
      <c r="M24" s="2" t="s">
        <v>5</v>
      </c>
      <c r="N24" s="8" cm="1">
        <f t="array" ref="N24">1-SUM((H7:H40-I7:I40)^2)/SUM((H7:H40-Mean_of_yh)^2)</f>
        <v>0.99561151597809705</v>
      </c>
    </row>
    <row r="25" spans="2:17" x14ac:dyDescent="0.3">
      <c r="B25" s="10">
        <v>43903</v>
      </c>
      <c r="C25" s="4">
        <v>19</v>
      </c>
      <c r="D25" s="11">
        <f>'dpc-covid19-ita-andamento-naz'!K20</f>
        <v>17660</v>
      </c>
      <c r="E25" s="11">
        <f>K/(1+EXP(-($C25-t0)/w))</f>
        <v>17556.511657832696</v>
      </c>
      <c r="F25" s="11">
        <f t="shared" si="0"/>
        <v>19750.579591137583</v>
      </c>
      <c r="G25" s="11">
        <f t="shared" si="1"/>
        <v>15362.443724527811</v>
      </c>
      <c r="H25" s="11">
        <f>'dpc-covid19-ita-andamento-naz'!E20</f>
        <v>8754</v>
      </c>
      <c r="I25" s="11">
        <f>Kh/(1+EXP(-($C25-t0h)/wh))</f>
        <v>8404.1140647852844</v>
      </c>
      <c r="J25" s="11">
        <f t="shared" si="2"/>
        <v>10598.181998090169</v>
      </c>
      <c r="K25" s="11">
        <f t="shared" si="3"/>
        <v>6210.0461314803997</v>
      </c>
      <c r="L25" s="1"/>
      <c r="M25" s="2" t="s">
        <v>6</v>
      </c>
      <c r="N25" s="8">
        <f>TINV(0.05,dfh)</f>
        <v>2.0395134463964082</v>
      </c>
    </row>
    <row r="26" spans="2:17" x14ac:dyDescent="0.3">
      <c r="B26" s="10">
        <v>43904</v>
      </c>
      <c r="C26" s="4">
        <v>20</v>
      </c>
      <c r="D26" s="11">
        <f>'dpc-covid19-ita-andamento-naz'!K21</f>
        <v>21157</v>
      </c>
      <c r="E26" s="11">
        <f>K/(1+EXP(-($C26-t0)/w))</f>
        <v>20701.909242800306</v>
      </c>
      <c r="F26" s="11">
        <f t="shared" si="0"/>
        <v>22895.977176105189</v>
      </c>
      <c r="G26" s="11">
        <f t="shared" si="1"/>
        <v>18507.841309495423</v>
      </c>
      <c r="H26" s="11">
        <f>'dpc-covid19-ita-andamento-naz'!E21</f>
        <v>9890</v>
      </c>
      <c r="I26" s="11">
        <f>Kh/(1+EXP(-($C26-t0h)/wh))</f>
        <v>9555.6533107721389</v>
      </c>
      <c r="J26" s="11">
        <f t="shared" si="2"/>
        <v>11749.721244077024</v>
      </c>
      <c r="K26" s="11">
        <f t="shared" si="3"/>
        <v>7361.5853774672541</v>
      </c>
      <c r="L26" s="1"/>
      <c r="M26" s="2" t="s">
        <v>7</v>
      </c>
      <c r="N26" s="1">
        <f>Critical_th*SE_of_yh</f>
        <v>1428.72939099767</v>
      </c>
    </row>
    <row r="27" spans="2:17" x14ac:dyDescent="0.3">
      <c r="B27" s="10">
        <v>43905</v>
      </c>
      <c r="C27" s="4">
        <v>21</v>
      </c>
      <c r="D27" s="11">
        <f>'dpc-covid19-ita-andamento-naz'!K22</f>
        <v>24747</v>
      </c>
      <c r="E27" s="11">
        <f>K/(1+EXP(-($C27-t0)/w))</f>
        <v>24277.284805586612</v>
      </c>
      <c r="F27" s="11">
        <f t="shared" si="0"/>
        <v>26471.352738891495</v>
      </c>
      <c r="G27" s="11">
        <f t="shared" si="1"/>
        <v>22083.21687228173</v>
      </c>
      <c r="H27" s="11">
        <f>'dpc-covid19-ita-andamento-naz'!E22</f>
        <v>11335</v>
      </c>
      <c r="I27" s="11">
        <f>Kh/(1+EXP(-($C27-t0h)/wh))</f>
        <v>10810.989098842727</v>
      </c>
      <c r="J27" s="11">
        <f t="shared" si="2"/>
        <v>13005.057032147612</v>
      </c>
      <c r="K27" s="11">
        <f t="shared" si="3"/>
        <v>8616.9211655378422</v>
      </c>
      <c r="L27" s="1"/>
      <c r="M27" s="6"/>
    </row>
    <row r="28" spans="2:17" x14ac:dyDescent="0.3">
      <c r="B28" s="10">
        <v>43906</v>
      </c>
      <c r="C28" s="4">
        <v>22</v>
      </c>
      <c r="D28" s="11">
        <f>'dpc-covid19-ita-andamento-naz'!K23</f>
        <v>27980</v>
      </c>
      <c r="E28" s="11">
        <f>K/(1+EXP(-($C28-t0)/w))</f>
        <v>28294.202778313404</v>
      </c>
      <c r="F28" s="11">
        <f t="shared" si="0"/>
        <v>30488.270711618286</v>
      </c>
      <c r="G28" s="11">
        <f t="shared" si="1"/>
        <v>26100.134845008521</v>
      </c>
      <c r="H28" s="11">
        <f>'dpc-covid19-ita-andamento-naz'!E23</f>
        <v>12876</v>
      </c>
      <c r="I28" s="11">
        <f>Kh/(1+EXP(-($C28-t0h)/wh))</f>
        <v>12165.340880015749</v>
      </c>
      <c r="J28" s="11">
        <f t="shared" si="2"/>
        <v>14359.408813320633</v>
      </c>
      <c r="K28" s="11">
        <f t="shared" si="3"/>
        <v>9971.2729467108638</v>
      </c>
      <c r="L28" s="1"/>
      <c r="M28" s="6"/>
    </row>
    <row r="29" spans="2:17" x14ac:dyDescent="0.3">
      <c r="B29" s="10">
        <v>43907</v>
      </c>
      <c r="C29" s="4">
        <v>23</v>
      </c>
      <c r="D29" s="11">
        <f>'dpc-covid19-ita-andamento-naz'!K24</f>
        <v>31506</v>
      </c>
      <c r="E29" s="11">
        <f>K/(1+EXP(-($C29-t0)/w))</f>
        <v>32748.373032900581</v>
      </c>
      <c r="F29" s="11">
        <f t="shared" si="0"/>
        <v>34942.440966205468</v>
      </c>
      <c r="G29" s="11">
        <f t="shared" si="1"/>
        <v>30554.305099595695</v>
      </c>
      <c r="H29" s="11">
        <f>'dpc-covid19-ita-andamento-naz'!E24</f>
        <v>14954</v>
      </c>
      <c r="I29" s="11">
        <f>Kh/(1+EXP(-($C29-t0h)/wh))</f>
        <v>13610.247391802144</v>
      </c>
      <c r="J29" s="11">
        <f t="shared" si="2"/>
        <v>15804.315325107029</v>
      </c>
      <c r="K29" s="11">
        <f t="shared" si="3"/>
        <v>11416.179458497259</v>
      </c>
      <c r="L29" s="1"/>
    </row>
    <row r="30" spans="2:17" x14ac:dyDescent="0.3">
      <c r="B30" s="10">
        <v>43908</v>
      </c>
      <c r="C30" s="4">
        <v>24</v>
      </c>
      <c r="D30" s="11">
        <f>'dpc-covid19-ita-andamento-naz'!K25</f>
        <v>35713</v>
      </c>
      <c r="E30" s="11">
        <f>K/(1+EXP(-($C30-t0)/w))</f>
        <v>37616.114701913299</v>
      </c>
      <c r="F30" s="11">
        <f t="shared" ref="F30" si="4">E30+CI</f>
        <v>39810.182635218182</v>
      </c>
      <c r="G30" s="11">
        <f t="shared" si="1"/>
        <v>35422.046768608416</v>
      </c>
      <c r="H30" s="11">
        <f>'dpc-covid19-ita-andamento-naz'!E25</f>
        <v>16620</v>
      </c>
      <c r="I30" s="11">
        <f>Kh/(1+EXP(-($C30-t0h)/wh))</f>
        <v>15133.463307563712</v>
      </c>
      <c r="J30" s="11">
        <f t="shared" si="2"/>
        <v>17327.531240868597</v>
      </c>
      <c r="K30" s="11">
        <f t="shared" si="3"/>
        <v>12939.395374258827</v>
      </c>
      <c r="Q30" s="1"/>
    </row>
    <row r="31" spans="2:17" x14ac:dyDescent="0.3">
      <c r="B31" s="10">
        <v>43909</v>
      </c>
      <c r="C31" s="4">
        <v>25</v>
      </c>
      <c r="D31" s="11">
        <f>'dpc-covid19-ita-andamento-naz'!K26</f>
        <v>41035</v>
      </c>
      <c r="E31" s="11">
        <f>K/(1+EXP(-($C31-t0)/w))</f>
        <v>42852.041205303649</v>
      </c>
      <c r="F31" s="11">
        <f t="shared" ref="F31" si="5">E31+CI</f>
        <v>45046.109138608532</v>
      </c>
      <c r="G31" s="11">
        <f t="shared" si="1"/>
        <v>40657.973271998766</v>
      </c>
      <c r="H31" s="11">
        <f>'dpc-covid19-ita-andamento-naz'!E26</f>
        <v>18255</v>
      </c>
      <c r="I31" s="11">
        <f>Kh/(1+EXP(-($C31-t0h)/wh))</f>
        <v>16719.14974723215</v>
      </c>
      <c r="J31" s="11">
        <f t="shared" si="2"/>
        <v>18913.217680537033</v>
      </c>
      <c r="K31" s="11">
        <f t="shared" si="3"/>
        <v>14525.081813927265</v>
      </c>
    </row>
    <row r="32" spans="2:17" x14ac:dyDescent="0.3">
      <c r="B32" s="10">
        <v>43910</v>
      </c>
      <c r="C32" s="4">
        <v>26</v>
      </c>
      <c r="D32" s="11">
        <f>'dpc-covid19-ita-andamento-naz'!K27</f>
        <v>47021</v>
      </c>
      <c r="E32" s="11">
        <f>K/(1+EXP(-($C32-t0)/w))</f>
        <v>48388.700496502359</v>
      </c>
      <c r="F32" s="11">
        <f t="shared" ref="F32" si="6">E32+CI</f>
        <v>50582.768429807242</v>
      </c>
      <c r="G32" s="11">
        <f t="shared" si="1"/>
        <v>46194.632563197476</v>
      </c>
      <c r="H32" s="11">
        <f>'dpc-covid19-ita-andamento-naz'!E27</f>
        <v>18675</v>
      </c>
      <c r="I32" s="11">
        <f>Kh/(1+EXP(-($C32-t0h)/wh))</f>
        <v>18348.387902102892</v>
      </c>
      <c r="J32" s="11">
        <f t="shared" si="2"/>
        <v>20542.455835407774</v>
      </c>
      <c r="K32" s="11">
        <f t="shared" si="3"/>
        <v>16154.319968798007</v>
      </c>
    </row>
    <row r="33" spans="2:11" x14ac:dyDescent="0.3">
      <c r="B33" s="10">
        <v>43911</v>
      </c>
      <c r="C33" s="4">
        <v>27</v>
      </c>
      <c r="D33" s="11">
        <f>'dpc-covid19-ita-andamento-naz'!K28</f>
        <v>53578</v>
      </c>
      <c r="E33" s="11">
        <f>K/(1+EXP(-($C33-t0)/w))</f>
        <v>54138.707936043538</v>
      </c>
      <c r="F33" s="11">
        <f t="shared" ref="F33" si="7">E33+CI</f>
        <v>56332.775869348421</v>
      </c>
      <c r="G33" s="11">
        <f t="shared" si="1"/>
        <v>51944.640002738655</v>
      </c>
      <c r="H33" s="11">
        <f>'dpc-covid19-ita-andamento-naz'!E28</f>
        <v>20565</v>
      </c>
      <c r="I33" s="11">
        <f>Kh/(1+EXP(-($C33-t0h)/wh))</f>
        <v>20000</v>
      </c>
      <c r="J33" s="11">
        <f t="shared" si="2"/>
        <v>22194.067933304883</v>
      </c>
      <c r="K33" s="11">
        <f t="shared" si="3"/>
        <v>17805.932066695117</v>
      </c>
    </row>
    <row r="34" spans="2:11" x14ac:dyDescent="0.3">
      <c r="B34" s="10">
        <v>43912</v>
      </c>
      <c r="C34" s="4">
        <v>28</v>
      </c>
      <c r="D34" s="11">
        <f>'dpc-covid19-ita-andamento-naz'!K29</f>
        <v>59138</v>
      </c>
      <c r="E34" s="11">
        <f>K/(1+EXP(-($C34-t0)/w))</f>
        <v>59999.5</v>
      </c>
      <c r="F34" s="11">
        <f t="shared" ref="F34" si="8">E34+CI</f>
        <v>62193.567933304883</v>
      </c>
      <c r="G34" s="11">
        <f t="shared" ref="G34" si="9">MAX(E34-CI,0)</f>
        <v>57805.432066695117</v>
      </c>
      <c r="H34" s="11">
        <f>'dpc-covid19-ita-andamento-naz'!E29</f>
        <v>22855</v>
      </c>
      <c r="I34" s="11">
        <f>Kh/(1+EXP(-($C34-t0h)/wh))</f>
        <v>21651.612097897108</v>
      </c>
      <c r="J34" s="11">
        <f t="shared" si="2"/>
        <v>23845.680031201991</v>
      </c>
      <c r="K34" s="11">
        <f t="shared" si="3"/>
        <v>19457.544164592226</v>
      </c>
    </row>
    <row r="35" spans="2:11" x14ac:dyDescent="0.3">
      <c r="B35" s="23">
        <v>43913</v>
      </c>
      <c r="C35" s="4">
        <v>29</v>
      </c>
      <c r="D35" s="11">
        <f>'dpc-covid19-ita-andamento-naz'!K30</f>
        <v>63927</v>
      </c>
      <c r="E35" s="11">
        <f>K/(1+EXP(-($C35-t0)/w))</f>
        <v>65860.292063956455</v>
      </c>
      <c r="F35" s="11">
        <f t="shared" ref="F35" si="10">E35+CI</f>
        <v>68054.359997261345</v>
      </c>
      <c r="G35" s="11">
        <f t="shared" ref="G35" si="11">MAX(E35-CI,0)</f>
        <v>63666.224130651572</v>
      </c>
      <c r="H35" s="11">
        <f>'dpc-covid19-ita-andamento-naz'!E30</f>
        <v>23896</v>
      </c>
      <c r="I35" s="11">
        <f>Kh/(1+EXP(-($C35-t0h)/wh))</f>
        <v>23280.850252767847</v>
      </c>
      <c r="J35" s="11">
        <f t="shared" si="2"/>
        <v>25474.918186072733</v>
      </c>
      <c r="K35" s="11">
        <f t="shared" si="3"/>
        <v>21086.78231946296</v>
      </c>
    </row>
    <row r="36" spans="2:11" x14ac:dyDescent="0.3">
      <c r="B36" s="10">
        <v>43914</v>
      </c>
      <c r="C36" s="4">
        <v>30</v>
      </c>
      <c r="D36" s="11">
        <f>'dpc-covid19-ita-andamento-naz'!K31</f>
        <v>69176</v>
      </c>
      <c r="E36" s="11">
        <f>K/(1+EXP(-($C36-t0)/w))</f>
        <v>71610.299503497634</v>
      </c>
      <c r="F36" s="11">
        <f t="shared" ref="F36" si="12">E36+CI</f>
        <v>73804.367436802524</v>
      </c>
      <c r="G36" s="11">
        <f t="shared" ref="G36" si="13">MAX(E36-CI,0)</f>
        <v>69416.231570192744</v>
      </c>
      <c r="H36" s="11">
        <f>'dpc-covid19-ita-andamento-naz'!E31</f>
        <v>25333</v>
      </c>
      <c r="I36" s="11">
        <f>Kh/(1+EXP(-($C36-t0h)/wh))</f>
        <v>24866.536692436286</v>
      </c>
      <c r="J36" s="11">
        <f t="shared" si="2"/>
        <v>27060.604625741173</v>
      </c>
      <c r="K36" s="11">
        <f t="shared" si="3"/>
        <v>22672.4687591314</v>
      </c>
    </row>
    <row r="37" spans="2:11" x14ac:dyDescent="0.3">
      <c r="B37" s="10">
        <v>43915</v>
      </c>
      <c r="C37" s="4">
        <v>31</v>
      </c>
      <c r="D37" s="11">
        <f>'dpc-covid19-ita-andamento-naz'!K32</f>
        <v>74386</v>
      </c>
      <c r="E37" s="11">
        <f>K/(1+EXP(-($C37-t0)/w))</f>
        <v>77146.958794696344</v>
      </c>
      <c r="F37" s="11">
        <f t="shared" ref="F37" si="14">E37+CI</f>
        <v>79341.026728001234</v>
      </c>
      <c r="G37" s="11">
        <f t="shared" ref="G37" si="15">MAX(E37-CI,0)</f>
        <v>74952.890861391454</v>
      </c>
      <c r="H37" s="11">
        <f>'dpc-covid19-ita-andamento-naz'!E32</f>
        <v>26601</v>
      </c>
      <c r="I37" s="11">
        <f>Kh/(1+EXP(-($C37-t0h)/wh))</f>
        <v>26389.752608197858</v>
      </c>
      <c r="J37" s="11">
        <f t="shared" si="2"/>
        <v>28583.820541502741</v>
      </c>
      <c r="K37" s="11">
        <f t="shared" si="3"/>
        <v>24195.684674892975</v>
      </c>
    </row>
    <row r="38" spans="2:11" x14ac:dyDescent="0.3">
      <c r="B38" s="10">
        <v>43916</v>
      </c>
      <c r="C38" s="4">
        <v>32</v>
      </c>
      <c r="D38" s="11">
        <f>'dpc-covid19-ita-andamento-naz'!K33</f>
        <v>80539</v>
      </c>
      <c r="E38" s="11">
        <f>K/(1+EXP(-($C38-t0)/w))</f>
        <v>82382.885298086709</v>
      </c>
      <c r="F38" s="11">
        <f t="shared" ref="F38" si="16">E38+CI</f>
        <v>84576.953231391599</v>
      </c>
      <c r="G38" s="11">
        <f t="shared" ref="G38" si="17">MAX(E38-CI,0)</f>
        <v>80188.817364781818</v>
      </c>
      <c r="H38" s="11">
        <f>'dpc-covid19-ita-andamento-naz'!E33</f>
        <v>28365</v>
      </c>
      <c r="I38" s="11">
        <f>Kh/(1+EXP(-($C38-t0h)/wh))</f>
        <v>27834.659119984251</v>
      </c>
      <c r="J38" s="11">
        <f t="shared" si="2"/>
        <v>30028.727053289134</v>
      </c>
      <c r="K38" s="11">
        <f t="shared" si="3"/>
        <v>25640.591186679369</v>
      </c>
    </row>
    <row r="39" spans="2:11" x14ac:dyDescent="0.3">
      <c r="B39" s="10">
        <v>43917</v>
      </c>
      <c r="C39" s="4">
        <v>33</v>
      </c>
      <c r="D39" s="11">
        <f>'dpc-covid19-ita-andamento-naz'!K34</f>
        <v>86498</v>
      </c>
      <c r="E39" s="11">
        <f>K/(1+EXP(-($C39-t0)/w))</f>
        <v>87250.626967099422</v>
      </c>
      <c r="F39" s="11">
        <f t="shared" ref="F39" si="18">E39+CI</f>
        <v>89444.694900404313</v>
      </c>
      <c r="G39" s="11">
        <f t="shared" ref="G39" si="19">MAX(E39-CI,0)</f>
        <v>85056.559033794532</v>
      </c>
      <c r="H39" s="11">
        <f>'dpc-covid19-ita-andamento-naz'!E34</f>
        <v>29761</v>
      </c>
      <c r="I39" s="11">
        <f>Kh/(1+EXP(-($C39-t0h)/wh))</f>
        <v>29189.010901157271</v>
      </c>
      <c r="J39" s="11">
        <f t="shared" si="2"/>
        <v>31383.078834462154</v>
      </c>
      <c r="K39" s="11">
        <f t="shared" si="3"/>
        <v>26994.942967852388</v>
      </c>
    </row>
    <row r="40" spans="2:11" x14ac:dyDescent="0.3">
      <c r="B40" s="10">
        <v>43918</v>
      </c>
      <c r="C40" s="4">
        <v>34</v>
      </c>
      <c r="D40" s="11">
        <f>'dpc-covid19-ita-andamento-naz'!K35</f>
        <v>92472</v>
      </c>
      <c r="E40" s="11">
        <f>K/(1+EXP(-($C40-t0)/w))</f>
        <v>91704.797221686589</v>
      </c>
      <c r="F40" s="11">
        <f t="shared" ref="F40" si="20">E40+CI</f>
        <v>93898.865154991479</v>
      </c>
      <c r="G40" s="11">
        <f t="shared" ref="G40" si="21">MAX(E40-CI,0)</f>
        <v>89510.729288381699</v>
      </c>
      <c r="H40" s="11">
        <f>'dpc-covid19-ita-andamento-naz'!E35</f>
        <v>30532</v>
      </c>
      <c r="I40" s="11">
        <f>Kh/(1+EXP(-($C40-t0h)/wh))</f>
        <v>30444.346689227863</v>
      </c>
      <c r="J40" s="11">
        <f t="shared" si="2"/>
        <v>32638.414622532749</v>
      </c>
      <c r="K40" s="11">
        <f t="shared" si="3"/>
        <v>28250.278755922976</v>
      </c>
    </row>
    <row r="41" spans="2:11" x14ac:dyDescent="0.3">
      <c r="B41" s="10">
        <v>43919</v>
      </c>
      <c r="C41" s="4">
        <v>35</v>
      </c>
      <c r="E41" s="11">
        <f>K/(1+EXP(-($C41-t0)/w))</f>
        <v>95721.71519441338</v>
      </c>
      <c r="I41" s="11">
        <f>Kh/(1+EXP(-($C41-t0h)/wh))</f>
        <v>31595.885935214719</v>
      </c>
    </row>
    <row r="42" spans="2:11" x14ac:dyDescent="0.3">
      <c r="B42" s="10">
        <v>43920</v>
      </c>
      <c r="C42" s="4">
        <v>36</v>
      </c>
      <c r="E42" s="11">
        <f>K/(1+EXP(-($C42-t0)/w))</f>
        <v>99297.090757199694</v>
      </c>
      <c r="I42" s="11">
        <f>Kh/(1+EXP(-($C42-t0h)/wh))</f>
        <v>32642.192827368148</v>
      </c>
    </row>
    <row r="43" spans="2:11" x14ac:dyDescent="0.3">
      <c r="B43" s="10">
        <v>43921</v>
      </c>
      <c r="C43" s="4">
        <v>37</v>
      </c>
      <c r="E43" s="11">
        <f>K/(1+EXP(-($C43-t0)/w))</f>
        <v>102442.4883421673</v>
      </c>
      <c r="I43" s="11">
        <f>Kh/(1+EXP(-($C43-t0h)/wh))</f>
        <v>33584.684444224418</v>
      </c>
    </row>
    <row r="44" spans="2:11" x14ac:dyDescent="0.3">
      <c r="B44" s="10">
        <v>43922</v>
      </c>
      <c r="C44" s="4">
        <v>38</v>
      </c>
      <c r="E44" s="11">
        <f>K/(1+EXP(-($C44-t0)/w))</f>
        <v>105181.29757410882</v>
      </c>
      <c r="I44" s="11">
        <f>Kh/(1+EXP(-($C44-t0h)/wh))</f>
        <v>34427.060051024782</v>
      </c>
    </row>
    <row r="45" spans="2:11" x14ac:dyDescent="0.3">
      <c r="B45" s="10">
        <v>43923</v>
      </c>
      <c r="C45" s="4">
        <v>39</v>
      </c>
      <c r="E45" s="11">
        <f>K/(1+EXP(-($C45-t0)/w))</f>
        <v>107544.79589585139</v>
      </c>
      <c r="I45" s="11">
        <f>Kh/(1+EXP(-($C45-t0h)/wh))</f>
        <v>35174.717744159279</v>
      </c>
    </row>
    <row r="46" spans="2:11" x14ac:dyDescent="0.3">
      <c r="B46" s="10">
        <v>43924</v>
      </c>
      <c r="C46" s="4">
        <v>40</v>
      </c>
      <c r="E46" s="11">
        <f>K/(1+EXP(-($C46-t0)/w))</f>
        <v>109568.68854021387</v>
      </c>
      <c r="I46" s="11">
        <f>Kh/(1+EXP(-($C46-t0h)/wh))</f>
        <v>35834.207956020735</v>
      </c>
    </row>
    <row r="47" spans="2:11" x14ac:dyDescent="0.3">
      <c r="B47" s="10">
        <v>43925</v>
      </c>
      <c r="C47" s="4">
        <v>41</v>
      </c>
      <c r="E47" s="11">
        <f>K/(1+EXP(-($C47-t0)/w))</f>
        <v>111290.31801871507</v>
      </c>
      <c r="I47" s="11">
        <f>Kh/(1+EXP(-($C47-t0h)/wh))</f>
        <v>36412.755363007454</v>
      </c>
    </row>
    <row r="48" spans="2:11" x14ac:dyDescent="0.3">
      <c r="B48" s="10">
        <v>43926</v>
      </c>
      <c r="C48" s="4">
        <v>42</v>
      </c>
      <c r="E48" s="11">
        <f>K/(1+EXP(-($C48-t0)/w))</f>
        <v>112746.58450713842</v>
      </c>
      <c r="I48" s="11">
        <f>Kh/(1+EXP(-($C48-t0h)/wh))</f>
        <v>36917.864693088515</v>
      </c>
    </row>
    <row r="49" spans="2:9" x14ac:dyDescent="0.3">
      <c r="B49" s="10">
        <v>43927</v>
      </c>
      <c r="C49" s="4">
        <v>43</v>
      </c>
      <c r="E49" s="11">
        <f>K/(1+EXP(-($C49-t0)/w))</f>
        <v>113972.52068142346</v>
      </c>
      <c r="I49" s="11">
        <f>Kh/(1+EXP(-($C49-t0h)/wh))</f>
        <v>37357.013463711635</v>
      </c>
    </row>
    <row r="50" spans="2:9" x14ac:dyDescent="0.3">
      <c r="B50" s="10">
        <v>43928</v>
      </c>
      <c r="C50" s="4">
        <v>44</v>
      </c>
      <c r="E50" s="11">
        <f>K/(1+EXP(-($C50-t0)/w))</f>
        <v>115000.41414546018</v>
      </c>
      <c r="I50" s="11">
        <f>Kh/(1+EXP(-($C50-t0h)/wh))</f>
        <v>37737.426200546513</v>
      </c>
    </row>
    <row r="51" spans="2:9" x14ac:dyDescent="0.3">
      <c r="B51" s="10">
        <v>43929</v>
      </c>
      <c r="C51" s="4">
        <v>45</v>
      </c>
      <c r="E51" s="11">
        <f>K/(1+EXP(-($C51-t0)/w))</f>
        <v>115859.35506376953</v>
      </c>
      <c r="I51" s="11">
        <f>Kh/(1+EXP(-($C51-t0h)/wh))</f>
        <v>38065.9197938164</v>
      </c>
    </row>
    <row r="52" spans="2:9" x14ac:dyDescent="0.3">
      <c r="B52" s="10">
        <v>43930</v>
      </c>
      <c r="C52" s="4">
        <v>46</v>
      </c>
      <c r="E52" s="11">
        <f>K/(1+EXP(-($C52-t0)/w))</f>
        <v>116575.09276151248</v>
      </c>
      <c r="I52" s="11">
        <f>Kh/(1+EXP(-($C52-t0h)/wh))</f>
        <v>38348.807560114401</v>
      </c>
    </row>
    <row r="53" spans="2:9" x14ac:dyDescent="0.3">
      <c r="B53" s="10">
        <v>43931</v>
      </c>
      <c r="C53" s="4">
        <v>47</v>
      </c>
      <c r="E53" s="11">
        <f>K/(1+EXP(-($C53-t0)/w))</f>
        <v>117170.10216373806</v>
      </c>
      <c r="I53" s="11">
        <f>Kh/(1+EXP(-($C53-t0h)/wh))</f>
        <v>38591.849434062111</v>
      </c>
    </row>
    <row r="54" spans="2:9" x14ac:dyDescent="0.3">
      <c r="B54" s="10">
        <v>43932</v>
      </c>
      <c r="C54" s="4">
        <v>48</v>
      </c>
      <c r="E54" s="11">
        <f>K/(1+EXP(-($C54-t0)/w))</f>
        <v>117663.78166596183</v>
      </c>
      <c r="I54" s="11">
        <f>Kh/(1+EXP(-($C54-t0h)/wh))</f>
        <v>38800.236755107391</v>
      </c>
    </row>
    <row r="55" spans="2:9" x14ac:dyDescent="0.3">
      <c r="B55" s="10">
        <v>43933</v>
      </c>
      <c r="C55" s="4">
        <v>49</v>
      </c>
      <c r="E55" s="11">
        <f>K/(1+EXP(-($C55-t0)/w))</f>
        <v>118072.72403094014</v>
      </c>
      <c r="I55" s="11">
        <f>Kh/(1+EXP(-($C55-t0h)/wh))</f>
        <v>38978.601752127484</v>
      </c>
    </row>
    <row r="56" spans="2:9" x14ac:dyDescent="0.3">
      <c r="B56" s="10">
        <v>43934</v>
      </c>
      <c r="C56" s="4">
        <v>50</v>
      </c>
      <c r="E56" s="11">
        <f>K/(1+EXP(-($C56-t0)/w))</f>
        <v>118411.01909035038</v>
      </c>
      <c r="I56" s="11">
        <f>Kh/(1+EXP(-($C56-t0h)/wh))</f>
        <v>39131.043655058333</v>
      </c>
    </row>
    <row r="57" spans="2:9" x14ac:dyDescent="0.3">
      <c r="B57" s="10">
        <v>43935</v>
      </c>
      <c r="C57" s="4">
        <v>51</v>
      </c>
      <c r="E57" s="11">
        <f>K/(1+EXP(-($C57-t0)/w))</f>
        <v>118690.56071723948</v>
      </c>
      <c r="I57" s="11">
        <f>Kh/(1+EXP(-($C57-t0h)/wh))</f>
        <v>39261.165126066371</v>
      </c>
    </row>
    <row r="58" spans="2:9" x14ac:dyDescent="0.3">
      <c r="B58" s="10">
        <v>43936</v>
      </c>
      <c r="C58" s="4">
        <v>52</v>
      </c>
      <c r="E58" s="11">
        <f>K/(1+EXP(-($C58-t0)/w))</f>
        <v>118921.34084064075</v>
      </c>
      <c r="I58" s="11">
        <f>Kh/(1+EXP(-($C58-t0h)/wh))</f>
        <v>39372.114267345496</v>
      </c>
    </row>
    <row r="59" spans="2:9" x14ac:dyDescent="0.3">
      <c r="B59" s="10">
        <v>43937</v>
      </c>
      <c r="C59" s="4">
        <v>53</v>
      </c>
      <c r="E59" s="11">
        <f>K/(1+EXP(-($C59-t0)/w))</f>
        <v>119111.72067851493</v>
      </c>
      <c r="I59" s="11">
        <f>Kh/(1+EXP(-($C59-t0h)/wh))</f>
        <v>39466.628773037977</v>
      </c>
    </row>
    <row r="60" spans="2:9" x14ac:dyDescent="0.3">
      <c r="B60" s="10">
        <v>43938</v>
      </c>
      <c r="C60" s="4">
        <v>54</v>
      </c>
      <c r="E60" s="11">
        <f>K/(1+EXP(-($C60-t0)/w))</f>
        <v>119268.67445957805</v>
      </c>
      <c r="I60" s="11">
        <f>Kh/(1+EXP(-($C60-t0h)/wh))</f>
        <v>39547.079843353175</v>
      </c>
    </row>
    <row r="61" spans="2:9" x14ac:dyDescent="0.3">
      <c r="B61" s="10">
        <v>43939</v>
      </c>
      <c r="C61" s="4">
        <v>55</v>
      </c>
      <c r="E61" s="11">
        <f>K/(1+EXP(-($C61-t0)/w))</f>
        <v>119398.00425364112</v>
      </c>
      <c r="I61" s="11">
        <f>Kh/(1+EXP(-($C61-t0h)/wh))</f>
        <v>39615.514291437197</v>
      </c>
    </row>
    <row r="62" spans="2:9" x14ac:dyDescent="0.3">
      <c r="B62" s="10">
        <v>43940</v>
      </c>
      <c r="C62" s="4">
        <v>56</v>
      </c>
      <c r="E62" s="11">
        <f>K/(1+EXP(-($C62-t0)/w))</f>
        <v>119504.52661465916</v>
      </c>
      <c r="I62" s="11">
        <f>Kh/(1+EXP(-($C62-t0h)/wh))</f>
        <v>39673.693882123574</v>
      </c>
    </row>
    <row r="63" spans="2:9" x14ac:dyDescent="0.3">
      <c r="B63" s="10">
        <v>43941</v>
      </c>
      <c r="C63" s="4">
        <v>57</v>
      </c>
      <c r="E63" s="11">
        <f>K/(1+EXP(-($C63-t0)/w))</f>
        <v>119592.23294199303</v>
      </c>
      <c r="I63" s="11">
        <f>Kh/(1+EXP(-($C63-t0h)/wh))</f>
        <v>39723.131383734428</v>
      </c>
    </row>
    <row r="64" spans="2:9" x14ac:dyDescent="0.3">
      <c r="B64" s="10">
        <v>43942</v>
      </c>
      <c r="C64" s="4">
        <v>58</v>
      </c>
      <c r="E64" s="11">
        <f>K/(1+EXP(-($C64-t0)/w))</f>
        <v>119664.42607113214</v>
      </c>
      <c r="I64" s="11">
        <f>Kh/(1+EXP(-($C64-t0h)/wh))</f>
        <v>39765.123124974562</v>
      </c>
    </row>
    <row r="65" spans="2:9" x14ac:dyDescent="0.3">
      <c r="B65" s="10">
        <v>43943</v>
      </c>
      <c r="C65" s="4">
        <v>59</v>
      </c>
      <c r="E65" s="11">
        <f>K/(1+EXP(-($C65-t0)/w))</f>
        <v>119723.83582439195</v>
      </c>
      <c r="I65" s="11">
        <f>Kh/(1+EXP(-($C65-t0h)/wh))</f>
        <v>39800.778059567878</v>
      </c>
    </row>
    <row r="66" spans="2:9" x14ac:dyDescent="0.3">
      <c r="B66" s="10">
        <v>43944</v>
      </c>
      <c r="C66" s="4">
        <v>60</v>
      </c>
      <c r="E66" s="11">
        <f>K/(1+EXP(-($C66-t0)/w))</f>
        <v>119772.71623209481</v>
      </c>
      <c r="I66" s="11">
        <f>Kh/(1+EXP(-($C66-t0h)/wh))</f>
        <v>39831.043477243773</v>
      </c>
    </row>
    <row r="67" spans="2:9" x14ac:dyDescent="0.3">
      <c r="B67" s="10"/>
      <c r="C67" s="4"/>
    </row>
    <row r="68" spans="2:9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workbookViewId="0">
      <selection activeCell="X9" sqref="X9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15</v>
      </c>
      <c r="O3" s="17"/>
      <c r="P3" s="17"/>
    </row>
    <row r="4" spans="2:16" ht="20.399999999999999" x14ac:dyDescent="0.35">
      <c r="B4" s="16" t="s">
        <v>31</v>
      </c>
      <c r="C4" s="15"/>
      <c r="D4" s="14"/>
      <c r="E4" s="14"/>
      <c r="F4" s="14"/>
      <c r="G4" s="14"/>
      <c r="H4" s="14"/>
      <c r="M4" s="21" t="s">
        <v>32</v>
      </c>
      <c r="N4" s="20" t="s">
        <v>16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17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34</v>
      </c>
      <c r="E6" s="4" t="s">
        <v>35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'dpc-covid19-ita-andamento-naz'!K2</f>
        <v>229</v>
      </c>
      <c r="E7" s="11">
        <f>D7-0</f>
        <v>229</v>
      </c>
      <c r="F7" s="11">
        <f t="shared" ref="F7:F38" si="0">Kn/(1+EXP(-(C7-t0n)/wn))</f>
        <v>966.49501742523262</v>
      </c>
      <c r="G7" s="11">
        <f>F7-0</f>
        <v>966.49501742523262</v>
      </c>
      <c r="H7" s="11">
        <f t="shared" ref="H7:H40" si="1">G7+CIn</f>
        <v>1963.2209121391606</v>
      </c>
      <c r="I7" s="11">
        <f t="shared" ref="I7:I39" si="2">MAX(G7-CIn,0)</f>
        <v>0</v>
      </c>
      <c r="J7" s="1"/>
      <c r="K7" s="22" t="s">
        <v>0</v>
      </c>
      <c r="L7" s="5">
        <v>139747</v>
      </c>
    </row>
    <row r="8" spans="2:16" ht="15.6" x14ac:dyDescent="0.35">
      <c r="B8" s="10">
        <v>43886</v>
      </c>
      <c r="C8" s="4">
        <v>1</v>
      </c>
      <c r="D8" s="11">
        <f>'dpc-covid19-ita-andamento-naz'!K3</f>
        <v>322</v>
      </c>
      <c r="E8" s="11">
        <f>D8-D7</f>
        <v>93</v>
      </c>
      <c r="F8" s="11">
        <f t="shared" si="0"/>
        <v>1145.5725859351157</v>
      </c>
      <c r="G8" s="11">
        <f>F8-F7</f>
        <v>179.07756850988312</v>
      </c>
      <c r="H8" s="11">
        <f t="shared" si="1"/>
        <v>1175.8034632238111</v>
      </c>
      <c r="I8" s="11">
        <f t="shared" si="2"/>
        <v>0</v>
      </c>
      <c r="J8" s="1"/>
      <c r="K8" s="22" t="s">
        <v>33</v>
      </c>
      <c r="L8" s="5">
        <v>29</v>
      </c>
    </row>
    <row r="9" spans="2:16" x14ac:dyDescent="0.3">
      <c r="B9" s="10">
        <v>43887</v>
      </c>
      <c r="C9" s="4">
        <v>2</v>
      </c>
      <c r="D9" s="11">
        <f>'dpc-covid19-ita-andamento-naz'!K4</f>
        <v>400</v>
      </c>
      <c r="E9" s="11">
        <f t="shared" ref="E9:E40" si="3">D9-D8</f>
        <v>78</v>
      </c>
      <c r="F9" s="11">
        <f t="shared" si="0"/>
        <v>1357.5060808233845</v>
      </c>
      <c r="G9" s="11">
        <f t="shared" ref="G9:G66" si="4">F9-F8</f>
        <v>211.9334948882688</v>
      </c>
      <c r="H9" s="11">
        <f t="shared" si="1"/>
        <v>1208.6593896021968</v>
      </c>
      <c r="I9" s="11">
        <f t="shared" si="2"/>
        <v>0</v>
      </c>
      <c r="J9" s="1"/>
      <c r="K9" s="22" t="s">
        <v>1</v>
      </c>
      <c r="L9" s="25">
        <v>5.8385663936314742</v>
      </c>
    </row>
    <row r="10" spans="2:16" x14ac:dyDescent="0.3">
      <c r="B10" s="10">
        <v>43888</v>
      </c>
      <c r="C10" s="4">
        <v>3</v>
      </c>
      <c r="D10" s="11">
        <f>'dpc-covid19-ita-andamento-naz'!K5</f>
        <v>650</v>
      </c>
      <c r="E10" s="11">
        <f t="shared" si="3"/>
        <v>250</v>
      </c>
      <c r="F10" s="11">
        <f t="shared" si="0"/>
        <v>1608.1928145322022</v>
      </c>
      <c r="G10" s="11">
        <f t="shared" si="4"/>
        <v>250.68673370881766</v>
      </c>
      <c r="H10" s="11">
        <f t="shared" si="1"/>
        <v>1247.4126284227457</v>
      </c>
      <c r="I10" s="11">
        <f t="shared" si="2"/>
        <v>0</v>
      </c>
      <c r="J10" s="1"/>
      <c r="K10" s="6" t="s">
        <v>2</v>
      </c>
      <c r="L10" s="1">
        <f>AVERAGE(E7:E40)</f>
        <v>2719.7647058823532</v>
      </c>
    </row>
    <row r="11" spans="2:16" x14ac:dyDescent="0.3">
      <c r="B11" s="10">
        <v>43889</v>
      </c>
      <c r="C11" s="4">
        <v>4</v>
      </c>
      <c r="D11" s="11">
        <f>'dpc-covid19-ita-andamento-naz'!K6</f>
        <v>888</v>
      </c>
      <c r="E11" s="11">
        <f t="shared" si="3"/>
        <v>238</v>
      </c>
      <c r="F11" s="11">
        <f t="shared" si="0"/>
        <v>1904.5360454186455</v>
      </c>
      <c r="G11" s="11">
        <f t="shared" si="4"/>
        <v>296.34323088644328</v>
      </c>
      <c r="H11" s="11">
        <f t="shared" si="1"/>
        <v>1293.0691256003713</v>
      </c>
      <c r="I11" s="11">
        <f t="shared" si="2"/>
        <v>0</v>
      </c>
      <c r="J11" s="1"/>
      <c r="K11" s="6" t="s">
        <v>3</v>
      </c>
      <c r="L11" s="1">
        <f>COUNT(E7:E40)-COUNT(L7:L9)</f>
        <v>31</v>
      </c>
    </row>
    <row r="12" spans="2:16" x14ac:dyDescent="0.3">
      <c r="B12" s="10">
        <v>43890</v>
      </c>
      <c r="C12" s="4">
        <v>5</v>
      </c>
      <c r="D12" s="11">
        <f>'dpc-covid19-ita-andamento-naz'!K7</f>
        <v>1128</v>
      </c>
      <c r="E12" s="11">
        <f t="shared" si="3"/>
        <v>240</v>
      </c>
      <c r="F12" s="11">
        <f t="shared" si="0"/>
        <v>2254.5954665561148</v>
      </c>
      <c r="G12" s="11">
        <f t="shared" si="4"/>
        <v>350.05942113746937</v>
      </c>
      <c r="H12" s="11">
        <f t="shared" si="1"/>
        <v>1346.7853158513974</v>
      </c>
      <c r="I12" s="11">
        <f t="shared" si="2"/>
        <v>0</v>
      </c>
      <c r="J12" s="1"/>
      <c r="K12" s="6" t="s">
        <v>4</v>
      </c>
      <c r="L12" s="7" cm="1">
        <f t="array" ref="L12">SQRT(SUM((E7:E40-G7:G40)^2)/dfn)</f>
        <v>488.70768490152938</v>
      </c>
    </row>
    <row r="13" spans="2:16" ht="16.2" x14ac:dyDescent="0.3">
      <c r="B13" s="23">
        <v>43891</v>
      </c>
      <c r="C13" s="4">
        <v>6</v>
      </c>
      <c r="D13" s="11">
        <f>'dpc-covid19-ita-andamento-naz'!K8</f>
        <v>1694</v>
      </c>
      <c r="E13" s="11">
        <f t="shared" si="3"/>
        <v>566</v>
      </c>
      <c r="F13" s="11">
        <f t="shared" si="0"/>
        <v>2667.7516057911935</v>
      </c>
      <c r="G13" s="11">
        <f t="shared" si="4"/>
        <v>413.15613923507863</v>
      </c>
      <c r="H13" s="11">
        <f t="shared" si="1"/>
        <v>1409.8820339490067</v>
      </c>
      <c r="I13" s="11">
        <f t="shared" si="2"/>
        <v>0</v>
      </c>
      <c r="J13" s="1"/>
      <c r="K13" s="6" t="s">
        <v>5</v>
      </c>
      <c r="L13" s="8" cm="1">
        <f t="array" ref="L13">1-SUM((E7:E40-G7:G40)^2)/SUM((E7:E40-Mean_of_yn)^2)</f>
        <v>0.95598694824686858</v>
      </c>
    </row>
    <row r="14" spans="2:16" x14ac:dyDescent="0.3">
      <c r="B14" s="10">
        <v>43892</v>
      </c>
      <c r="C14" s="4">
        <v>7</v>
      </c>
      <c r="D14" s="11">
        <f>'dpc-covid19-ita-andamento-naz'!K9</f>
        <v>2036</v>
      </c>
      <c r="E14" s="11">
        <f t="shared" si="3"/>
        <v>342</v>
      </c>
      <c r="F14" s="11">
        <f t="shared" si="0"/>
        <v>3154.88162874709</v>
      </c>
      <c r="G14" s="11">
        <f t="shared" si="4"/>
        <v>487.13002295589649</v>
      </c>
      <c r="H14" s="11">
        <f t="shared" si="1"/>
        <v>1483.8559176698245</v>
      </c>
      <c r="I14" s="11">
        <f t="shared" si="2"/>
        <v>0</v>
      </c>
      <c r="J14" s="1"/>
      <c r="K14" s="6" t="s">
        <v>6</v>
      </c>
      <c r="L14" s="8">
        <f>TINV(0.05,dfn)</f>
        <v>2.0395134463964082</v>
      </c>
    </row>
    <row r="15" spans="2:16" x14ac:dyDescent="0.3">
      <c r="B15" s="10">
        <v>43893</v>
      </c>
      <c r="C15" s="4">
        <v>8</v>
      </c>
      <c r="D15" s="11">
        <f>'dpc-covid19-ita-andamento-naz'!K10</f>
        <v>2502</v>
      </c>
      <c r="E15" s="11">
        <f t="shared" si="3"/>
        <v>466</v>
      </c>
      <c r="F15" s="11">
        <f t="shared" si="0"/>
        <v>3728.5419120358033</v>
      </c>
      <c r="G15" s="11">
        <f t="shared" si="4"/>
        <v>573.66028328871334</v>
      </c>
      <c r="H15" s="11">
        <f t="shared" si="1"/>
        <v>1570.3861780026414</v>
      </c>
      <c r="I15" s="11">
        <f t="shared" si="2"/>
        <v>0</v>
      </c>
      <c r="J15" s="1"/>
      <c r="K15" s="6" t="s">
        <v>7</v>
      </c>
      <c r="L15" s="1">
        <f>Critical_tn*SE_of_yn</f>
        <v>996.72589471392803</v>
      </c>
    </row>
    <row r="16" spans="2:16" x14ac:dyDescent="0.3">
      <c r="B16" s="10">
        <v>43894</v>
      </c>
      <c r="C16" s="4">
        <v>9</v>
      </c>
      <c r="D16" s="11">
        <f>'dpc-covid19-ita-andamento-naz'!K11</f>
        <v>3089</v>
      </c>
      <c r="E16" s="11">
        <f t="shared" si="3"/>
        <v>587</v>
      </c>
      <c r="F16" s="11">
        <f t="shared" si="0"/>
        <v>4403.1498121119384</v>
      </c>
      <c r="G16" s="11">
        <f t="shared" si="4"/>
        <v>674.60790007613514</v>
      </c>
      <c r="H16" s="11">
        <f t="shared" si="1"/>
        <v>1671.3337947900632</v>
      </c>
      <c r="I16" s="11">
        <f t="shared" si="2"/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'dpc-covid19-ita-andamento-naz'!K12</f>
        <v>3858</v>
      </c>
      <c r="E17" s="11">
        <f t="shared" si="3"/>
        <v>769</v>
      </c>
      <c r="F17" s="11">
        <f t="shared" si="0"/>
        <v>5195.1531136381345</v>
      </c>
      <c r="G17" s="11">
        <f t="shared" si="4"/>
        <v>792.00330152619608</v>
      </c>
      <c r="H17" s="11">
        <f t="shared" si="1"/>
        <v>1788.7291962401241</v>
      </c>
      <c r="I17" s="11">
        <f t="shared" si="2"/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'dpc-covid19-ita-andamento-naz'!K13</f>
        <v>4636</v>
      </c>
      <c r="E18" s="11">
        <f t="shared" si="3"/>
        <v>778</v>
      </c>
      <c r="F18" s="11">
        <f t="shared" si="0"/>
        <v>6123.1705413936315</v>
      </c>
      <c r="G18" s="11">
        <f t="shared" si="4"/>
        <v>928.01742775549701</v>
      </c>
      <c r="H18" s="11">
        <f t="shared" si="1"/>
        <v>1924.743322469425</v>
      </c>
      <c r="I18" s="11">
        <f t="shared" si="2"/>
        <v>0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'dpc-covid19-ita-andamento-naz'!K14</f>
        <v>5883</v>
      </c>
      <c r="E19" s="11">
        <f t="shared" si="3"/>
        <v>1247</v>
      </c>
      <c r="F19" s="11">
        <f t="shared" si="0"/>
        <v>7208.0803813256744</v>
      </c>
      <c r="G19" s="11">
        <f t="shared" si="4"/>
        <v>1084.9098399320428</v>
      </c>
      <c r="H19" s="11">
        <f t="shared" si="1"/>
        <v>2081.6357346459708</v>
      </c>
      <c r="I19" s="11">
        <f t="shared" si="2"/>
        <v>88.183945218114786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'dpc-covid19-ita-andamento-naz'!K15</f>
        <v>7375</v>
      </c>
      <c r="E20" s="11">
        <f t="shared" si="3"/>
        <v>1492</v>
      </c>
      <c r="F20" s="11">
        <f t="shared" si="0"/>
        <v>8473.0267648055506</v>
      </c>
      <c r="G20" s="11">
        <f t="shared" si="4"/>
        <v>1264.9463834798762</v>
      </c>
      <c r="H20" s="11">
        <f t="shared" si="1"/>
        <v>2261.6722781938042</v>
      </c>
      <c r="I20" s="11">
        <f t="shared" si="2"/>
        <v>268.22048876594818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'dpc-covid19-ita-andamento-naz'!K16</f>
        <v>9172</v>
      </c>
      <c r="E21" s="11">
        <f t="shared" si="3"/>
        <v>1797</v>
      </c>
      <c r="F21" s="11">
        <f t="shared" si="0"/>
        <v>9943.304905503961</v>
      </c>
      <c r="G21" s="11">
        <f t="shared" si="4"/>
        <v>1470.2781406984104</v>
      </c>
      <c r="H21" s="11">
        <f t="shared" si="1"/>
        <v>2467.0040354123385</v>
      </c>
      <c r="I21" s="11">
        <f t="shared" si="2"/>
        <v>473.5522459844824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'dpc-covid19-ita-andamento-naz'!K17</f>
        <v>10149</v>
      </c>
      <c r="E22" s="11">
        <f t="shared" si="3"/>
        <v>977</v>
      </c>
      <c r="F22" s="11">
        <f t="shared" si="0"/>
        <v>11646.078386308167</v>
      </c>
      <c r="G22" s="11">
        <f t="shared" si="4"/>
        <v>1702.773480804206</v>
      </c>
      <c r="H22" s="11">
        <f t="shared" si="1"/>
        <v>2699.499375518134</v>
      </c>
      <c r="I22" s="11">
        <f t="shared" si="2"/>
        <v>706.04758609027795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'dpc-covid19-ita-andamento-naz'!K18</f>
        <v>12462</v>
      </c>
      <c r="E23" s="11">
        <f t="shared" si="3"/>
        <v>2313</v>
      </c>
      <c r="F23" s="11">
        <f t="shared" si="0"/>
        <v>13609.874985180844</v>
      </c>
      <c r="G23" s="11">
        <f t="shared" si="4"/>
        <v>1963.7965988726774</v>
      </c>
      <c r="H23" s="11">
        <f t="shared" si="1"/>
        <v>2960.5224935866054</v>
      </c>
      <c r="I23" s="11">
        <f t="shared" si="2"/>
        <v>967.07070415874932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'dpc-covid19-ita-andamento-naz'!K19</f>
        <v>15113</v>
      </c>
      <c r="E24" s="11">
        <f t="shared" si="3"/>
        <v>2651</v>
      </c>
      <c r="F24" s="11">
        <f t="shared" si="0"/>
        <v>15863.804862534709</v>
      </c>
      <c r="G24" s="11">
        <f t="shared" si="4"/>
        <v>2253.9298773538649</v>
      </c>
      <c r="H24" s="11">
        <f t="shared" si="1"/>
        <v>3250.6557720677929</v>
      </c>
      <c r="I24" s="11">
        <f t="shared" si="2"/>
        <v>1257.2039826399368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'dpc-covid19-ita-andamento-naz'!K20</f>
        <v>17660</v>
      </c>
      <c r="E25" s="11">
        <f t="shared" si="3"/>
        <v>2547</v>
      </c>
      <c r="F25" s="11">
        <f t="shared" si="0"/>
        <v>18436.449490797535</v>
      </c>
      <c r="G25" s="11">
        <f t="shared" si="4"/>
        <v>2572.6446282628258</v>
      </c>
      <c r="H25" s="11">
        <f t="shared" si="1"/>
        <v>3569.3705229767538</v>
      </c>
      <c r="I25" s="11">
        <f t="shared" si="2"/>
        <v>1575.9187335488978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'dpc-covid19-ita-andamento-naz'!K21</f>
        <v>21157</v>
      </c>
      <c r="E26" s="11">
        <f t="shared" si="3"/>
        <v>3497</v>
      </c>
      <c r="F26" s="11">
        <f t="shared" si="0"/>
        <v>21354.385514907917</v>
      </c>
      <c r="G26" s="11">
        <f t="shared" si="4"/>
        <v>2917.9360241103823</v>
      </c>
      <c r="H26" s="11">
        <f t="shared" si="1"/>
        <v>3914.6619188243103</v>
      </c>
      <c r="I26" s="11">
        <f t="shared" si="2"/>
        <v>1921.2101293964542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'dpc-covid19-ita-andamento-naz'!K22</f>
        <v>24747</v>
      </c>
      <c r="E27" s="11">
        <f t="shared" si="3"/>
        <v>3590</v>
      </c>
      <c r="F27" s="11">
        <f t="shared" si="0"/>
        <v>24640.338927450255</v>
      </c>
      <c r="G27" s="11">
        <f t="shared" si="4"/>
        <v>3285.9534125423379</v>
      </c>
      <c r="H27" s="11">
        <f t="shared" si="1"/>
        <v>4282.6793072562659</v>
      </c>
      <c r="I27" s="11">
        <f t="shared" si="2"/>
        <v>2289.2275178284099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'dpc-covid19-ita-andamento-naz'!K23</f>
        <v>27980</v>
      </c>
      <c r="E28" s="11">
        <f t="shared" si="3"/>
        <v>3233</v>
      </c>
      <c r="F28" s="11">
        <f t="shared" si="0"/>
        <v>28311.014502124584</v>
      </c>
      <c r="G28" s="11">
        <f t="shared" si="4"/>
        <v>3670.6755746743293</v>
      </c>
      <c r="H28" s="11">
        <f t="shared" si="1"/>
        <v>4667.4014693882573</v>
      </c>
      <c r="I28" s="11">
        <f t="shared" si="2"/>
        <v>2673.9496799604012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'dpc-covid19-ita-andamento-naz'!K24</f>
        <v>31506</v>
      </c>
      <c r="E29" s="11">
        <f t="shared" si="3"/>
        <v>3526</v>
      </c>
      <c r="F29" s="11">
        <f t="shared" si="0"/>
        <v>32374.713215661002</v>
      </c>
      <c r="G29" s="11">
        <f t="shared" si="4"/>
        <v>4063.6987135364179</v>
      </c>
      <c r="H29" s="11">
        <f t="shared" si="1"/>
        <v>5060.424608250346</v>
      </c>
      <c r="I29" s="11">
        <f t="shared" si="2"/>
        <v>3066.9728188224899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'dpc-covid19-ita-andamento-naz'!K25</f>
        <v>35713</v>
      </c>
      <c r="E30" s="11">
        <f t="shared" si="3"/>
        <v>4207</v>
      </c>
      <c r="F30" s="11">
        <f t="shared" si="0"/>
        <v>36828.930784910975</v>
      </c>
      <c r="G30" s="11">
        <f t="shared" si="4"/>
        <v>4454.2175692499732</v>
      </c>
      <c r="H30" s="11">
        <f t="shared" si="1"/>
        <v>5450.9434639639012</v>
      </c>
      <c r="I30" s="11">
        <f t="shared" si="2"/>
        <v>3457.4916745360451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'dpc-covid19-ita-andamento-naz'!K26</f>
        <v>41035</v>
      </c>
      <c r="E31" s="11">
        <f t="shared" si="3"/>
        <v>5322</v>
      </c>
      <c r="F31" s="11">
        <f t="shared" si="0"/>
        <v>41658.210409073406</v>
      </c>
      <c r="G31" s="11">
        <f t="shared" si="4"/>
        <v>4829.279624162431</v>
      </c>
      <c r="H31" s="11">
        <f t="shared" si="1"/>
        <v>5826.005518876359</v>
      </c>
      <c r="I31" s="11">
        <f t="shared" si="2"/>
        <v>3832.553729448503</v>
      </c>
    </row>
    <row r="32" spans="2:15" x14ac:dyDescent="0.3">
      <c r="B32" s="10">
        <v>43910</v>
      </c>
      <c r="C32" s="4">
        <v>25</v>
      </c>
      <c r="D32" s="11">
        <f>'dpc-covid19-ita-andamento-naz'!K27</f>
        <v>47021</v>
      </c>
      <c r="E32" s="11">
        <f t="shared" si="3"/>
        <v>5986</v>
      </c>
      <c r="F32" s="11">
        <f t="shared" si="0"/>
        <v>46832.581693364293</v>
      </c>
      <c r="G32" s="11">
        <f t="shared" si="4"/>
        <v>5174.3712842908863</v>
      </c>
      <c r="H32" s="11">
        <f t="shared" si="1"/>
        <v>6171.0971790048143</v>
      </c>
      <c r="I32" s="11">
        <f t="shared" si="2"/>
        <v>4177.6453895769582</v>
      </c>
    </row>
    <row r="33" spans="2:9" x14ac:dyDescent="0.3">
      <c r="B33" s="10">
        <v>43911</v>
      </c>
      <c r="C33" s="4">
        <v>26</v>
      </c>
      <c r="D33" s="11">
        <f>'dpc-covid19-ita-andamento-naz'!K28</f>
        <v>53578</v>
      </c>
      <c r="E33" s="11">
        <f t="shared" si="3"/>
        <v>6557</v>
      </c>
      <c r="F33" s="11">
        <f t="shared" si="0"/>
        <v>52306.930432836867</v>
      </c>
      <c r="G33" s="11">
        <f t="shared" si="4"/>
        <v>5474.3487394725744</v>
      </c>
      <c r="H33" s="11">
        <f t="shared" si="1"/>
        <v>6471.0746341865024</v>
      </c>
      <c r="I33" s="11">
        <f t="shared" si="2"/>
        <v>4477.6228447586464</v>
      </c>
    </row>
    <row r="34" spans="2:9" x14ac:dyDescent="0.3">
      <c r="B34" s="10">
        <v>43912</v>
      </c>
      <c r="C34" s="4">
        <v>27</v>
      </c>
      <c r="D34" s="11">
        <f>'dpc-covid19-ita-andamento-naz'!K29</f>
        <v>59138</v>
      </c>
      <c r="E34" s="11">
        <f t="shared" si="3"/>
        <v>5560</v>
      </c>
      <c r="F34" s="11">
        <f t="shared" si="0"/>
        <v>58021.588100353525</v>
      </c>
      <c r="G34" s="11">
        <f t="shared" si="4"/>
        <v>5714.657667516658</v>
      </c>
      <c r="H34" s="11">
        <f t="shared" si="1"/>
        <v>6711.383562230586</v>
      </c>
      <c r="I34" s="11">
        <f t="shared" si="2"/>
        <v>4717.9317728027299</v>
      </c>
    </row>
    <row r="35" spans="2:9" x14ac:dyDescent="0.3">
      <c r="B35" s="23">
        <v>43913</v>
      </c>
      <c r="C35" s="4">
        <v>28</v>
      </c>
      <c r="D35" s="11">
        <f>'dpc-covid19-ita-andamento-naz'!K30</f>
        <v>63927</v>
      </c>
      <c r="E35" s="11">
        <f t="shared" si="3"/>
        <v>4789</v>
      </c>
      <c r="F35" s="11">
        <f t="shared" si="0"/>
        <v>63904.296026915254</v>
      </c>
      <c r="G35" s="11">
        <f t="shared" si="4"/>
        <v>5882.7079265617285</v>
      </c>
      <c r="H35" s="11">
        <f t="shared" si="1"/>
        <v>6879.4338212756566</v>
      </c>
      <c r="I35" s="11">
        <f t="shared" si="2"/>
        <v>4885.9820318478005</v>
      </c>
    </row>
    <row r="36" spans="2:9" x14ac:dyDescent="0.3">
      <c r="B36" s="10">
        <v>43914</v>
      </c>
      <c r="C36" s="4">
        <v>29</v>
      </c>
      <c r="D36" s="11">
        <f>'dpc-covid19-ita-andamento-naz'!K31</f>
        <v>69176</v>
      </c>
      <c r="E36" s="11">
        <f t="shared" si="3"/>
        <v>5249</v>
      </c>
      <c r="F36" s="11">
        <f t="shared" si="0"/>
        <v>69873.5</v>
      </c>
      <c r="G36" s="11">
        <f t="shared" si="4"/>
        <v>5969.2039730847464</v>
      </c>
      <c r="H36" s="11">
        <f t="shared" si="1"/>
        <v>6965.9298677986744</v>
      </c>
      <c r="I36" s="11">
        <f t="shared" si="2"/>
        <v>4972.4780783708184</v>
      </c>
    </row>
    <row r="37" spans="2:9" x14ac:dyDescent="0.3">
      <c r="B37" s="10">
        <v>43915</v>
      </c>
      <c r="C37" s="4">
        <v>30</v>
      </c>
      <c r="D37" s="11">
        <f>'dpc-covid19-ita-andamento-naz'!K32</f>
        <v>74386</v>
      </c>
      <c r="E37" s="11">
        <f t="shared" si="3"/>
        <v>5210</v>
      </c>
      <c r="F37" s="11">
        <f t="shared" si="0"/>
        <v>75842.703973084746</v>
      </c>
      <c r="G37" s="11">
        <f t="shared" si="4"/>
        <v>5969.2039730847464</v>
      </c>
      <c r="H37" s="11">
        <f t="shared" si="1"/>
        <v>6965.9298677986744</v>
      </c>
      <c r="I37" s="11">
        <f t="shared" si="2"/>
        <v>4972.4780783708184</v>
      </c>
    </row>
    <row r="38" spans="2:9" x14ac:dyDescent="0.3">
      <c r="B38" s="10">
        <v>43916</v>
      </c>
      <c r="C38" s="4">
        <v>31</v>
      </c>
      <c r="D38" s="11">
        <f>'dpc-covid19-ita-andamento-naz'!K33</f>
        <v>80539</v>
      </c>
      <c r="E38" s="11">
        <f t="shared" si="3"/>
        <v>6153</v>
      </c>
      <c r="F38" s="11">
        <f t="shared" si="0"/>
        <v>81725.411899646468</v>
      </c>
      <c r="G38" s="11">
        <f t="shared" si="4"/>
        <v>5882.7079265617213</v>
      </c>
      <c r="H38" s="11">
        <f t="shared" si="1"/>
        <v>6879.4338212756493</v>
      </c>
      <c r="I38" s="11">
        <f t="shared" si="2"/>
        <v>4885.9820318477932</v>
      </c>
    </row>
    <row r="39" spans="2:9" x14ac:dyDescent="0.3">
      <c r="B39" s="10">
        <v>43917</v>
      </c>
      <c r="C39" s="4">
        <v>32</v>
      </c>
      <c r="D39" s="11">
        <f>'dpc-covid19-ita-andamento-naz'!K34</f>
        <v>86498</v>
      </c>
      <c r="E39" s="11">
        <f t="shared" si="3"/>
        <v>5959</v>
      </c>
      <c r="F39" s="11">
        <f t="shared" ref="F39:F66" si="5">Kn/(1+EXP(-(C39-t0n)/wn))</f>
        <v>87440.069567163126</v>
      </c>
      <c r="G39" s="11">
        <f t="shared" si="4"/>
        <v>5714.657667516658</v>
      </c>
      <c r="H39" s="11">
        <f t="shared" si="1"/>
        <v>6711.383562230586</v>
      </c>
      <c r="I39" s="11">
        <f t="shared" si="2"/>
        <v>4717.9317728027299</v>
      </c>
    </row>
    <row r="40" spans="2:9" x14ac:dyDescent="0.3">
      <c r="B40" s="10">
        <v>43918</v>
      </c>
      <c r="C40" s="4">
        <v>33</v>
      </c>
      <c r="D40" s="11">
        <f>'dpc-covid19-ita-andamento-naz'!K35</f>
        <v>92472</v>
      </c>
      <c r="E40" s="11">
        <f t="shared" si="3"/>
        <v>5974</v>
      </c>
      <c r="F40" s="11">
        <f t="shared" si="5"/>
        <v>92914.418306635707</v>
      </c>
      <c r="G40" s="11">
        <f t="shared" si="4"/>
        <v>5474.3487394725817</v>
      </c>
      <c r="H40" s="11">
        <f t="shared" si="1"/>
        <v>6471.0746341865097</v>
      </c>
      <c r="I40" s="11">
        <f t="shared" ref="I40" si="6">MAX(G40-CIn,0)</f>
        <v>4477.6228447586536</v>
      </c>
    </row>
    <row r="41" spans="2:9" x14ac:dyDescent="0.3">
      <c r="B41" s="10">
        <v>43919</v>
      </c>
      <c r="C41" s="4">
        <v>34</v>
      </c>
      <c r="E41" s="11"/>
      <c r="F41" s="11">
        <f t="shared" si="5"/>
        <v>98088.789590926579</v>
      </c>
      <c r="G41" s="11">
        <f t="shared" si="4"/>
        <v>5174.3712842908717</v>
      </c>
    </row>
    <row r="42" spans="2:9" x14ac:dyDescent="0.3">
      <c r="B42" s="10">
        <v>43920</v>
      </c>
      <c r="C42" s="4">
        <v>35</v>
      </c>
      <c r="E42" s="11"/>
      <c r="F42" s="11">
        <f t="shared" si="5"/>
        <v>102918.06921508901</v>
      </c>
      <c r="G42" s="11">
        <f t="shared" si="4"/>
        <v>4829.279624162431</v>
      </c>
    </row>
    <row r="43" spans="2:9" x14ac:dyDescent="0.3">
      <c r="B43" s="10">
        <v>43921</v>
      </c>
      <c r="C43" s="4">
        <v>36</v>
      </c>
      <c r="E43" s="11"/>
      <c r="F43" s="11">
        <f t="shared" si="5"/>
        <v>107372.286784339</v>
      </c>
      <c r="G43" s="11">
        <f t="shared" si="4"/>
        <v>4454.2175692499877</v>
      </c>
    </row>
    <row r="44" spans="2:9" x14ac:dyDescent="0.3">
      <c r="B44" s="10">
        <v>43922</v>
      </c>
      <c r="C44" s="4">
        <v>37</v>
      </c>
      <c r="E44" s="11"/>
      <c r="F44" s="11">
        <f t="shared" si="5"/>
        <v>111435.98549787542</v>
      </c>
      <c r="G44" s="11">
        <f t="shared" si="4"/>
        <v>4063.6987135364179</v>
      </c>
    </row>
    <row r="45" spans="2:9" x14ac:dyDescent="0.3">
      <c r="B45" s="10">
        <v>43923</v>
      </c>
      <c r="C45" s="4">
        <v>38</v>
      </c>
      <c r="E45" s="11"/>
      <c r="F45" s="11">
        <f t="shared" si="5"/>
        <v>115106.66107254973</v>
      </c>
      <c r="G45" s="11">
        <f t="shared" si="4"/>
        <v>3670.6755746743147</v>
      </c>
    </row>
    <row r="46" spans="2:9" x14ac:dyDescent="0.3">
      <c r="B46" s="10">
        <v>43924</v>
      </c>
      <c r="C46" s="4">
        <v>39</v>
      </c>
      <c r="E46" s="11"/>
      <c r="F46" s="11">
        <f t="shared" si="5"/>
        <v>118392.61448509208</v>
      </c>
      <c r="G46" s="11">
        <f t="shared" si="4"/>
        <v>3285.9534125423525</v>
      </c>
    </row>
    <row r="47" spans="2:9" x14ac:dyDescent="0.3">
      <c r="B47" s="10">
        <v>43925</v>
      </c>
      <c r="C47" s="4">
        <v>40</v>
      </c>
      <c r="E47" s="11"/>
      <c r="F47" s="11">
        <f t="shared" si="5"/>
        <v>121310.55050920247</v>
      </c>
      <c r="G47" s="11">
        <f t="shared" si="4"/>
        <v>2917.9360241103859</v>
      </c>
    </row>
    <row r="48" spans="2:9" x14ac:dyDescent="0.3">
      <c r="B48" s="10">
        <v>43926</v>
      </c>
      <c r="C48" s="4">
        <v>41</v>
      </c>
      <c r="E48" s="11"/>
      <c r="F48" s="11">
        <f t="shared" si="5"/>
        <v>123883.1951374653</v>
      </c>
      <c r="G48" s="11">
        <f t="shared" si="4"/>
        <v>2572.6446282628312</v>
      </c>
    </row>
    <row r="49" spans="2:7" x14ac:dyDescent="0.3">
      <c r="B49" s="10">
        <v>43927</v>
      </c>
      <c r="C49" s="4">
        <v>42</v>
      </c>
      <c r="E49" s="11"/>
      <c r="F49" s="11">
        <f t="shared" si="5"/>
        <v>126137.12501481915</v>
      </c>
      <c r="G49" s="11">
        <f t="shared" si="4"/>
        <v>2253.9298773538467</v>
      </c>
    </row>
    <row r="50" spans="2:7" x14ac:dyDescent="0.3">
      <c r="B50" s="10">
        <v>43928</v>
      </c>
      <c r="C50" s="4">
        <v>43</v>
      </c>
      <c r="E50" s="11"/>
      <c r="F50" s="11">
        <f t="shared" si="5"/>
        <v>128100.92161369183</v>
      </c>
      <c r="G50" s="11">
        <f t="shared" si="4"/>
        <v>1963.7965988726792</v>
      </c>
    </row>
    <row r="51" spans="2:7" x14ac:dyDescent="0.3">
      <c r="B51" s="10">
        <v>43929</v>
      </c>
      <c r="C51" s="4">
        <v>44</v>
      </c>
      <c r="E51" s="11"/>
      <c r="F51" s="11">
        <f t="shared" si="5"/>
        <v>129803.69509449603</v>
      </c>
      <c r="G51" s="11">
        <f t="shared" si="4"/>
        <v>1702.7734808042005</v>
      </c>
    </row>
    <row r="52" spans="2:7" x14ac:dyDescent="0.3">
      <c r="B52" s="10">
        <v>43930</v>
      </c>
      <c r="C52" s="4">
        <v>45</v>
      </c>
      <c r="E52" s="11"/>
      <c r="F52" s="11">
        <f t="shared" si="5"/>
        <v>131273.97323519443</v>
      </c>
      <c r="G52" s="11">
        <f t="shared" si="4"/>
        <v>1470.2781406983995</v>
      </c>
    </row>
    <row r="53" spans="2:7" x14ac:dyDescent="0.3">
      <c r="B53" s="10">
        <v>43931</v>
      </c>
      <c r="C53" s="4">
        <v>46</v>
      </c>
      <c r="E53" s="11"/>
      <c r="F53" s="11">
        <f t="shared" si="5"/>
        <v>132538.91961867432</v>
      </c>
      <c r="G53" s="11">
        <f t="shared" si="4"/>
        <v>1264.9463834798953</v>
      </c>
    </row>
    <row r="54" spans="2:7" x14ac:dyDescent="0.3">
      <c r="B54" s="10">
        <v>43932</v>
      </c>
      <c r="C54" s="4">
        <v>47</v>
      </c>
      <c r="E54" s="11"/>
      <c r="F54" s="11">
        <f t="shared" si="5"/>
        <v>133623.82945860637</v>
      </c>
      <c r="G54" s="11">
        <f t="shared" si="4"/>
        <v>1084.9098399320501</v>
      </c>
    </row>
    <row r="55" spans="2:7" x14ac:dyDescent="0.3">
      <c r="B55" s="10">
        <v>43933</v>
      </c>
      <c r="C55" s="4">
        <v>48</v>
      </c>
      <c r="E55" s="11"/>
      <c r="F55" s="11">
        <f t="shared" si="5"/>
        <v>134551.84688636186</v>
      </c>
      <c r="G55" s="11">
        <f t="shared" si="4"/>
        <v>928.01742775549064</v>
      </c>
    </row>
    <row r="56" spans="2:7" x14ac:dyDescent="0.3">
      <c r="B56" s="10">
        <v>43934</v>
      </c>
      <c r="C56" s="4">
        <v>49</v>
      </c>
      <c r="E56" s="11"/>
      <c r="F56" s="11">
        <f t="shared" si="5"/>
        <v>135343.85018788805</v>
      </c>
      <c r="G56" s="11">
        <f t="shared" si="4"/>
        <v>792.00330152618699</v>
      </c>
    </row>
    <row r="57" spans="2:7" x14ac:dyDescent="0.3">
      <c r="B57" s="10">
        <v>43935</v>
      </c>
      <c r="C57" s="4">
        <v>50</v>
      </c>
      <c r="E57" s="11"/>
      <c r="F57" s="11">
        <f t="shared" si="5"/>
        <v>136018.45808796422</v>
      </c>
      <c r="G57" s="11">
        <f t="shared" si="4"/>
        <v>674.60790007616743</v>
      </c>
    </row>
    <row r="58" spans="2:7" x14ac:dyDescent="0.3">
      <c r="B58" s="10">
        <v>43936</v>
      </c>
      <c r="C58" s="4">
        <v>51</v>
      </c>
      <c r="E58" s="11"/>
      <c r="F58" s="11">
        <f t="shared" si="5"/>
        <v>136592.11837125293</v>
      </c>
      <c r="G58" s="11">
        <f t="shared" si="4"/>
        <v>573.66028328871471</v>
      </c>
    </row>
    <row r="59" spans="2:7" x14ac:dyDescent="0.3">
      <c r="B59" s="10">
        <v>43937</v>
      </c>
      <c r="C59" s="4">
        <v>52</v>
      </c>
      <c r="E59" s="11"/>
      <c r="F59" s="11">
        <f t="shared" si="5"/>
        <v>137079.24839420881</v>
      </c>
      <c r="G59" s="11">
        <f t="shared" si="4"/>
        <v>487.13002295588376</v>
      </c>
    </row>
    <row r="60" spans="2:7" x14ac:dyDescent="0.3">
      <c r="B60" s="10">
        <v>43938</v>
      </c>
      <c r="C60" s="4">
        <v>53</v>
      </c>
      <c r="E60" s="11"/>
      <c r="F60" s="11">
        <f t="shared" si="5"/>
        <v>137492.40453344389</v>
      </c>
      <c r="G60" s="11">
        <f t="shared" si="4"/>
        <v>413.15613923507044</v>
      </c>
    </row>
    <row r="61" spans="2:7" x14ac:dyDescent="0.3">
      <c r="B61" s="10">
        <v>43939</v>
      </c>
      <c r="C61" s="4">
        <v>54</v>
      </c>
      <c r="E61" s="11"/>
      <c r="F61" s="11">
        <f t="shared" si="5"/>
        <v>137842.46395458136</v>
      </c>
      <c r="G61" s="11">
        <f t="shared" si="4"/>
        <v>350.05942113747005</v>
      </c>
    </row>
    <row r="62" spans="2:7" x14ac:dyDescent="0.3">
      <c r="B62" s="10">
        <v>43940</v>
      </c>
      <c r="C62" s="4">
        <v>55</v>
      </c>
      <c r="E62" s="11"/>
      <c r="F62" s="11">
        <f t="shared" si="5"/>
        <v>138138.8071854678</v>
      </c>
      <c r="G62" s="11">
        <f t="shared" si="4"/>
        <v>296.34323088644305</v>
      </c>
    </row>
    <row r="63" spans="2:7" x14ac:dyDescent="0.3">
      <c r="B63" s="10">
        <v>43941</v>
      </c>
      <c r="C63" s="4">
        <v>56</v>
      </c>
      <c r="E63" s="11"/>
      <c r="F63" s="11">
        <f t="shared" si="5"/>
        <v>138389.4939191766</v>
      </c>
      <c r="G63" s="11">
        <f t="shared" si="4"/>
        <v>250.68673370880424</v>
      </c>
    </row>
    <row r="64" spans="2:7" x14ac:dyDescent="0.3">
      <c r="B64" s="10">
        <v>43942</v>
      </c>
      <c r="C64" s="4">
        <v>57</v>
      </c>
      <c r="E64" s="11"/>
      <c r="F64" s="11">
        <f t="shared" si="5"/>
        <v>138601.42741406488</v>
      </c>
      <c r="G64" s="11">
        <f t="shared" si="4"/>
        <v>211.93349488827516</v>
      </c>
    </row>
    <row r="65" spans="2:7" x14ac:dyDescent="0.3">
      <c r="B65" s="10">
        <v>43943</v>
      </c>
      <c r="C65" s="4">
        <v>58</v>
      </c>
      <c r="E65" s="11"/>
      <c r="F65" s="11">
        <f t="shared" si="5"/>
        <v>138780.50498257478</v>
      </c>
      <c r="G65" s="11">
        <f t="shared" si="4"/>
        <v>179.077568509907</v>
      </c>
    </row>
    <row r="66" spans="2:7" x14ac:dyDescent="0.3">
      <c r="B66" s="10">
        <v>43944</v>
      </c>
      <c r="C66" s="4">
        <v>59</v>
      </c>
      <c r="E66" s="11"/>
      <c r="F66" s="11">
        <f t="shared" si="5"/>
        <v>138931.75354308562</v>
      </c>
      <c r="G66" s="11">
        <f t="shared" si="4"/>
        <v>151.24856051083771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27</vt:i4>
      </vt:variant>
    </vt:vector>
  </HeadingPairs>
  <TitlesOfParts>
    <vt:vector size="30" baseType="lpstr">
      <vt:lpstr>dpc-covid19-ita-andamento-naz</vt:lpstr>
      <vt:lpstr>Cumul_confirmed - Boltzmann fit</vt:lpstr>
      <vt:lpstr>New_confirmed - Boltzmann fit</vt:lpstr>
      <vt:lpstr>CI</vt:lpstr>
      <vt:lpstr>CIh</vt:lpstr>
      <vt:lpstr>CIn</vt:lpstr>
      <vt:lpstr>Critical_t</vt:lpstr>
      <vt:lpstr>Critical_th</vt:lpstr>
      <vt:lpstr>Critical_tn</vt:lpstr>
      <vt:lpstr>df</vt:lpstr>
      <vt:lpstr>dfh</vt:lpstr>
      <vt:lpstr>dfn</vt:lpstr>
      <vt:lpstr>K</vt:lpstr>
      <vt:lpstr>Kh</vt:lpstr>
      <vt:lpstr>Kn</vt:lpstr>
      <vt:lpstr>Mean_of_y</vt:lpstr>
      <vt:lpstr>Mean_of_yh</vt:lpstr>
      <vt:lpstr>Mean_of_yn</vt:lpstr>
      <vt:lpstr>RSQ</vt:lpstr>
      <vt:lpstr>RSQh</vt:lpstr>
      <vt:lpstr>RSQn</vt:lpstr>
      <vt:lpstr>SE_of_y</vt:lpstr>
      <vt:lpstr>SE_of_yh</vt:lpstr>
      <vt:lpstr>SE_of_yn</vt:lpstr>
      <vt:lpstr>t0</vt:lpstr>
      <vt:lpstr>t0h</vt:lpstr>
      <vt:lpstr>t0n</vt:lpstr>
      <vt:lpstr>w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2020-03-29T01:43:58Z</dcterms:modified>
</cp:coreProperties>
</file>