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32AA5FC8-55E8-4266-AEF6-CCDB27671B7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fit'!$N$15</definedName>
    <definedName name="CIh">'Cumul_ confirmed - Gompertz fit'!$N$26</definedName>
    <definedName name="CIn">'New_ confirmed - Gompertz fit'!$L$15</definedName>
    <definedName name="Critical_t">'Cumul_ confirmed - Gompertz fit'!$N$14</definedName>
    <definedName name="Critical_th">'Cumul_ confirmed - Gompertz fit'!$N$25</definedName>
    <definedName name="Critical_tn">'New_ confirmed - Gompertz fit'!$L$14</definedName>
    <definedName name="DatiEsterni_1" localSheetId="0" hidden="1">'dpc-covid-19-ita-andamento-naz'!$A$1:$N$35</definedName>
    <definedName name="DatiEsterni_2" localSheetId="0" hidden="1">'dpc-covid-19-ita-andamento-naz'!#REF!</definedName>
    <definedName name="df">'Cumul_ confirmed - Gompertz fit'!$N$11</definedName>
    <definedName name="dfh">'Cumul_ confirmed - Gompertz fit'!$N$22</definedName>
    <definedName name="dfn">'New_ confirmed - Gompertz fit'!$L$11</definedName>
    <definedName name="K">'Cumul_ confirmed - Gompertz fit'!$N$7</definedName>
    <definedName name="Kh">'Cumul_ confirmed - Gompertz fit'!$N$18</definedName>
    <definedName name="Kn">'New_ confirmed - Gompertz fit'!$L$7</definedName>
    <definedName name="Mean_of_y">'Cumul_ confirmed - Gompertz fit'!$N$10</definedName>
    <definedName name="Mean_of_yh">'Cumul_ confirmed - Gompertz fit'!$N$21</definedName>
    <definedName name="Mean_of_yn">'New_ confirmed - Gompertz fit'!$L$10</definedName>
    <definedName name="RSQ">'Cumul_ confirmed - Gompertz fit'!$N$13</definedName>
    <definedName name="RSQh">'Cumul_ confirmed - Gompertz fit'!$N$24</definedName>
    <definedName name="RSQn">'New_ confirmed - Gompertz fit'!$L$13</definedName>
    <definedName name="SE_of_y">'Cumul_ confirmed - Gompertz fit'!$N$12</definedName>
    <definedName name="SE_of_yh">'Cumul_ confirmed - Gompertz fit'!$N$23</definedName>
    <definedName name="SE_of_yn">'New_ confirmed - Gompertz fit'!$L$12</definedName>
    <definedName name="solver_adj" localSheetId="1" hidden="1">'Cumul_ confirmed - Gompertz fit'!$N$18,'Cumul_ confirmed - Gompertz fit'!$N$19,'Cumul_ confirmed - Gompertz fit'!$N$20</definedName>
    <definedName name="solver_adj" localSheetId="2" hidden="1">'New_ confirmed - Gompertz fit'!$L$7,'New_ confirmed - Gompertz fit'!$L$8,'New_ confirmed - Gompertz fit'!$L$9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 confirmed - Gompertz fit'!$N$18</definedName>
    <definedName name="solver_lhs1" localSheetId="2" hidden="1">'New_ confirmed - Gompertz fit'!$L$7</definedName>
    <definedName name="solver_lhs2" localSheetId="1" hidden="1">'Cumul_ confirmed - Gompertz fit'!$N$19</definedName>
    <definedName name="solver_lhs2" localSheetId="2" hidden="1">'New_ confirmed - Gompertz fit'!$L$8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 confirmed - Gompertz fit'!$N$24</definedName>
    <definedName name="solver_opt" localSheetId="2" hidden="1">'New_ confirmed - Gompertz fit'!$L$13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fit'!$N$8</definedName>
    <definedName name="t0h">'Cumul_ confirmed - Gompertz fit'!$N$19</definedName>
    <definedName name="t0n">'New_ confirmed - Gompertz fit'!$L$8</definedName>
    <definedName name="w">'Cumul_ confirmed - Gompertz fit'!$N$9</definedName>
    <definedName name="wh">'Cumul_ confirmed - Gompertz fit'!$N$20</definedName>
    <definedName name="wn">'New_ confirmed - Gompertz fit'!$L$9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17" l="1"/>
  <c r="L10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E40" i="17"/>
  <c r="D40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7" i="12"/>
  <c r="N11" i="12"/>
  <c r="N10" i="12"/>
  <c r="N22" i="12"/>
  <c r="N25" i="12" s="1"/>
  <c r="N21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7" i="12"/>
  <c r="D40" i="12"/>
  <c r="D39" i="12"/>
  <c r="G122" i="17" l="1"/>
  <c r="G110" i="17"/>
  <c r="G56" i="17"/>
  <c r="G44" i="17"/>
  <c r="G119" i="17"/>
  <c r="G107" i="17"/>
  <c r="G95" i="17"/>
  <c r="G83" i="17"/>
  <c r="G71" i="17"/>
  <c r="G59" i="17"/>
  <c r="G47" i="17"/>
  <c r="G35" i="17"/>
  <c r="G23" i="17"/>
  <c r="G11" i="17"/>
  <c r="G123" i="17"/>
  <c r="G111" i="17"/>
  <c r="G118" i="17"/>
  <c r="G106" i="17"/>
  <c r="G126" i="17"/>
  <c r="G114" i="17"/>
  <c r="G102" i="17"/>
  <c r="G90" i="17"/>
  <c r="G78" i="17"/>
  <c r="G66" i="17"/>
  <c r="G54" i="17"/>
  <c r="G42" i="17"/>
  <c r="G30" i="17"/>
  <c r="G18" i="17"/>
  <c r="G94" i="17"/>
  <c r="G82" i="17"/>
  <c r="G70" i="17"/>
  <c r="G58" i="17"/>
  <c r="G46" i="17"/>
  <c r="G34" i="17"/>
  <c r="G22" i="17"/>
  <c r="G125" i="17"/>
  <c r="G113" i="17"/>
  <c r="G101" i="17"/>
  <c r="G89" i="17"/>
  <c r="G77" i="17"/>
  <c r="G65" i="17"/>
  <c r="G53" i="17"/>
  <c r="G41" i="17"/>
  <c r="G29" i="17"/>
  <c r="G17" i="17"/>
  <c r="G98" i="17"/>
  <c r="G86" i="17"/>
  <c r="G74" i="17"/>
  <c r="G62" i="17"/>
  <c r="G50" i="17"/>
  <c r="G38" i="17"/>
  <c r="G26" i="17"/>
  <c r="G14" i="17"/>
  <c r="G120" i="17"/>
  <c r="G108" i="17"/>
  <c r="G96" i="17"/>
  <c r="G84" i="17"/>
  <c r="G72" i="17"/>
  <c r="G60" i="17"/>
  <c r="G48" i="17"/>
  <c r="G36" i="17"/>
  <c r="G24" i="17"/>
  <c r="G12" i="17"/>
  <c r="G10" i="17"/>
  <c r="G116" i="17"/>
  <c r="G104" i="17"/>
  <c r="G92" i="17"/>
  <c r="G80" i="17"/>
  <c r="G68" i="17"/>
  <c r="G9" i="17"/>
  <c r="G115" i="17"/>
  <c r="G103" i="17"/>
  <c r="G91" i="17"/>
  <c r="G79" i="17"/>
  <c r="G67" i="17"/>
  <c r="G55" i="17"/>
  <c r="G43" i="17"/>
  <c r="G31" i="17"/>
  <c r="G19" i="17"/>
  <c r="G99" i="17"/>
  <c r="G87" i="17"/>
  <c r="G75" i="17"/>
  <c r="G63" i="17"/>
  <c r="G51" i="17"/>
  <c r="G39" i="17"/>
  <c r="G27" i="17"/>
  <c r="G15" i="17"/>
  <c r="G121" i="17"/>
  <c r="G109" i="17"/>
  <c r="G97" i="17"/>
  <c r="G85" i="17"/>
  <c r="G73" i="17"/>
  <c r="G61" i="17"/>
  <c r="G49" i="17"/>
  <c r="G37" i="17"/>
  <c r="G25" i="17"/>
  <c r="G13" i="17"/>
  <c r="G117" i="17"/>
  <c r="G105" i="17"/>
  <c r="G93" i="17"/>
  <c r="G81" i="17"/>
  <c r="G69" i="17"/>
  <c r="G57" i="17"/>
  <c r="G45" i="17"/>
  <c r="G32" i="17"/>
  <c r="G20" i="17"/>
  <c r="G124" i="17"/>
  <c r="G112" i="17"/>
  <c r="G100" i="17"/>
  <c r="G88" i="17"/>
  <c r="G76" i="17"/>
  <c r="G64" i="17"/>
  <c r="G52" i="17"/>
  <c r="G40" i="17"/>
  <c r="G28" i="17"/>
  <c r="G16" i="17"/>
  <c r="G33" i="17"/>
  <c r="G21" i="17"/>
  <c r="N13" i="12" a="1"/>
  <c r="N13" i="12" s="1"/>
  <c r="N12" i="12" a="1"/>
  <c r="N12" i="12" s="1"/>
  <c r="N23" i="12" a="1"/>
  <c r="N23" i="12" s="1"/>
  <c r="N26" i="12" s="1"/>
  <c r="K27" i="12" s="1"/>
  <c r="N24" i="12" a="1"/>
  <c r="N24" i="12" s="1"/>
  <c r="E11" i="17"/>
  <c r="E16" i="17"/>
  <c r="E23" i="17"/>
  <c r="E35" i="17"/>
  <c r="E7" i="17"/>
  <c r="E9" i="17"/>
  <c r="E12" i="17"/>
  <c r="E13" i="17"/>
  <c r="E14" i="17"/>
  <c r="E17" i="17"/>
  <c r="E18" i="17"/>
  <c r="E19" i="17"/>
  <c r="E20" i="17"/>
  <c r="E21" i="17"/>
  <c r="E22" i="17"/>
  <c r="E24" i="17"/>
  <c r="E25" i="17"/>
  <c r="E28" i="17"/>
  <c r="E29" i="17"/>
  <c r="E30" i="17"/>
  <c r="E31" i="17"/>
  <c r="E32" i="17"/>
  <c r="E33" i="17"/>
  <c r="E36" i="17"/>
  <c r="E37" i="17"/>
  <c r="D7" i="17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7" i="12"/>
  <c r="K38" i="12" l="1"/>
  <c r="K19" i="12"/>
  <c r="J22" i="12"/>
  <c r="J34" i="12"/>
  <c r="J10" i="12"/>
  <c r="K33" i="12"/>
  <c r="K11" i="12"/>
  <c r="K22" i="12"/>
  <c r="K17" i="12"/>
  <c r="J12" i="12"/>
  <c r="K34" i="12"/>
  <c r="K31" i="12"/>
  <c r="K23" i="12"/>
  <c r="K32" i="12"/>
  <c r="J37" i="12"/>
  <c r="K28" i="12"/>
  <c r="K12" i="12"/>
  <c r="J24" i="12"/>
  <c r="K14" i="12"/>
  <c r="J36" i="12"/>
  <c r="K15" i="12"/>
  <c r="K21" i="12"/>
  <c r="J38" i="12"/>
  <c r="K29" i="12"/>
  <c r="K24" i="12"/>
  <c r="J39" i="12"/>
  <c r="K20" i="12"/>
  <c r="K36" i="12"/>
  <c r="K16" i="12"/>
  <c r="K26" i="12"/>
  <c r="K8" i="12"/>
  <c r="K10" i="12"/>
  <c r="K39" i="12"/>
  <c r="K9" i="12"/>
  <c r="J21" i="12"/>
  <c r="K25" i="12"/>
  <c r="K13" i="12"/>
  <c r="K7" i="12"/>
  <c r="K18" i="12"/>
  <c r="K30" i="12"/>
  <c r="K37" i="12"/>
  <c r="K35" i="12"/>
  <c r="K40" i="12"/>
  <c r="J14" i="12"/>
  <c r="J15" i="12"/>
  <c r="J28" i="12"/>
  <c r="J9" i="12"/>
  <c r="J40" i="12"/>
  <c r="J29" i="12"/>
  <c r="J20" i="12"/>
  <c r="J26" i="12"/>
  <c r="J27" i="12"/>
  <c r="J33" i="12"/>
  <c r="J19" i="12"/>
  <c r="J11" i="12"/>
  <c r="J31" i="12"/>
  <c r="J17" i="12"/>
  <c r="J30" i="12"/>
  <c r="J8" i="12"/>
  <c r="J16" i="12"/>
  <c r="J13" i="12"/>
  <c r="J32" i="12"/>
  <c r="J23" i="12"/>
  <c r="J35" i="12"/>
  <c r="J18" i="12"/>
  <c r="J7" i="12"/>
  <c r="J25" i="12"/>
  <c r="E10" i="17"/>
  <c r="E34" i="17"/>
  <c r="E39" i="17"/>
  <c r="E27" i="17"/>
  <c r="E15" i="17"/>
  <c r="E38" i="17"/>
  <c r="E26" i="17"/>
  <c r="F7" i="17" l="1"/>
  <c r="G7" i="17" s="1"/>
  <c r="N14" i="12" l="1"/>
  <c r="E8" i="17" l="1"/>
  <c r="G8" i="17" l="1"/>
  <c r="L13" i="17" l="1" a="1"/>
  <c r="L13" i="17" s="1"/>
  <c r="L12" i="17" a="1"/>
  <c r="L12" i="17" s="1"/>
  <c r="L14" i="17"/>
  <c r="L15" i="17" l="1"/>
  <c r="I9" i="17" l="1"/>
  <c r="I21" i="17"/>
  <c r="I33" i="17"/>
  <c r="H12" i="17"/>
  <c r="H24" i="17"/>
  <c r="H36" i="17"/>
  <c r="H15" i="17"/>
  <c r="I25" i="17"/>
  <c r="H16" i="17"/>
  <c r="H9" i="17"/>
  <c r="H22" i="17"/>
  <c r="I20" i="17"/>
  <c r="I10" i="17"/>
  <c r="I22" i="17"/>
  <c r="I34" i="17"/>
  <c r="H13" i="17"/>
  <c r="H25" i="17"/>
  <c r="H37" i="17"/>
  <c r="I24" i="17"/>
  <c r="H27" i="17"/>
  <c r="I13" i="17"/>
  <c r="H40" i="17"/>
  <c r="I30" i="17"/>
  <c r="I19" i="17"/>
  <c r="I32" i="17"/>
  <c r="I11" i="17"/>
  <c r="I23" i="17"/>
  <c r="I35" i="17"/>
  <c r="H14" i="17"/>
  <c r="H26" i="17"/>
  <c r="H38" i="17"/>
  <c r="I12" i="17"/>
  <c r="I36" i="17"/>
  <c r="H39" i="17"/>
  <c r="I37" i="17"/>
  <c r="H28" i="17"/>
  <c r="I18" i="17"/>
  <c r="H10" i="17"/>
  <c r="I8" i="17"/>
  <c r="H21" i="17"/>
  <c r="I14" i="17"/>
  <c r="I26" i="17"/>
  <c r="I38" i="17"/>
  <c r="H17" i="17"/>
  <c r="H29" i="17"/>
  <c r="I15" i="17"/>
  <c r="I27" i="17"/>
  <c r="I39" i="17"/>
  <c r="H18" i="17"/>
  <c r="H30" i="17"/>
  <c r="H33" i="17"/>
  <c r="I31" i="17"/>
  <c r="H23" i="17"/>
  <c r="I16" i="17"/>
  <c r="I28" i="17"/>
  <c r="I40" i="17"/>
  <c r="H19" i="17"/>
  <c r="H31" i="17"/>
  <c r="I17" i="17"/>
  <c r="I29" i="17"/>
  <c r="H8" i="17"/>
  <c r="H20" i="17"/>
  <c r="H32" i="17"/>
  <c r="H34" i="17"/>
  <c r="H11" i="17"/>
  <c r="H35" i="17"/>
  <c r="H7" i="17"/>
  <c r="I7" i="17"/>
  <c r="N15" i="12" l="1"/>
  <c r="G40" i="12" l="1"/>
  <c r="G39" i="12"/>
  <c r="F39" i="12"/>
  <c r="F40" i="12"/>
  <c r="G38" i="12"/>
  <c r="F38" i="12"/>
  <c r="G37" i="12"/>
  <c r="F37" i="12"/>
  <c r="F36" i="12"/>
  <c r="G36" i="12"/>
  <c r="F35" i="12"/>
  <c r="G35" i="12"/>
  <c r="F34" i="12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6CA167A2-DE5F-4C03-9AC1-FA1D2E34CC01}" keepAlive="1" name="Query - dpc-covid19-ita-andamento-nazionale (5)" description="Connessione alla query 'dpc-covid19-ita-andamento-nazionale (5)' nella cartella di lavoro." type="5" refreshedVersion="6" background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9FD9AE8A-4705-40F6-8CDB-F3993C06EE42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A1BB73BA-E74A-452F-A572-E3D01FB7E172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E9ECFB3-4EA4-44E9-8FD0-946392602217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<sst xmlns="http://schemas.openxmlformats.org/spreadsheetml/2006/main" count="179" uniqueCount="62">
  <si>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</si>
  <si>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</si>
  <si>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</si>
  <si>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</si>
  <si>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</si>
  <si>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</si>
  <si>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</si>
  <si>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</si>
  <si>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</si>
  <si>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</si>
  <si>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</si>
  <si>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</si>
  <si>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</si>
  <si>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</si>
  <si>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</si>
  <si>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</si>
  <si>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</si>
  <si>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</si>
  <si>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</si>
  <si>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</si>
  <si>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</si>
  <si>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</si>
  <si>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</si>
  <si>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</si>
  <si>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</si>
  <si>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</si>
  <si>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</si>
  <si>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</si>
  <si>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</si>
  <si>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</si>
  <si>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</si>
  <si>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</si>
  <si>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</si>
  <si>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</si>
  <si>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</si>
  <si>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</si>
  <si>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Gompertz cum_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</si>
  <si>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</si>
  <si>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</si>
  <si>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</si>
  <si>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</si>
  <si>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</si>
  <si>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</si>
  <si>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</si>
  <si>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</si>
  <si>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</si>
  <si>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</si>
  <si>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</si>
  <si>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</si>
  <si>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</si>
  <si>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</si>
  <si>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</si>
  <si>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</si>
  <si>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</si>
  <si>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Hospitalized</t>
  </si>
  <si>
    <t>Confirmed fit</t>
  </si>
  <si>
    <t>C. Upper CI</t>
  </si>
  <si>
    <t>C. Lower CI</t>
  </si>
  <si>
    <t>Hospitalized fit</t>
  </si>
  <si>
    <t>H. Upper CI</t>
  </si>
  <si>
    <t>H. Lower CI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</si>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</sst>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3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6" fontId="0" fillId="2" borderId="0" xfId="0" applyNumberFormat="1" applyFill="1"/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confirmed - Gompertz fit'!$C$7:$C$60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</c:numCache>
            </c:numRef>
          </c:xVal>
          <c:yVal>
            <c:numRef>
              <c:f>'Cumul_ confirmed - Gompertz fit'!$D$7:$D$40</c:f>
              <c:numCache>
                <c:formatCode>General</c:formatCode>
                <c:ptCount val="34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 confirmed - Gompertz fit'!$E$7:$E$66</c:f>
              <c:numCache>
                <c:formatCode>0</c:formatCode>
                <c:ptCount val="60"/>
                <c:pt idx="0">
                  <c:v>213.99097700135877</c:v>
                </c:pt>
                <c:pt idx="1">
                  <c:v>310.50494572638166</c:v>
                </c:pt>
                <c:pt idx="2">
                  <c:v>442.22062776795724</c:v>
                </c:pt>
                <c:pt idx="3">
                  <c:v>618.74679722806138</c:v>
                </c:pt>
                <c:pt idx="4">
                  <c:v>851.28729186700662</c:v>
                </c:pt>
                <c:pt idx="5">
                  <c:v>1152.6433547352833</c:v>
                </c:pt>
                <c:pt idx="6">
                  <c:v>1537.1540659482937</c:v>
                </c:pt>
                <c:pt idx="7">
                  <c:v>2020.5708460202309</c:v>
                </c:pt>
                <c:pt idx="8">
                  <c:v>2619.8656790235277</c:v>
                </c:pt>
                <c:pt idx="9">
                  <c:v>3352.9765145254069</c:v>
                </c:pt>
                <c:pt idx="10">
                  <c:v>4238.496952035629</c:v>
                </c:pt>
                <c:pt idx="11">
                  <c:v>5295.3205079789623</c:v>
                </c:pt>
                <c:pt idx="12">
                  <c:v>6542.2522844522928</c:v>
                </c:pt>
                <c:pt idx="13">
                  <c:v>7997.6025448868977</c:v>
                </c:pt>
                <c:pt idx="14">
                  <c:v>9678.7774782498491</c:v>
                </c:pt>
                <c:pt idx="15">
                  <c:v>11601.882303755949</c:v>
                </c:pt>
                <c:pt idx="16">
                  <c:v>13781.350905356949</c:v>
                </c:pt>
                <c:pt idx="17">
                  <c:v>16229.614517831054</c:v>
                </c:pt>
                <c:pt idx="18">
                  <c:v>18956.819779692167</c:v>
                </c:pt>
                <c:pt idx="19">
                  <c:v>21970.603906665252</c:v>
                </c:pt>
                <c:pt idx="20">
                  <c:v>25275.932008895517</c:v>
                </c:pt>
                <c:pt idx="21">
                  <c:v>28874.998848163345</c:v>
                </c:pt>
                <c:pt idx="22">
                  <c:v>32767.194757157718</c:v>
                </c:pt>
                <c:pt idx="23">
                  <c:v>36949.133139610174</c:v>
                </c:pt>
                <c:pt idx="24">
                  <c:v>41414.735022240959</c:v>
                </c:pt>
                <c:pt idx="25">
                  <c:v>46155.364587657859</c:v>
                </c:pt>
                <c:pt idx="26">
                  <c:v>51160.008501042699</c:v>
                </c:pt>
                <c:pt idx="27">
                  <c:v>56415.491145332264</c:v>
                </c:pt>
                <c:pt idx="28">
                  <c:v>61906.717570938104</c:v>
                </c:pt>
                <c:pt idx="29">
                  <c:v>67616.936002531947</c:v>
                </c:pt>
                <c:pt idx="30">
                  <c:v>73528.01207273778</c:v>
                </c:pt>
                <c:pt idx="31">
                  <c:v>79620.707511491506</c:v>
                </c:pt>
                <c:pt idx="32">
                  <c:v>85874.956750506302</c:v>
                </c:pt>
                <c:pt idx="33">
                  <c:v>92270.135747642882</c:v>
                </c:pt>
                <c:pt idx="34">
                  <c:v>98785.318244200607</c:v>
                </c:pt>
                <c:pt idx="35">
                  <c:v>105399.51559424553</c:v>
                </c:pt>
                <c:pt idx="36">
                  <c:v>112091.89721180986</c:v>
                </c:pt>
                <c:pt idx="37">
                  <c:v>118841.98953979321</c:v>
                </c:pt>
                <c:pt idx="38">
                  <c:v>125629.85223199446</c:v>
                </c:pt>
                <c:pt idx="39">
                  <c:v>132436.23094227808</c:v>
                </c:pt>
                <c:pt idx="40">
                  <c:v>139242.68672400486</c:v>
                </c:pt>
                <c:pt idx="41">
                  <c:v>146031.70255536636</c:v>
                </c:pt>
                <c:pt idx="42">
                  <c:v>152786.76792321767</c:v>
                </c:pt>
                <c:pt idx="43">
                  <c:v>159492.44272376355</c:v>
                </c:pt>
                <c:pt idx="44">
                  <c:v>166134.40197973911</c:v>
                </c:pt>
                <c:pt idx="45">
                  <c:v>172699.46303886204</c:v>
                </c:pt>
                <c:pt idx="46">
                  <c:v>179175.59701653934</c:v>
                </c:pt>
                <c:pt idx="47">
                  <c:v>185551.92628666273</c:v>
                </c:pt>
                <c:pt idx="48">
                  <c:v>191818.70981731793</c:v>
                </c:pt>
                <c:pt idx="49">
                  <c:v>197967.31810242671</c:v>
                </c:pt>
                <c:pt idx="50">
                  <c:v>203990.19936416319</c:v>
                </c:pt>
                <c:pt idx="51">
                  <c:v>209880.83860204805</c:v>
                </c:pt>
                <c:pt idx="52">
                  <c:v>215633.710949656</c:v>
                </c:pt>
                <c:pt idx="53">
                  <c:v>221244.23067468317</c:v>
                </c:pt>
                <c:pt idx="54">
                  <c:v>226708.69702762389</c:v>
                </c:pt>
                <c:pt idx="55">
                  <c:v>232024.23801254109</c:v>
                </c:pt>
                <c:pt idx="56">
                  <c:v>237188.75302363836</c:v>
                </c:pt>
                <c:pt idx="57">
                  <c:v>242200.85516607945</c:v>
                </c:pt>
                <c:pt idx="58">
                  <c:v>247059.81396065102</c:v>
                </c:pt>
                <c:pt idx="59">
                  <c:v>251765.49902076495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fit'!$C$7:$C$60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</c:numCache>
            </c:numRef>
          </c:xVal>
          <c:yVal>
            <c:numRef>
              <c:f>'Cumul_ confirmed - Gompertz fit'!$F$7:$F$40</c:f>
              <c:numCache>
                <c:formatCode>0</c:formatCode>
                <c:ptCount val="34"/>
                <c:pt idx="0">
                  <c:v>2414.4702123714424</c:v>
                </c:pt>
                <c:pt idx="1">
                  <c:v>2510.9841810964654</c:v>
                </c:pt>
                <c:pt idx="2">
                  <c:v>2642.6998631380411</c:v>
                </c:pt>
                <c:pt idx="3">
                  <c:v>2819.2260325981451</c:v>
                </c:pt>
                <c:pt idx="4">
                  <c:v>3051.7665272370905</c:v>
                </c:pt>
                <c:pt idx="5">
                  <c:v>3353.1225901053667</c:v>
                </c:pt>
                <c:pt idx="6">
                  <c:v>3737.6333013183776</c:v>
                </c:pt>
                <c:pt idx="7">
                  <c:v>4221.0500813903145</c:v>
                </c:pt>
                <c:pt idx="8">
                  <c:v>4820.3449143936114</c:v>
                </c:pt>
                <c:pt idx="9">
                  <c:v>5553.455749895491</c:v>
                </c:pt>
                <c:pt idx="10">
                  <c:v>6438.9761874057131</c:v>
                </c:pt>
                <c:pt idx="11">
                  <c:v>7495.7997433490455</c:v>
                </c:pt>
                <c:pt idx="12">
                  <c:v>8742.7315198223769</c:v>
                </c:pt>
                <c:pt idx="13">
                  <c:v>10198.081780256982</c:v>
                </c:pt>
                <c:pt idx="14">
                  <c:v>11879.256713619932</c:v>
                </c:pt>
                <c:pt idx="15">
                  <c:v>13802.361539126032</c:v>
                </c:pt>
                <c:pt idx="16">
                  <c:v>15981.830140727032</c:v>
                </c:pt>
                <c:pt idx="17">
                  <c:v>18430.093753201138</c:v>
                </c:pt>
                <c:pt idx="18">
                  <c:v>21157.29901506225</c:v>
                </c:pt>
                <c:pt idx="19">
                  <c:v>24171.083142035335</c:v>
                </c:pt>
                <c:pt idx="20">
                  <c:v>27476.411244265601</c:v>
                </c:pt>
                <c:pt idx="21">
                  <c:v>31075.478083533428</c:v>
                </c:pt>
                <c:pt idx="22">
                  <c:v>34967.673992527802</c:v>
                </c:pt>
                <c:pt idx="23">
                  <c:v>39149.612374980257</c:v>
                </c:pt>
                <c:pt idx="24">
                  <c:v>43615.214257611042</c:v>
                </c:pt>
                <c:pt idx="25">
                  <c:v>48355.843823027943</c:v>
                </c:pt>
                <c:pt idx="26">
                  <c:v>53360.487736412782</c:v>
                </c:pt>
                <c:pt idx="27">
                  <c:v>58615.970380702347</c:v>
                </c:pt>
                <c:pt idx="28">
                  <c:v>64107.196806308188</c:v>
                </c:pt>
                <c:pt idx="29">
                  <c:v>69817.415237902038</c:v>
                </c:pt>
                <c:pt idx="30">
                  <c:v>75728.49130810787</c:v>
                </c:pt>
                <c:pt idx="31">
                  <c:v>81821.186746861596</c:v>
                </c:pt>
                <c:pt idx="32">
                  <c:v>88075.435985876393</c:v>
                </c:pt>
                <c:pt idx="33">
                  <c:v>94470.614983012973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fit'!$C$7:$C$60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</c:numCache>
            </c:numRef>
          </c:xVal>
          <c:yVal>
            <c:numRef>
              <c:f>'Cumul_ confirmed - Gompertz fit'!$G$7:$G$40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419.38644365344408</c:v>
                </c:pt>
                <c:pt idx="9">
                  <c:v>1152.4972791553232</c:v>
                </c:pt>
                <c:pt idx="10">
                  <c:v>2038.0177166655453</c:v>
                </c:pt>
                <c:pt idx="11">
                  <c:v>3094.8412726088786</c:v>
                </c:pt>
                <c:pt idx="12">
                  <c:v>4341.7730490822087</c:v>
                </c:pt>
                <c:pt idx="13">
                  <c:v>5797.1233095168136</c:v>
                </c:pt>
                <c:pt idx="14">
                  <c:v>7478.2982428797659</c:v>
                </c:pt>
                <c:pt idx="15">
                  <c:v>9401.4030683858655</c:v>
                </c:pt>
                <c:pt idx="16">
                  <c:v>11580.871669986866</c:v>
                </c:pt>
                <c:pt idx="17">
                  <c:v>14029.135282460971</c:v>
                </c:pt>
                <c:pt idx="18">
                  <c:v>16756.340544322084</c:v>
                </c:pt>
                <c:pt idx="19">
                  <c:v>19770.124671295169</c:v>
                </c:pt>
                <c:pt idx="20">
                  <c:v>23075.452773525434</c:v>
                </c:pt>
                <c:pt idx="21">
                  <c:v>26674.519612793261</c:v>
                </c:pt>
                <c:pt idx="22">
                  <c:v>30566.715521787635</c:v>
                </c:pt>
                <c:pt idx="23">
                  <c:v>34748.653904240091</c:v>
                </c:pt>
                <c:pt idx="24">
                  <c:v>39214.255786870875</c:v>
                </c:pt>
                <c:pt idx="25">
                  <c:v>43954.885352287776</c:v>
                </c:pt>
                <c:pt idx="26">
                  <c:v>48959.529265672616</c:v>
                </c:pt>
                <c:pt idx="27">
                  <c:v>54215.011909962181</c:v>
                </c:pt>
                <c:pt idx="28">
                  <c:v>59706.238335568021</c:v>
                </c:pt>
                <c:pt idx="29">
                  <c:v>65416.456767161864</c:v>
                </c:pt>
                <c:pt idx="30">
                  <c:v>71327.532837367689</c:v>
                </c:pt>
                <c:pt idx="31">
                  <c:v>77420.228276121416</c:v>
                </c:pt>
                <c:pt idx="32">
                  <c:v>83674.477515136212</c:v>
                </c:pt>
                <c:pt idx="33">
                  <c:v>90069.656512272792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ser>
          <c:idx val="4"/>
          <c:order val="4"/>
          <c:tx>
            <c:strRef>
              <c:f>'Cumul_ confirmed - Gompertz fit'!$H$6</c:f>
              <c:strCache>
                <c:ptCount val="1"/>
                <c:pt idx="0">
                  <c:v>Hospitalized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 confirmed - Gompertz fit'!$H$7:$H$40</c:f>
              <c:numCache>
                <c:formatCode>General</c:formatCode>
                <c:ptCount val="34"/>
                <c:pt idx="0">
                  <c:v>127</c:v>
                </c:pt>
                <c:pt idx="1">
                  <c:v>150</c:v>
                </c:pt>
                <c:pt idx="2">
                  <c:v>164</c:v>
                </c:pt>
                <c:pt idx="3">
                  <c:v>304</c:v>
                </c:pt>
                <c:pt idx="4">
                  <c:v>409</c:v>
                </c:pt>
                <c:pt idx="5">
                  <c:v>506</c:v>
                </c:pt>
                <c:pt idx="6">
                  <c:v>779</c:v>
                </c:pt>
                <c:pt idx="7">
                  <c:v>908</c:v>
                </c:pt>
                <c:pt idx="8">
                  <c:v>1263</c:v>
                </c:pt>
                <c:pt idx="9">
                  <c:v>1641</c:v>
                </c:pt>
                <c:pt idx="10">
                  <c:v>2141</c:v>
                </c:pt>
                <c:pt idx="11">
                  <c:v>2856</c:v>
                </c:pt>
                <c:pt idx="12">
                  <c:v>3218</c:v>
                </c:pt>
                <c:pt idx="13">
                  <c:v>4207</c:v>
                </c:pt>
                <c:pt idx="14">
                  <c:v>5049</c:v>
                </c:pt>
                <c:pt idx="15">
                  <c:v>5915</c:v>
                </c:pt>
                <c:pt idx="16">
                  <c:v>6866</c:v>
                </c:pt>
                <c:pt idx="17">
                  <c:v>7803</c:v>
                </c:pt>
                <c:pt idx="18">
                  <c:v>8754</c:v>
                </c:pt>
                <c:pt idx="19">
                  <c:v>9890</c:v>
                </c:pt>
                <c:pt idx="20">
                  <c:v>11335</c:v>
                </c:pt>
                <c:pt idx="21">
                  <c:v>12876</c:v>
                </c:pt>
                <c:pt idx="22">
                  <c:v>14954</c:v>
                </c:pt>
                <c:pt idx="23">
                  <c:v>16620</c:v>
                </c:pt>
                <c:pt idx="24">
                  <c:v>18255</c:v>
                </c:pt>
                <c:pt idx="25">
                  <c:v>18675</c:v>
                </c:pt>
                <c:pt idx="26">
                  <c:v>20565</c:v>
                </c:pt>
                <c:pt idx="27">
                  <c:v>22855</c:v>
                </c:pt>
                <c:pt idx="28">
                  <c:v>23896</c:v>
                </c:pt>
                <c:pt idx="29">
                  <c:v>25333</c:v>
                </c:pt>
                <c:pt idx="30">
                  <c:v>26601</c:v>
                </c:pt>
                <c:pt idx="31">
                  <c:v>28365</c:v>
                </c:pt>
                <c:pt idx="32">
                  <c:v>29761</c:v>
                </c:pt>
                <c:pt idx="33">
                  <c:v>30532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 confirmed - Gompertz fit'!$I$6</c:f>
              <c:strCache>
                <c:ptCount val="1"/>
                <c:pt idx="0">
                  <c:v>Hospitalized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fit'!$I$7:$I$66</c:f>
              <c:numCache>
                <c:formatCode>0</c:formatCode>
                <c:ptCount val="60"/>
                <c:pt idx="0">
                  <c:v>318.68473275893797</c:v>
                </c:pt>
                <c:pt idx="1">
                  <c:v>414.79589740620116</c:v>
                </c:pt>
                <c:pt idx="2">
                  <c:v>533.68873173599104</c:v>
                </c:pt>
                <c:pt idx="3">
                  <c:v>679.11310228884872</c:v>
                </c:pt>
                <c:pt idx="4">
                  <c:v>855.08076636997055</c:v>
                </c:pt>
                <c:pt idx="5">
                  <c:v>1065.8211804429534</c:v>
                </c:pt>
                <c:pt idx="6">
                  <c:v>1315.7280696084163</c:v>
                </c:pt>
                <c:pt idx="7">
                  <c:v>1609.2980533921286</c:v>
                </c:pt>
                <c:pt idx="8">
                  <c:v>1951.0629643912077</c:v>
                </c:pt>
                <c:pt idx="9">
                  <c:v>2345.5177556310268</c:v>
                </c:pt>
                <c:pt idx="10">
                  <c:v>2797.0460588537353</c:v>
                </c:pt>
                <c:pt idx="11">
                  <c:v>3309.8455250433303</c:v>
                </c:pt>
                <c:pt idx="12">
                  <c:v>3887.8550521979228</c:v>
                </c:pt>
                <c:pt idx="13">
                  <c:v>4534.6858910855735</c:v>
                </c:pt>
                <c:pt idx="14">
                  <c:v>5253.558429271844</c:v>
                </c:pt>
                <c:pt idx="15">
                  <c:v>6047.2462020336234</c:v>
                </c:pt>
                <c:pt idx="16">
                  <c:v>6918.0283826467594</c:v>
                </c:pt>
                <c:pt idx="17">
                  <c:v>7867.6516812929804</c:v>
                </c:pt>
                <c:pt idx="18">
                  <c:v>8897.3022482686265</c:v>
                </c:pt>
                <c:pt idx="19">
                  <c:v>10007.587848639576</c:v>
                </c:pt>
                <c:pt idx="20">
                  <c:v>11198.530265202216</c:v>
                </c:pt>
                <c:pt idx="21">
                  <c:v>12469.567605264117</c:v>
                </c:pt>
                <c:pt idx="22">
                  <c:v>13819.565942292673</c:v>
                </c:pt>
                <c:pt idx="23">
                  <c:v>15246.839521092756</c:v>
                </c:pt>
                <c:pt idx="24">
                  <c:v>16749.178597479975</c:v>
                </c:pt>
                <c:pt idx="25">
                  <c:v>18323.883870724596</c:v>
                </c:pt>
                <c:pt idx="26">
                  <c:v>19967.806397716937</c:v>
                </c:pt>
                <c:pt idx="27">
                  <c:v>21677.391848666932</c:v>
                </c:pt>
                <c:pt idx="28">
                  <c:v>23448.72797087755</c:v>
                </c:pt>
                <c:pt idx="29">
                  <c:v>25277.594164655839</c:v>
                </c:pt>
                <c:pt idx="30">
                  <c:v>27159.512138285154</c:v>
                </c:pt>
                <c:pt idx="31">
                  <c:v>29089.79669162738</c:v>
                </c:pt>
                <c:pt idx="32">
                  <c:v>31063.605774970492</c:v>
                </c:pt>
                <c:pt idx="33">
                  <c:v>33075.989076155078</c:v>
                </c:pt>
                <c:pt idx="34">
                  <c:v>35121.934500273135</c:v>
                </c:pt>
                <c:pt idx="35">
                  <c:v>37196.412018386742</c:v>
                </c:pt>
                <c:pt idx="36">
                  <c:v>39294.414471447948</c:v>
                </c:pt>
                <c:pt idx="37">
                  <c:v>41410.995020237999</c:v>
                </c:pt>
                <c:pt idx="38">
                  <c:v>43541.301029625218</c:v>
                </c:pt>
                <c:pt idx="39">
                  <c:v>45680.604264286711</c:v>
                </c:pt>
                <c:pt idx="40">
                  <c:v>47824.327352287502</c:v>
                </c:pt>
                <c:pt idx="41">
                  <c:v>49968.066542055312</c:v>
                </c:pt>
                <c:pt idx="42">
                  <c:v>52107.610837208922</c:v>
                </c:pt>
                <c:pt idx="43">
                  <c:v>54238.957642583759</c:v>
                </c:pt>
                <c:pt idx="44">
                  <c:v>56358.325094092128</c:v>
                </c:pt>
                <c:pt idx="45">
                  <c:v>58462.161275381717</c:v>
                </c:pt>
                <c:pt idx="46">
                  <c:v>60547.150546370794</c:v>
                </c:pt>
                <c:pt idx="47">
                  <c:v>62610.217223479303</c:v>
                </c:pt>
                <c:pt idx="48">
                  <c:v>64648.52685961825</c:v>
                </c:pt>
                <c:pt idx="49">
                  <c:v>66659.485374630109</c:v>
                </c:pt>
                <c:pt idx="50">
                  <c:v>68640.736284754283</c:v>
                </c:pt>
                <c:pt idx="51">
                  <c:v>70590.156273646004</c:v>
                </c:pt>
                <c:pt idx="52">
                  <c:v>72505.849338274318</c:v>
                </c:pt>
                <c:pt idx="53">
                  <c:v>74386.139731364383</c:v>
                </c:pt>
                <c:pt idx="54">
                  <c:v>76229.563908565819</c:v>
                </c:pt>
                <c:pt idx="55">
                  <c:v>78034.861673776715</c:v>
                </c:pt>
                <c:pt idx="56">
                  <c:v>79800.966700518024</c:v>
                </c:pt>
                <c:pt idx="57">
                  <c:v>81526.996591348638</c:v>
                </c:pt>
                <c:pt idx="58">
                  <c:v>83212.242621381956</c:v>
                </c:pt>
                <c:pt idx="59">
                  <c:v>84856.159296295111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4E-4EA2-A6D4-DC85486CE05D}"/>
            </c:ext>
          </c:extLst>
        </c:ser>
        <c:ser>
          <c:idx val="6"/>
          <c:order val="6"/>
          <c:tx>
            <c:strRef>
              <c:f>'Cumul_ confirmed - Gompertz fit'!$J$6</c:f>
              <c:strCache>
                <c:ptCount val="1"/>
                <c:pt idx="0">
                  <c:v>H.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fit'!$J$7:$J$40</c:f>
              <c:numCache>
                <c:formatCode>0</c:formatCode>
                <c:ptCount val="34"/>
                <c:pt idx="0">
                  <c:v>1982.8210905413075</c:v>
                </c:pt>
                <c:pt idx="1">
                  <c:v>2078.9322551885707</c:v>
                </c:pt>
                <c:pt idx="2">
                  <c:v>2197.8250895183605</c:v>
                </c:pt>
                <c:pt idx="3">
                  <c:v>2343.249460071218</c:v>
                </c:pt>
                <c:pt idx="4">
                  <c:v>2519.2171241523401</c:v>
                </c:pt>
                <c:pt idx="5">
                  <c:v>2729.9575382253229</c:v>
                </c:pt>
                <c:pt idx="6">
                  <c:v>2979.8644273907857</c:v>
                </c:pt>
                <c:pt idx="7">
                  <c:v>3273.4344111744981</c:v>
                </c:pt>
                <c:pt idx="8">
                  <c:v>3615.1993221735775</c:v>
                </c:pt>
                <c:pt idx="9">
                  <c:v>4009.6541134133963</c:v>
                </c:pt>
                <c:pt idx="10">
                  <c:v>4461.1824166361048</c:v>
                </c:pt>
                <c:pt idx="11">
                  <c:v>4973.9818828256994</c:v>
                </c:pt>
                <c:pt idx="12">
                  <c:v>5551.9914099802918</c:v>
                </c:pt>
                <c:pt idx="13">
                  <c:v>6198.822248867943</c:v>
                </c:pt>
                <c:pt idx="14">
                  <c:v>6917.6947870542135</c:v>
                </c:pt>
                <c:pt idx="15">
                  <c:v>7711.3825598159929</c:v>
                </c:pt>
                <c:pt idx="16">
                  <c:v>8582.1647404291289</c:v>
                </c:pt>
                <c:pt idx="17">
                  <c:v>9531.7880390753489</c:v>
                </c:pt>
                <c:pt idx="18">
                  <c:v>10561.438606050997</c:v>
                </c:pt>
                <c:pt idx="19">
                  <c:v>11671.724206421946</c:v>
                </c:pt>
                <c:pt idx="20">
                  <c:v>12862.666622984587</c:v>
                </c:pt>
                <c:pt idx="21">
                  <c:v>14133.703963046486</c:v>
                </c:pt>
                <c:pt idx="22">
                  <c:v>15483.702300075041</c:v>
                </c:pt>
                <c:pt idx="23">
                  <c:v>16910.975878875124</c:v>
                </c:pt>
                <c:pt idx="24">
                  <c:v>18413.314955262344</c:v>
                </c:pt>
                <c:pt idx="25">
                  <c:v>19988.020228506964</c:v>
                </c:pt>
                <c:pt idx="26">
                  <c:v>21631.942755499305</c:v>
                </c:pt>
                <c:pt idx="27">
                  <c:v>23341.5282064493</c:v>
                </c:pt>
                <c:pt idx="28">
                  <c:v>25112.864328659918</c:v>
                </c:pt>
                <c:pt idx="29">
                  <c:v>26941.730522438207</c:v>
                </c:pt>
                <c:pt idx="30">
                  <c:v>28823.648496067523</c:v>
                </c:pt>
                <c:pt idx="31">
                  <c:v>30753.933049409748</c:v>
                </c:pt>
                <c:pt idx="32">
                  <c:v>32727.742132752861</c:v>
                </c:pt>
                <c:pt idx="33">
                  <c:v>34740.12543393745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4E-4EA2-A6D4-DC85486CE05D}"/>
            </c:ext>
          </c:extLst>
        </c:ser>
        <c:ser>
          <c:idx val="7"/>
          <c:order val="7"/>
          <c:tx>
            <c:strRef>
              <c:f>'Cumul_ confirmed - Gompertz fit'!$K$6</c:f>
              <c:strCache>
                <c:ptCount val="1"/>
                <c:pt idx="0">
                  <c:v>H.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fit'!$K$7:$K$40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286.92660660883826</c:v>
                </c:pt>
                <c:pt idx="9">
                  <c:v>681.38139784865734</c:v>
                </c:pt>
                <c:pt idx="10">
                  <c:v>1132.9097010713658</c:v>
                </c:pt>
                <c:pt idx="11">
                  <c:v>1645.7091672609608</c:v>
                </c:pt>
                <c:pt idx="12">
                  <c:v>2223.7186944155533</c:v>
                </c:pt>
                <c:pt idx="13">
                  <c:v>2870.549533303204</c:v>
                </c:pt>
                <c:pt idx="14">
                  <c:v>3589.4220714894745</c:v>
                </c:pt>
                <c:pt idx="15">
                  <c:v>4383.1098442512539</c:v>
                </c:pt>
                <c:pt idx="16">
                  <c:v>5253.8920248643899</c:v>
                </c:pt>
                <c:pt idx="17">
                  <c:v>6203.5153235106109</c:v>
                </c:pt>
                <c:pt idx="18">
                  <c:v>7233.165890486257</c:v>
                </c:pt>
                <c:pt idx="19">
                  <c:v>8343.4514908572055</c:v>
                </c:pt>
                <c:pt idx="20">
                  <c:v>9534.3939074198461</c:v>
                </c:pt>
                <c:pt idx="21">
                  <c:v>10805.431247481749</c:v>
                </c:pt>
                <c:pt idx="22">
                  <c:v>12155.429584510304</c:v>
                </c:pt>
                <c:pt idx="23">
                  <c:v>13582.703163310387</c:v>
                </c:pt>
                <c:pt idx="24">
                  <c:v>15085.042239697606</c:v>
                </c:pt>
                <c:pt idx="25">
                  <c:v>16659.747512942227</c:v>
                </c:pt>
                <c:pt idx="26">
                  <c:v>18303.670039934568</c:v>
                </c:pt>
                <c:pt idx="27">
                  <c:v>20013.255490884563</c:v>
                </c:pt>
                <c:pt idx="28">
                  <c:v>21784.591613095181</c:v>
                </c:pt>
                <c:pt idx="29">
                  <c:v>23613.45780687347</c:v>
                </c:pt>
                <c:pt idx="30">
                  <c:v>25495.375780502785</c:v>
                </c:pt>
                <c:pt idx="31">
                  <c:v>27425.660333845011</c:v>
                </c:pt>
                <c:pt idx="32">
                  <c:v>29399.469417188124</c:v>
                </c:pt>
                <c:pt idx="33">
                  <c:v>31411.852718372709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New - Gompertz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fit'!$E$7:$E$40</c:f>
              <c:numCache>
                <c:formatCode>General</c:formatCode>
                <c:ptCount val="3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fit'!$C$7:$C$126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'New_ confirmed - Gompertz fit'!$G$7:$G$126</c:f>
              <c:numCache>
                <c:formatCode>0</c:formatCode>
                <c:ptCount val="120"/>
                <c:pt idx="0">
                  <c:v>228.65864715479501</c:v>
                </c:pt>
                <c:pt idx="1">
                  <c:v>101.49765902541873</c:v>
                </c:pt>
                <c:pt idx="2">
                  <c:v>137.89247850684387</c:v>
                </c:pt>
                <c:pt idx="3">
                  <c:v>184.02902367808622</c:v>
                </c:pt>
                <c:pt idx="4">
                  <c:v>241.47842346193693</c:v>
                </c:pt>
                <c:pt idx="5">
                  <c:v>311.80463723538958</c:v>
                </c:pt>
                <c:pt idx="6">
                  <c:v>396.50332383504997</c:v>
                </c:pt>
                <c:pt idx="7">
                  <c:v>496.93735737152292</c:v>
                </c:pt>
                <c:pt idx="8">
                  <c:v>614.27257009073901</c:v>
                </c:pt>
                <c:pt idx="9">
                  <c:v>749.41739431533551</c:v>
                </c:pt>
                <c:pt idx="10">
                  <c:v>902.96987302338539</c:v>
                </c:pt>
                <c:pt idx="11">
                  <c:v>1075.1750420261469</c:v>
                </c:pt>
                <c:pt idx="12">
                  <c:v>1265.8950105628355</c:v>
                </c:pt>
                <c:pt idx="13">
                  <c:v>1474.5932518617783</c:v>
                </c:pt>
                <c:pt idx="14">
                  <c:v>1700.3337377277567</c:v>
                </c:pt>
                <c:pt idx="15">
                  <c:v>1941.7946861003547</c:v>
                </c:pt>
                <c:pt idx="16">
                  <c:v>2197.2959028611604</c:v>
                </c:pt>
                <c:pt idx="17">
                  <c:v>2464.8380394898541</c:v>
                </c:pt>
                <c:pt idx="18">
                  <c:v>2742.1515898656944</c:v>
                </c:pt>
                <c:pt idx="19">
                  <c:v>3026.7531284189536</c:v>
                </c:pt>
                <c:pt idx="20">
                  <c:v>3316.0061476952542</c:v>
                </c:pt>
                <c:pt idx="21">
                  <c:v>3607.1838725814596</c:v>
                </c:pt>
                <c:pt idx="22">
                  <c:v>3897.5315874629996</c:v>
                </c:pt>
                <c:pt idx="23">
                  <c:v>4184.3262817567665</c:v>
                </c:pt>
                <c:pt idx="24">
                  <c:v>4464.9317662373505</c:v>
                </c:pt>
                <c:pt idx="25">
                  <c:v>4736.8478052997671</c:v>
                </c:pt>
                <c:pt idx="26">
                  <c:v>4997.7522193896002</c:v>
                </c:pt>
                <c:pt idx="27">
                  <c:v>5245.535312149419</c:v>
                </c:pt>
                <c:pt idx="28">
                  <c:v>5478.3263484224954</c:v>
                </c:pt>
                <c:pt idx="29">
                  <c:v>5694.5121376417665</c:v>
                </c:pt>
                <c:pt idx="30">
                  <c:v>5892.7480531412584</c:v>
                </c:pt>
                <c:pt idx="31">
                  <c:v>6071.9620371467608</c:v>
                </c:pt>
                <c:pt idx="32">
                  <c:v>6231.3523032578669</c:v>
                </c:pt>
                <c:pt idx="33">
                  <c:v>6370.3795558986312</c:v>
                </c:pt>
                <c:pt idx="34">
                  <c:v>6488.7546045913041</c:v>
                </c:pt>
                <c:pt idx="35">
                  <c:v>6586.4222665564594</c:v>
                </c:pt>
                <c:pt idx="36">
                  <c:v>6663.5424314359407</c:v>
                </c:pt>
                <c:pt idx="37">
                  <c:v>6720.4691144058743</c:v>
                </c:pt>
                <c:pt idx="38">
                  <c:v>6757.728255886017</c:v>
                </c:pt>
                <c:pt idx="39">
                  <c:v>6775.9949441492063</c:v>
                </c:pt>
                <c:pt idx="40">
                  <c:v>6776.0706472799939</c:v>
                </c:pt>
                <c:pt idx="41">
                  <c:v>6758.86094810738</c:v>
                </c:pt>
                <c:pt idx="42">
                  <c:v>6725.354183971358</c:v>
                </c:pt>
                <c:pt idx="43">
                  <c:v>6676.6013055921649</c:v>
                </c:pt>
                <c:pt idx="44">
                  <c:v>6613.6971881581994</c:v>
                </c:pt>
                <c:pt idx="45">
                  <c:v>6537.7635545449739</c:v>
                </c:pt>
                <c:pt idx="46">
                  <c:v>6449.9336061906361</c:v>
                </c:pt>
                <c:pt idx="47">
                  <c:v>6351.3384019237419</c:v>
                </c:pt>
                <c:pt idx="48">
                  <c:v>6243.0949788868311</c:v>
                </c:pt>
                <c:pt idx="49">
                  <c:v>6126.296172235423</c:v>
                </c:pt>
                <c:pt idx="50">
                  <c:v>6002.0020608954655</c:v>
                </c:pt>
                <c:pt idx="51">
                  <c:v>5871.2329445728392</c:v>
                </c:pt>
                <c:pt idx="52">
                  <c:v>5734.9637415877078</c:v>
                </c:pt>
                <c:pt idx="53">
                  <c:v>5594.1196870706335</c:v>
                </c:pt>
                <c:pt idx="54">
                  <c:v>5449.5732057600399</c:v>
                </c:pt>
                <c:pt idx="55">
                  <c:v>5302.1418322468526</c:v>
                </c:pt>
                <c:pt idx="56">
                  <c:v>5152.5870532641711</c:v>
                </c:pt>
                <c:pt idx="57">
                  <c:v>5001.6139508369088</c:v>
                </c:pt>
                <c:pt idx="58">
                  <c:v>4849.871531156241</c:v>
                </c:pt>
                <c:pt idx="59">
                  <c:v>4697.9536314242578</c:v>
                </c:pt>
                <c:pt idx="60">
                  <c:v>4546.4003051523177</c:v>
                </c:pt>
                <c:pt idx="61">
                  <c:v>4395.6995951251301</c:v>
                </c:pt>
                <c:pt idx="62">
                  <c:v>4246.2896121615195</c:v>
                </c:pt>
                <c:pt idx="63">
                  <c:v>4098.5608466548729</c:v>
                </c:pt>
                <c:pt idx="64">
                  <c:v>3952.8586484845146</c:v>
                </c:pt>
                <c:pt idx="65">
                  <c:v>3809.4858191045932</c:v>
                </c:pt>
                <c:pt idx="66">
                  <c:v>3668.705267345882</c:v>
                </c:pt>
                <c:pt idx="67">
                  <c:v>3530.7426876361133</c:v>
                </c:pt>
                <c:pt idx="68">
                  <c:v>3395.7892259192886</c:v>
                </c:pt>
                <c:pt idx="69">
                  <c:v>3264.0041045253165</c:v>
                </c:pt>
                <c:pt idx="70">
                  <c:v>3135.5171825951547</c:v>
                </c:pt>
                <c:pt idx="71">
                  <c:v>3010.4314334356459</c:v>
                </c:pt>
                <c:pt idx="72">
                  <c:v>2888.8253243794898</c:v>
                </c:pt>
                <c:pt idx="73">
                  <c:v>2770.755088385893</c:v>
                </c:pt>
                <c:pt idx="74">
                  <c:v>2656.256879794586</c:v>
                </c:pt>
                <c:pt idx="75">
                  <c:v>2545.3488093502237</c:v>
                </c:pt>
                <c:pt idx="76">
                  <c:v>2438.032855918631</c:v>
                </c:pt>
                <c:pt idx="77">
                  <c:v>2334.2966542328359</c:v>
                </c:pt>
                <c:pt idx="78">
                  <c:v>2234.1151595989941</c:v>
                </c:pt>
                <c:pt idx="79">
                  <c:v>2137.4521917815437</c:v>
                </c:pt>
                <c:pt idx="80">
                  <c:v>2044.2618613186642</c:v>
                </c:pt>
                <c:pt idx="81">
                  <c:v>1954.4898823216208</c:v>
                </c:pt>
                <c:pt idx="82">
                  <c:v>1868.0747764201951</c:v>
                </c:pt>
                <c:pt idx="83">
                  <c:v>1784.9489729553461</c:v>
                </c:pt>
                <c:pt idx="84">
                  <c:v>1705.0398108140216</c:v>
                </c:pt>
                <c:pt idx="85">
                  <c:v>1628.2704474804923</c:v>
                </c:pt>
                <c:pt idx="86">
                  <c:v>1554.560680949071</c:v>
                </c:pt>
                <c:pt idx="87">
                  <c:v>1483.8276901412173</c:v>
                </c:pt>
                <c:pt idx="88">
                  <c:v>1415.9866993906326</c:v>
                </c:pt>
                <c:pt idx="89">
                  <c:v>1350.9515724370722</c:v>
                </c:pt>
                <c:pt idx="90">
                  <c:v>1288.6353411984746</c:v>
                </c:pt>
                <c:pt idx="91">
                  <c:v>1228.9506743891397</c:v>
                </c:pt>
                <c:pt idx="92">
                  <c:v>1171.8102908305591</c:v>
                </c:pt>
                <c:pt idx="93">
                  <c:v>1117.1273220608709</c:v>
                </c:pt>
                <c:pt idx="94">
                  <c:v>1064.8156285966397</c:v>
                </c:pt>
                <c:pt idx="95">
                  <c:v>1014.790073950775</c:v>
                </c:pt>
                <c:pt idx="96">
                  <c:v>966.96676025091438</c:v>
                </c:pt>
                <c:pt idx="97">
                  <c:v>921.26322905288544</c:v>
                </c:pt>
                <c:pt idx="98">
                  <c:v>877.59863069182029</c:v>
                </c:pt>
                <c:pt idx="99">
                  <c:v>835.89386527956231</c:v>
                </c:pt>
                <c:pt idx="100">
                  <c:v>796.07169821765274</c:v>
                </c:pt>
                <c:pt idx="101">
                  <c:v>758.05685287824599</c:v>
                </c:pt>
                <c:pt idx="102">
                  <c:v>721.77608289208729</c:v>
                </c:pt>
                <c:pt idx="103">
                  <c:v>687.15822628227761</c:v>
                </c:pt>
                <c:pt idx="104">
                  <c:v>654.13424349488923</c:v>
                </c:pt>
                <c:pt idx="105">
                  <c:v>622.63724119745893</c:v>
                </c:pt>
                <c:pt idx="106">
                  <c:v>592.60248355491785</c:v>
                </c:pt>
                <c:pt idx="107">
                  <c:v>563.96739253215492</c:v>
                </c:pt>
                <c:pt idx="108">
                  <c:v>536.67153863440035</c:v>
                </c:pt>
                <c:pt idx="109">
                  <c:v>510.65662335779052</c:v>
                </c:pt>
                <c:pt idx="110">
                  <c:v>485.8664545029751</c:v>
                </c:pt>
                <c:pt idx="111">
                  <c:v>462.24691538896877</c:v>
                </c:pt>
                <c:pt idx="112">
                  <c:v>439.74592890054919</c:v>
                </c:pt>
                <c:pt idx="113">
                  <c:v>418.31341720628552</c:v>
                </c:pt>
                <c:pt idx="114">
                  <c:v>397.90125789435115</c:v>
                </c:pt>
                <c:pt idx="115">
                  <c:v>378.46323719713837</c:v>
                </c:pt>
                <c:pt idx="116">
                  <c:v>359.95500089722918</c:v>
                </c:pt>
                <c:pt idx="117">
                  <c:v>342.33400344348047</c:v>
                </c:pt>
                <c:pt idx="118">
                  <c:v>325.55945574358338</c:v>
                </c:pt>
                <c:pt idx="119">
                  <c:v>309.59227204689523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fit'!$H$7:$H$40</c:f>
              <c:numCache>
                <c:formatCode>0</c:formatCode>
                <c:ptCount val="34"/>
                <c:pt idx="0">
                  <c:v>1266.3510146897604</c:v>
                </c:pt>
                <c:pt idx="1">
                  <c:v>1139.190026560384</c:v>
                </c:pt>
                <c:pt idx="2">
                  <c:v>1175.5848460418092</c:v>
                </c:pt>
                <c:pt idx="3">
                  <c:v>1221.7213912130514</c:v>
                </c:pt>
                <c:pt idx="4">
                  <c:v>1279.1707909969023</c:v>
                </c:pt>
                <c:pt idx="5">
                  <c:v>1349.497004770355</c:v>
                </c:pt>
                <c:pt idx="6">
                  <c:v>1434.1956913700153</c:v>
                </c:pt>
                <c:pt idx="7">
                  <c:v>1534.6297249064883</c:v>
                </c:pt>
                <c:pt idx="8">
                  <c:v>1651.9649376257044</c:v>
                </c:pt>
                <c:pt idx="9">
                  <c:v>1787.1097618503009</c:v>
                </c:pt>
                <c:pt idx="10">
                  <c:v>1940.6622405583507</c:v>
                </c:pt>
                <c:pt idx="11">
                  <c:v>2112.8674095611123</c:v>
                </c:pt>
                <c:pt idx="12">
                  <c:v>2303.5873780978009</c:v>
                </c:pt>
                <c:pt idx="13">
                  <c:v>2512.2856193967436</c:v>
                </c:pt>
                <c:pt idx="14">
                  <c:v>2738.026105262722</c:v>
                </c:pt>
                <c:pt idx="15">
                  <c:v>2979.4870536353201</c:v>
                </c:pt>
                <c:pt idx="16">
                  <c:v>3234.9882703961257</c:v>
                </c:pt>
                <c:pt idx="17">
                  <c:v>3502.5304070248194</c:v>
                </c:pt>
                <c:pt idx="18">
                  <c:v>3779.8439574006597</c:v>
                </c:pt>
                <c:pt idx="19">
                  <c:v>4064.4454959539189</c:v>
                </c:pt>
                <c:pt idx="20">
                  <c:v>4353.6985152302195</c:v>
                </c:pt>
                <c:pt idx="21">
                  <c:v>4644.8762401164249</c:v>
                </c:pt>
                <c:pt idx="22">
                  <c:v>4935.2239549979649</c:v>
                </c:pt>
                <c:pt idx="23">
                  <c:v>5222.0186492917319</c:v>
                </c:pt>
                <c:pt idx="24">
                  <c:v>5502.6241337723159</c:v>
                </c:pt>
                <c:pt idx="25">
                  <c:v>5774.5401728347324</c:v>
                </c:pt>
                <c:pt idx="26">
                  <c:v>6035.4445869245656</c:v>
                </c:pt>
                <c:pt idx="27">
                  <c:v>6283.2276796843844</c:v>
                </c:pt>
                <c:pt idx="28">
                  <c:v>6516.0187159574607</c:v>
                </c:pt>
                <c:pt idx="29">
                  <c:v>6732.2045051767318</c:v>
                </c:pt>
                <c:pt idx="30">
                  <c:v>6930.4404206762238</c:v>
                </c:pt>
                <c:pt idx="31">
                  <c:v>7109.6544046817262</c:v>
                </c:pt>
                <c:pt idx="32">
                  <c:v>7269.0446707928322</c:v>
                </c:pt>
                <c:pt idx="33">
                  <c:v>7408.0719234335966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fit'!$C$7:$C$66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'New_ confirmed - Gompertz fit'!$I$7:$I$40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37.482674491181569</c:v>
                </c:pt>
                <c:pt idx="12">
                  <c:v>228.20264302787018</c:v>
                </c:pt>
                <c:pt idx="13">
                  <c:v>436.90088432681296</c:v>
                </c:pt>
                <c:pt idx="14">
                  <c:v>662.64137019279133</c:v>
                </c:pt>
                <c:pt idx="15">
                  <c:v>904.1023185653894</c:v>
                </c:pt>
                <c:pt idx="16">
                  <c:v>1159.603535326195</c:v>
                </c:pt>
                <c:pt idx="17">
                  <c:v>1427.1456719548887</c:v>
                </c:pt>
                <c:pt idx="18">
                  <c:v>1704.4592223307291</c:v>
                </c:pt>
                <c:pt idx="19">
                  <c:v>1989.0607608839882</c:v>
                </c:pt>
                <c:pt idx="20">
                  <c:v>2278.3137801602888</c:v>
                </c:pt>
                <c:pt idx="21">
                  <c:v>2569.4915050464942</c:v>
                </c:pt>
                <c:pt idx="22">
                  <c:v>2859.8392199280343</c:v>
                </c:pt>
                <c:pt idx="23">
                  <c:v>3146.6339142218012</c:v>
                </c:pt>
                <c:pt idx="24">
                  <c:v>3427.2393987023852</c:v>
                </c:pt>
                <c:pt idx="25">
                  <c:v>3699.1554377648017</c:v>
                </c:pt>
                <c:pt idx="26">
                  <c:v>3960.0598518546349</c:v>
                </c:pt>
                <c:pt idx="27">
                  <c:v>4207.8429446144537</c:v>
                </c:pt>
                <c:pt idx="28">
                  <c:v>4440.63398088753</c:v>
                </c:pt>
                <c:pt idx="29">
                  <c:v>4656.8197701068011</c:v>
                </c:pt>
                <c:pt idx="30">
                  <c:v>4855.0556856062931</c:v>
                </c:pt>
                <c:pt idx="31">
                  <c:v>5034.2696696117955</c:v>
                </c:pt>
                <c:pt idx="32">
                  <c:v>5193.6599357229015</c:v>
                </c:pt>
                <c:pt idx="33">
                  <c:v>5332.6871883636659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7620</xdr:rowOff>
    </xdr:from>
    <xdr:to>
      <xdr:col>25</xdr:col>
      <xdr:colOff>99060</xdr:colOff>
      <xdr:row>33</xdr:row>
      <xdr:rowOff>152400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75E20206-2CE6-4BED-8789-9127B2392E0A}"/>
            </a:ext>
          </a:extLst>
        </xdr:cNvPr>
        <xdr:cNvGrpSpPr/>
      </xdr:nvGrpSpPr>
      <xdr:grpSpPr>
        <a:xfrm>
          <a:off x="10485120" y="1295400"/>
          <a:ext cx="6941820" cy="5341620"/>
          <a:chOff x="6629400" y="1295400"/>
          <a:chExt cx="6941820" cy="5303523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7780020" y="3224641"/>
            <a:ext cx="1828800" cy="1369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35999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40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19.449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0.9987</a:t>
            </a:r>
          </a:p>
          <a:p>
            <a:r>
              <a:rPr lang="it-IT" sz="1100" b="1" i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2200</a:t>
            </a:r>
            <a:endParaRPr lang="it-IT" b="1">
              <a:solidFill>
                <a:srgbClr val="0070C0"/>
              </a:solidFill>
              <a:effectLst/>
            </a:endParaRPr>
          </a:p>
          <a:p>
            <a:pPr eaLnBrk="1" fontAlgn="auto" latinLnBrk="0" hangingPunct="1"/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 b="1">
              <a:solidFill>
                <a:srgbClr val="0070C0"/>
              </a:solidFill>
              <a:effectLst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0.72228</cdr:x>
      <cdr:y>0.35045</cdr:y>
    </cdr:from>
    <cdr:to>
      <cdr:x>0.98573</cdr:x>
      <cdr:y>0.59439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5013960" y="1871980"/>
          <a:ext cx="1828800" cy="13030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Hospitalized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130000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41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22.301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0.9942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1664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b="1">
            <a:solidFill>
              <a:srgbClr val="FF0000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137160</xdr:colOff>
      <xdr:row>14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12</xdr:col>
      <xdr:colOff>7620</xdr:colOff>
      <xdr:row>5</xdr:row>
      <xdr:rowOff>7620</xdr:rowOff>
    </xdr:from>
    <xdr:to>
      <xdr:col>23</xdr:col>
      <xdr:colOff>99060</xdr:colOff>
      <xdr:row>33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0C6C291-EC82-44BE-93C5-7967E3816F27}"/>
            </a:ext>
          </a:extLst>
        </xdr:cNvPr>
        <xdr:cNvGrpSpPr/>
      </xdr:nvGrpSpPr>
      <xdr:grpSpPr>
        <a:xfrm>
          <a:off x="8846820" y="1295400"/>
          <a:ext cx="6941820" cy="5303520"/>
          <a:chOff x="8846820" y="129540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40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047220" y="2598420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696AA2AC-DF77-4931-ADFA-F7E4F31D0BB4}"/>
              </a:ext>
            </a:extLst>
          </xdr:cNvPr>
          <xdr:cNvSpPr txBox="1"/>
        </xdr:nvSpPr>
        <xdr:spPr>
          <a:xfrm>
            <a:off x="13662660" y="4008120"/>
            <a:ext cx="1828800" cy="1181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360000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39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19.536</a:t>
            </a:r>
            <a:r>
              <a:rPr lang="it-IT"/>
              <a:t> </a:t>
            </a:r>
          </a:p>
          <a:p>
            <a:r>
              <a:rPr lang="it-IT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i="1" baseline="30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0.9523</a:t>
            </a:r>
          </a:p>
          <a:p>
            <a:r>
              <a:rPr lang="it-IT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1038</a:t>
            </a:r>
            <a:endParaRPr lang="it-IT">
              <a:effectLst/>
            </a:endParaRPr>
          </a:p>
          <a:p>
            <a:pPr eaLnBrk="1" fontAlgn="auto" latinLnBrk="0" hangingPunct="1"/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0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214860" y="3017520"/>
                <a:ext cx="3213316" cy="548099"/>
              </a:xfrm>
              <a:prstGeom prst="rect">
                <a:avLst/>
              </a:prstGeom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9" name="Connettore 2 8">
            <a:extLst>
              <a:ext uri="{FF2B5EF4-FFF2-40B4-BE49-F238E27FC236}">
                <a16:creationId xmlns:a16="http://schemas.microsoft.com/office/drawing/2014/main" id="{0B6EA791-7AE4-41EF-A044-74ED095C1F56}"/>
              </a:ext>
            </a:extLst>
          </xdr:cNvPr>
          <xdr:cNvCxnSpPr/>
        </xdr:nvCxnSpPr>
        <xdr:spPr>
          <a:xfrm flipH="1">
            <a:off x="12352020" y="3581400"/>
            <a:ext cx="662940" cy="6172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96400" y="2537460"/>
            <a:ext cx="237744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11163300" y="2186940"/>
                <a:ext cx="467500" cy="24429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99B3D4D7-548A-4773-8707-3C2F90AA47B1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043CC-B269-49E1-862B-3A1530409C07}" name="dpc_covid19_ita_andamento_nazionale__8" displayName="dpc_covid19_ita_andamento_nazionale__8" ref="A1:N35" tableType="queryTable" totalsRowShown="0">
  <autoFilter ref="A1:N35" xr:uid="{D3A5E762-6253-4C27-93C6-BBB88C5B6CBB}"/>
  <tableColumns count="14">
    <tableColumn id="1" xr3:uid="{F85C1931-8055-41C6-8108-062DFEE431E9}" uniqueName="1" name="data" queryTableFieldId="1" dataDxfId="3"/>
    <tableColumn id="2" xr3:uid="{637CD71C-57E1-432D-B60A-20221F8D1045}" uniqueName="2" name="stato" queryTableFieldId="2" dataDxfId="2"/>
    <tableColumn id="3" xr3:uid="{FD5C6118-2BCB-4132-89C7-722E96C9FA74}" uniqueName="3" name="ricoverati_con_sintomi" queryTableFieldId="3"/>
    <tableColumn id="4" xr3:uid="{F135CE28-50BA-46C8-AFD5-4E5759B35DDB}" uniqueName="4" name="terapia_intensiva" queryTableFieldId="4"/>
    <tableColumn id="5" xr3:uid="{F968D170-1CCE-433B-855D-549798258725}" uniqueName="5" name="totale_ospedalizzati" queryTableFieldId="5"/>
    <tableColumn id="6" xr3:uid="{85791034-B9BA-4082-A00F-84E39839826F}" uniqueName="6" name="isolamento_domiciliare" queryTableFieldId="6"/>
    <tableColumn id="7" xr3:uid="{F81EB876-8DF0-43A2-9ABC-5560A8EEA285}" uniqueName="7" name="totale_attualmente_positivi" queryTableFieldId="7"/>
    <tableColumn id="8" xr3:uid="{3F8BC0BC-3733-42BF-97EE-FF2B65FE4174}" uniqueName="8" name="nuovi_attualmente_positivi" queryTableFieldId="8"/>
    <tableColumn id="9" xr3:uid="{55067DBB-42E8-4107-ADD6-7315ECA6F6CE}" uniqueName="9" name="dimessi_guariti" queryTableFieldId="9"/>
    <tableColumn id="10" xr3:uid="{5FFE5E95-B31C-4EF6-B2A4-F2D0C2A3B3A3}" uniqueName="10" name="deceduti" queryTableFieldId="10"/>
    <tableColumn id="11" xr3:uid="{39EF975B-6CB5-4176-958C-C3523677EDF8}" uniqueName="11" name="totale_casi" queryTableFieldId="11"/>
    <tableColumn id="12" xr3:uid="{659ADDD7-1AF0-4C3D-A377-B7DA03D35A76}" uniqueName="12" name="tamponi" queryTableFieldId="12"/>
    <tableColumn id="13" xr3:uid="{143F87E4-EDA3-41FD-88C4-4FB3D3D80038}" uniqueName="13" name="note_it" queryTableFieldId="13" dataDxfId="1"/>
    <tableColumn id="14" xr3:uid="{FDE0BB10-1D57-4B91-8C9C-019E4305BC38}" uniqueName="14" name="note_e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  <threadedComment ref="B35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E55EDF91-B929-427F-974C-7C4BA6A2256F}">
    <text>red zone</text>
  </threadedComment>
  <threadedComment ref="B13" dT="2020-03-21T22:12:51.46" personId="{6B746D70-F039-4BD3-A8E2-CFBE3CA77AEB}" id="{E68D444F-F44E-4F7B-A08B-3E97C8F77EB8}">
    <text>partial lockdown (north)</text>
  </threadedComment>
  <threadedComment ref="B17" dT="2020-03-21T22:13:52.19" personId="{6B746D70-F039-4BD3-A8E2-CFBE3CA77AEB}" id="{5FA73663-8ACB-4C87-9ACE-833B3E2F4F52}">
    <text>school closure (Italy)</text>
  </threadedComment>
  <threadedComment ref="B20" dT="2020-03-21T22:14:24.84" personId="{6B746D70-F039-4BD3-A8E2-CFBE3CA77AEB}" id="{C84EE756-EBBF-4242-B72B-A7663F6ADECE}">
    <text>lockdown (north)</text>
  </threadedComment>
  <threadedComment ref="B22" dT="2020-03-21T22:14:52.14" personId="{6B746D70-F039-4BD3-A8E2-CFBE3CA77AEB}" id="{B367DBCB-7C6A-4BA4-9A30-B8A2E8E7290F}">
    <text>partial lockdown (Italy)</text>
  </threadedComment>
  <threadedComment ref="B24" dT="2020-03-21T22:15:16.77" personId="{6B746D70-F039-4BD3-A8E2-CFBE3CA77AEB}" id="{926C33C6-F39A-4524-91C9-0CF38C04972A}">
    <text>lockdown (Italy)</text>
  </threadedComment>
  <threadedComment ref="B35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N35"/>
  <sheetViews>
    <sheetView topLeftCell="A13" workbookViewId="0">
      <selection activeCell="K34" sqref="K34"/>
    </sheetView>
  </sheetViews>
  <sheetFormatPr defaultRowHeight="14.4" x14ac:dyDescent="0.3"/>
  <cols>
    <col min="1" max="1" width="15.6640625" style="2" bestFit="1" customWidth="1"/>
    <col min="2" max="2" width="7.44140625" style="2" bestFit="1" customWidth="1"/>
    <col min="3" max="3" width="22.6640625" style="2" bestFit="1" customWidth="1"/>
    <col min="4" max="4" width="17.77734375" style="2" bestFit="1" customWidth="1"/>
    <col min="5" max="5" width="20" style="2" bestFit="1" customWidth="1"/>
    <col min="6" max="6" width="23" style="2" bestFit="1" customWidth="1"/>
    <col min="7" max="7" width="26.77734375" style="2" bestFit="1" customWidth="1"/>
    <col min="8" max="8" width="26.6640625" style="2" bestFit="1" customWidth="1"/>
    <col min="9" max="9" width="15.88671875" style="2" bestFit="1" customWidth="1"/>
    <col min="10" max="10" width="10.5546875" style="2" bestFit="1" customWidth="1"/>
    <col min="11" max="11" width="12.21875" style="2" bestFit="1" customWidth="1"/>
    <col min="12" max="12" width="10.33203125" style="2" bestFit="1" customWidth="1"/>
    <col min="13" max="13" width="19.5546875" style="2" bestFit="1" customWidth="1"/>
    <col min="14" max="14" width="21.109375" style="2" bestFit="1" customWidth="1"/>
    <col min="15" max="16384" width="8.88671875" style="2"/>
  </cols>
  <sheetData>
    <row r="1" spans="1:14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37</v>
      </c>
      <c r="N1" s="2" t="s">
        <v>38</v>
      </c>
    </row>
    <row r="2" spans="1:14" x14ac:dyDescent="0.3">
      <c r="A2" s="15">
        <v>43885.75</v>
      </c>
      <c r="B2" s="16" t="s">
        <v>31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6" t="s">
        <v>39</v>
      </c>
      <c r="N2" s="16" t="s">
        <v>39</v>
      </c>
    </row>
    <row r="3" spans="1:14" x14ac:dyDescent="0.3">
      <c r="A3" s="15">
        <v>43886.75</v>
      </c>
      <c r="B3" s="16" t="s">
        <v>31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6" t="s">
        <v>39</v>
      </c>
      <c r="N3" s="16" t="s">
        <v>39</v>
      </c>
    </row>
    <row r="4" spans="1:14" x14ac:dyDescent="0.3">
      <c r="A4" s="15">
        <v>43887.75</v>
      </c>
      <c r="B4" s="16" t="s">
        <v>31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6" t="s">
        <v>39</v>
      </c>
      <c r="N4" s="16" t="s">
        <v>39</v>
      </c>
    </row>
    <row r="5" spans="1:14" x14ac:dyDescent="0.3">
      <c r="A5" s="15">
        <v>43888.75</v>
      </c>
      <c r="B5" s="16" t="s">
        <v>31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6" t="s">
        <v>39</v>
      </c>
      <c r="N5" s="16" t="s">
        <v>39</v>
      </c>
    </row>
    <row r="6" spans="1:14" x14ac:dyDescent="0.3">
      <c r="A6" s="15">
        <v>43889.75</v>
      </c>
      <c r="B6" s="16" t="s">
        <v>31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6" t="s">
        <v>39</v>
      </c>
      <c r="N6" s="16" t="s">
        <v>39</v>
      </c>
    </row>
    <row r="7" spans="1:14" x14ac:dyDescent="0.3">
      <c r="A7" s="15">
        <v>43890.75</v>
      </c>
      <c r="B7" s="16" t="s">
        <v>31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6" t="s">
        <v>39</v>
      </c>
      <c r="N7" s="16" t="s">
        <v>39</v>
      </c>
    </row>
    <row r="8" spans="1:14" x14ac:dyDescent="0.3">
      <c r="A8" s="15">
        <v>43891.75</v>
      </c>
      <c r="B8" s="16" t="s">
        <v>31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6" t="s">
        <v>39</v>
      </c>
      <c r="N8" s="16" t="s">
        <v>39</v>
      </c>
    </row>
    <row r="9" spans="1:14" x14ac:dyDescent="0.3">
      <c r="A9" s="15">
        <v>43892.75</v>
      </c>
      <c r="B9" s="16" t="s">
        <v>31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6" t="s">
        <v>39</v>
      </c>
      <c r="N9" s="16" t="s">
        <v>39</v>
      </c>
    </row>
    <row r="10" spans="1:14" x14ac:dyDescent="0.3">
      <c r="A10" s="15">
        <v>43893.75</v>
      </c>
      <c r="B10" s="16" t="s">
        <v>31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6" t="s">
        <v>39</v>
      </c>
      <c r="N10" s="16" t="s">
        <v>39</v>
      </c>
    </row>
    <row r="11" spans="1:14" x14ac:dyDescent="0.3">
      <c r="A11" s="15">
        <v>43894.75</v>
      </c>
      <c r="B11" s="16" t="s">
        <v>31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6" t="s">
        <v>39</v>
      </c>
      <c r="N11" s="16" t="s">
        <v>39</v>
      </c>
    </row>
    <row r="12" spans="1:14" x14ac:dyDescent="0.3">
      <c r="A12" s="15">
        <v>43895.75</v>
      </c>
      <c r="B12" s="16" t="s">
        <v>31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6" t="s">
        <v>39</v>
      </c>
      <c r="N12" s="16" t="s">
        <v>39</v>
      </c>
    </row>
    <row r="13" spans="1:14" x14ac:dyDescent="0.3">
      <c r="A13" s="15">
        <v>43896.75</v>
      </c>
      <c r="B13" s="16" t="s">
        <v>31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6" t="s">
        <v>39</v>
      </c>
      <c r="N13" s="16" t="s">
        <v>39</v>
      </c>
    </row>
    <row r="14" spans="1:14" x14ac:dyDescent="0.3">
      <c r="A14" s="15">
        <v>43897.75</v>
      </c>
      <c r="B14" s="16" t="s">
        <v>31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6" t="s">
        <v>40</v>
      </c>
      <c r="N14" s="16" t="s">
        <v>41</v>
      </c>
    </row>
    <row r="15" spans="1:14" x14ac:dyDescent="0.3">
      <c r="A15" s="15">
        <v>43898.75</v>
      </c>
      <c r="B15" s="16" t="s">
        <v>31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6" t="s">
        <v>39</v>
      </c>
      <c r="N15" s="16" t="s">
        <v>39</v>
      </c>
    </row>
    <row r="16" spans="1:14" x14ac:dyDescent="0.3">
      <c r="A16" s="15">
        <v>43899.75</v>
      </c>
      <c r="B16" s="16" t="s">
        <v>31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6" t="s">
        <v>39</v>
      </c>
      <c r="N16" s="16" t="s">
        <v>39</v>
      </c>
    </row>
    <row r="17" spans="1:14" x14ac:dyDescent="0.3">
      <c r="A17" s="15">
        <v>43900.75</v>
      </c>
      <c r="B17" s="16" t="s">
        <v>31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6" t="s">
        <v>42</v>
      </c>
      <c r="N17" s="16" t="s">
        <v>43</v>
      </c>
    </row>
    <row r="18" spans="1:14" x14ac:dyDescent="0.3">
      <c r="A18" s="15">
        <v>43901.708333333336</v>
      </c>
      <c r="B18" s="16" t="s">
        <v>31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6" t="s">
        <v>44</v>
      </c>
      <c r="N18" s="16" t="s">
        <v>45</v>
      </c>
    </row>
    <row r="19" spans="1:14" x14ac:dyDescent="0.3">
      <c r="A19" s="15">
        <v>43902.708333333336</v>
      </c>
      <c r="B19" s="16" t="s">
        <v>31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6" t="s">
        <v>39</v>
      </c>
      <c r="N19" s="16" t="s">
        <v>39</v>
      </c>
    </row>
    <row r="20" spans="1:14" x14ac:dyDescent="0.3">
      <c r="A20" s="15">
        <v>43903.708333333336</v>
      </c>
      <c r="B20" s="16" t="s">
        <v>31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6" t="s">
        <v>39</v>
      </c>
      <c r="N20" s="16" t="s">
        <v>39</v>
      </c>
    </row>
    <row r="21" spans="1:14" x14ac:dyDescent="0.3">
      <c r="A21" s="15">
        <v>43904.708333333336</v>
      </c>
      <c r="B21" s="16" t="s">
        <v>31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6" t="s">
        <v>39</v>
      </c>
      <c r="N21" s="16" t="s">
        <v>39</v>
      </c>
    </row>
    <row r="22" spans="1:14" x14ac:dyDescent="0.3">
      <c r="A22" s="15">
        <v>43905.708333333336</v>
      </c>
      <c r="B22" s="16" t="s">
        <v>31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6" t="s">
        <v>39</v>
      </c>
      <c r="N22" s="16" t="s">
        <v>39</v>
      </c>
    </row>
    <row r="23" spans="1:14" x14ac:dyDescent="0.3">
      <c r="A23" s="15">
        <v>43906.708333333336</v>
      </c>
      <c r="B23" s="16" t="s">
        <v>31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6" t="s">
        <v>46</v>
      </c>
      <c r="N23" s="16" t="s">
        <v>47</v>
      </c>
    </row>
    <row r="24" spans="1:14" x14ac:dyDescent="0.3">
      <c r="A24" s="15">
        <v>43907.708333333336</v>
      </c>
      <c r="B24" s="16" t="s">
        <v>31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6" t="s">
        <v>48</v>
      </c>
      <c r="N24" s="16" t="s">
        <v>49</v>
      </c>
    </row>
    <row r="25" spans="1:14" x14ac:dyDescent="0.3">
      <c r="A25" s="15">
        <v>43908.708333333336</v>
      </c>
      <c r="B25" s="16" t="s">
        <v>31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6" t="s">
        <v>50</v>
      </c>
      <c r="N25" s="16" t="s">
        <v>51</v>
      </c>
    </row>
    <row r="26" spans="1:14" x14ac:dyDescent="0.3">
      <c r="A26" s="15">
        <v>43909.708333333336</v>
      </c>
      <c r="B26" s="16" t="s">
        <v>31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6" t="s">
        <v>39</v>
      </c>
      <c r="N26" s="16" t="s">
        <v>39</v>
      </c>
    </row>
    <row r="27" spans="1:14" x14ac:dyDescent="0.3">
      <c r="A27" s="15">
        <v>43910.708333333336</v>
      </c>
      <c r="B27" s="16" t="s">
        <v>31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6" t="s">
        <v>39</v>
      </c>
      <c r="N27" s="16" t="s">
        <v>39</v>
      </c>
    </row>
    <row r="28" spans="1:14" x14ac:dyDescent="0.3">
      <c r="A28" s="15">
        <v>43911.708333333336</v>
      </c>
      <c r="B28" s="16" t="s">
        <v>31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6" t="s">
        <v>39</v>
      </c>
      <c r="N28" s="16" t="s">
        <v>39</v>
      </c>
    </row>
    <row r="29" spans="1:14" x14ac:dyDescent="0.3">
      <c r="A29" s="15">
        <v>43912.708333333336</v>
      </c>
      <c r="B29" s="16" t="s">
        <v>31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6" t="s">
        <v>39</v>
      </c>
      <c r="N29" s="16" t="s">
        <v>39</v>
      </c>
    </row>
    <row r="30" spans="1:14" x14ac:dyDescent="0.3">
      <c r="A30" s="15">
        <v>43913.708333333336</v>
      </c>
      <c r="B30" s="16" t="s">
        <v>31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6" t="s">
        <v>39</v>
      </c>
      <c r="N30" s="16" t="s">
        <v>39</v>
      </c>
    </row>
    <row r="31" spans="1:14" x14ac:dyDescent="0.3">
      <c r="A31" s="15">
        <v>43914.708333333336</v>
      </c>
      <c r="B31" s="16" t="s">
        <v>31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6" t="s">
        <v>39</v>
      </c>
      <c r="N31" s="16" t="s">
        <v>39</v>
      </c>
    </row>
    <row r="32" spans="1:14" x14ac:dyDescent="0.3">
      <c r="A32" s="15">
        <v>43915.708333333336</v>
      </c>
      <c r="B32" s="16" t="s">
        <v>31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6" t="s">
        <v>39</v>
      </c>
      <c r="N32" s="16" t="s">
        <v>39</v>
      </c>
    </row>
    <row r="33" spans="1:14" x14ac:dyDescent="0.3">
      <c r="A33" s="15">
        <v>43916.708333333336</v>
      </c>
      <c r="B33" s="16" t="s">
        <v>31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6" t="s">
        <v>52</v>
      </c>
      <c r="N33" s="16" t="s">
        <v>53</v>
      </c>
    </row>
    <row r="34" spans="1:14" x14ac:dyDescent="0.3">
      <c r="A34" s="15">
        <v>43917.708333333336</v>
      </c>
      <c r="B34" s="16" t="s">
        <v>31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10950</v>
      </c>
      <c r="J34" s="2">
        <v>9134</v>
      </c>
      <c r="K34" s="2">
        <v>86498</v>
      </c>
      <c r="L34" s="2">
        <v>394079</v>
      </c>
      <c r="M34" s="16" t="s">
        <v>39</v>
      </c>
      <c r="N34" s="16" t="s">
        <v>39</v>
      </c>
    </row>
    <row r="35" spans="1:14" x14ac:dyDescent="0.3">
      <c r="A35" s="15">
        <v>43918.708333333336</v>
      </c>
      <c r="B35" s="16" t="s">
        <v>31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12384</v>
      </c>
      <c r="J35" s="2">
        <v>10023</v>
      </c>
      <c r="K35" s="2">
        <v>92472</v>
      </c>
      <c r="L35" s="2">
        <v>429526</v>
      </c>
      <c r="M35" s="16" t="s">
        <v>39</v>
      </c>
      <c r="N35" s="1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66"/>
  <sheetViews>
    <sheetView topLeftCell="E10" workbookViewId="0">
      <selection activeCell="N18" sqref="N18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customWidth="1"/>
    <col min="9" max="9" width="15.44140625" style="2" customWidth="1"/>
    <col min="10" max="10" width="11.33203125" style="2" customWidth="1"/>
    <col min="11" max="11" width="11.109375" style="2" customWidth="1"/>
    <col min="12" max="12" width="1.77734375" style="2" customWidth="1"/>
    <col min="13" max="13" width="11.777343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2" t="s">
        <v>13</v>
      </c>
    </row>
    <row r="3" spans="2:18" ht="17.399999999999999" customHeight="1" x14ac:dyDescent="0.6">
      <c r="B3" s="12"/>
      <c r="O3" s="18" t="s">
        <v>0</v>
      </c>
      <c r="P3" s="17" t="s">
        <v>18</v>
      </c>
      <c r="Q3" s="17"/>
      <c r="R3" s="17"/>
    </row>
    <row r="4" spans="2:18" ht="20.399999999999999" x14ac:dyDescent="0.35">
      <c r="B4" s="13" t="s">
        <v>15</v>
      </c>
      <c r="C4" s="14"/>
      <c r="O4" s="18" t="s">
        <v>32</v>
      </c>
      <c r="P4" s="17" t="s">
        <v>17</v>
      </c>
      <c r="Q4" s="17"/>
      <c r="R4" s="17"/>
    </row>
    <row r="5" spans="2:18" ht="18" x14ac:dyDescent="0.3">
      <c r="O5" s="18" t="s">
        <v>1</v>
      </c>
      <c r="P5" s="17" t="s">
        <v>16</v>
      </c>
      <c r="Q5" s="17"/>
      <c r="R5" s="17"/>
    </row>
    <row r="6" spans="2:18" x14ac:dyDescent="0.3">
      <c r="B6" s="4" t="s">
        <v>10</v>
      </c>
      <c r="C6" s="4" t="s">
        <v>11</v>
      </c>
      <c r="D6" s="4" t="s">
        <v>12</v>
      </c>
      <c r="E6" s="9" t="s">
        <v>55</v>
      </c>
      <c r="F6" s="9" t="s">
        <v>56</v>
      </c>
      <c r="G6" s="9" t="s">
        <v>57</v>
      </c>
      <c r="H6" s="4" t="s">
        <v>54</v>
      </c>
      <c r="I6" s="9" t="s">
        <v>58</v>
      </c>
      <c r="J6" s="9" t="s">
        <v>59</v>
      </c>
      <c r="K6" s="9" t="s">
        <v>60</v>
      </c>
      <c r="L6" s="9"/>
      <c r="M6" s="21" t="s">
        <v>61</v>
      </c>
      <c r="N6" s="3"/>
      <c r="O6" s="3"/>
    </row>
    <row r="7" spans="2:18" x14ac:dyDescent="0.3">
      <c r="B7" s="20">
        <v>43885</v>
      </c>
      <c r="C7" s="4">
        <v>1</v>
      </c>
      <c r="D7" s="4">
        <f>'dpc-covid-19-ita-andamento-naz'!K2</f>
        <v>229</v>
      </c>
      <c r="E7" s="11">
        <f>K*EXP(-EXP(-($C7-t0)/w))</f>
        <v>213.99097700135877</v>
      </c>
      <c r="F7" s="11">
        <f t="shared" ref="F7:F29" si="0">E7+CI</f>
        <v>2414.4702123714424</v>
      </c>
      <c r="G7" s="11">
        <f t="shared" ref="G7:G33" si="1">MAX(E7-CI,0)</f>
        <v>0</v>
      </c>
      <c r="H7" s="4">
        <f>'dpc-covid-19-ita-andamento-naz'!E2</f>
        <v>127</v>
      </c>
      <c r="I7" s="11">
        <f>Kh*EXP(-EXP(-($C7-t0h)/wh))</f>
        <v>318.68473275893797</v>
      </c>
      <c r="J7" s="11">
        <f>I7+CIh</f>
        <v>1982.8210905413075</v>
      </c>
      <c r="K7" s="11">
        <f>MAX(I7-CIh,0)</f>
        <v>0</v>
      </c>
      <c r="L7" s="1"/>
      <c r="M7" s="19" t="s">
        <v>0</v>
      </c>
      <c r="N7" s="5">
        <v>359999</v>
      </c>
    </row>
    <row r="8" spans="2:18" ht="15.6" x14ac:dyDescent="0.35">
      <c r="B8" s="10">
        <v>43886</v>
      </c>
      <c r="C8" s="4">
        <v>2</v>
      </c>
      <c r="D8" s="4">
        <f>'dpc-covid-19-ita-andamento-naz'!K3</f>
        <v>322</v>
      </c>
      <c r="E8" s="11">
        <f>K*EXP(-EXP(-($C8-t0)/w))</f>
        <v>310.50494572638166</v>
      </c>
      <c r="F8" s="11">
        <f t="shared" si="0"/>
        <v>2510.9841810964654</v>
      </c>
      <c r="G8" s="11">
        <f t="shared" si="1"/>
        <v>0</v>
      </c>
      <c r="H8" s="4">
        <f>'dpc-covid-19-ita-andamento-naz'!E3</f>
        <v>150</v>
      </c>
      <c r="I8" s="11">
        <f>Kh*EXP(-EXP(-($C8-t0h)/wh))</f>
        <v>414.79589740620116</v>
      </c>
      <c r="J8" s="11">
        <f>I8+CIh</f>
        <v>2078.9322551885707</v>
      </c>
      <c r="K8" s="11">
        <f>MAX(I8-CIh,0)</f>
        <v>0</v>
      </c>
      <c r="L8" s="1"/>
      <c r="M8" s="19" t="s">
        <v>33</v>
      </c>
      <c r="N8" s="5">
        <v>40</v>
      </c>
    </row>
    <row r="9" spans="2:18" x14ac:dyDescent="0.3">
      <c r="B9" s="10">
        <v>43887</v>
      </c>
      <c r="C9" s="4">
        <v>3</v>
      </c>
      <c r="D9" s="4">
        <f>'dpc-covid-19-ita-andamento-naz'!K4</f>
        <v>400</v>
      </c>
      <c r="E9" s="11">
        <f>K*EXP(-EXP(-($C9-t0)/w))</f>
        <v>442.22062776795724</v>
      </c>
      <c r="F9" s="11">
        <f t="shared" si="0"/>
        <v>2642.6998631380411</v>
      </c>
      <c r="G9" s="11">
        <f t="shared" si="1"/>
        <v>0</v>
      </c>
      <c r="H9" s="4">
        <f>'dpc-covid-19-ita-andamento-naz'!E4</f>
        <v>164</v>
      </c>
      <c r="I9" s="11">
        <f>Kh*EXP(-EXP(-($C9-t0h)/wh))</f>
        <v>533.68873173599104</v>
      </c>
      <c r="J9" s="11">
        <f>I9+CIh</f>
        <v>2197.8250895183605</v>
      </c>
      <c r="K9" s="11">
        <f>MAX(I9-CIh,0)</f>
        <v>0</v>
      </c>
      <c r="L9" s="1"/>
      <c r="M9" s="19" t="s">
        <v>1</v>
      </c>
      <c r="N9" s="22">
        <v>19.448983037568542</v>
      </c>
    </row>
    <row r="10" spans="2:18" x14ac:dyDescent="0.3">
      <c r="B10" s="10">
        <v>43888</v>
      </c>
      <c r="C10" s="4">
        <v>4</v>
      </c>
      <c r="D10" s="4">
        <f>'dpc-covid-19-ita-andamento-naz'!K5</f>
        <v>650</v>
      </c>
      <c r="E10" s="11">
        <f>K*EXP(-EXP(-($C10-t0)/w))</f>
        <v>618.74679722806138</v>
      </c>
      <c r="F10" s="11">
        <f t="shared" si="0"/>
        <v>2819.2260325981451</v>
      </c>
      <c r="G10" s="11">
        <f t="shared" si="1"/>
        <v>0</v>
      </c>
      <c r="H10" s="4">
        <f>'dpc-covid-19-ita-andamento-naz'!E5</f>
        <v>304</v>
      </c>
      <c r="I10" s="11">
        <f>Kh*EXP(-EXP(-($C10-t0h)/wh))</f>
        <v>679.11310228884872</v>
      </c>
      <c r="J10" s="11">
        <f>I10+CIh</f>
        <v>2343.249460071218</v>
      </c>
      <c r="K10" s="11">
        <f>MAX(I10-CIh,0)</f>
        <v>0</v>
      </c>
      <c r="L10" s="1"/>
      <c r="M10" s="6" t="s">
        <v>2</v>
      </c>
      <c r="N10" s="1">
        <f>AVERAGE(D7:D40)</f>
        <v>26709.382352941175</v>
      </c>
    </row>
    <row r="11" spans="2:18" x14ac:dyDescent="0.3">
      <c r="B11" s="10">
        <v>43889</v>
      </c>
      <c r="C11" s="4">
        <v>5</v>
      </c>
      <c r="D11" s="4">
        <f>'dpc-covid-19-ita-andamento-naz'!K6</f>
        <v>888</v>
      </c>
      <c r="E11" s="11">
        <f>K*EXP(-EXP(-($C11-t0)/w))</f>
        <v>851.28729186700662</v>
      </c>
      <c r="F11" s="11">
        <f t="shared" si="0"/>
        <v>3051.7665272370905</v>
      </c>
      <c r="G11" s="11">
        <f t="shared" si="1"/>
        <v>0</v>
      </c>
      <c r="H11" s="4">
        <f>'dpc-covid-19-ita-andamento-naz'!E6</f>
        <v>409</v>
      </c>
      <c r="I11" s="11">
        <f>Kh*EXP(-EXP(-($C11-t0h)/wh))</f>
        <v>855.08076636997055</v>
      </c>
      <c r="J11" s="11">
        <f>I11+CIh</f>
        <v>2519.2171241523401</v>
      </c>
      <c r="K11" s="11">
        <f>MAX(I11-CIh,0)</f>
        <v>0</v>
      </c>
      <c r="L11" s="1"/>
      <c r="M11" s="6" t="s">
        <v>3</v>
      </c>
      <c r="N11" s="1">
        <f>COUNT(D7:D40)-COUNT(N7:N9)</f>
        <v>31</v>
      </c>
    </row>
    <row r="12" spans="2:18" x14ac:dyDescent="0.3">
      <c r="B12" s="10">
        <v>43890</v>
      </c>
      <c r="C12" s="4">
        <v>6</v>
      </c>
      <c r="D12" s="4">
        <f>'dpc-covid-19-ita-andamento-naz'!K7</f>
        <v>1128</v>
      </c>
      <c r="E12" s="11">
        <f>K*EXP(-EXP(-($C12-t0)/w))</f>
        <v>1152.6433547352833</v>
      </c>
      <c r="F12" s="11">
        <f t="shared" si="0"/>
        <v>3353.1225901053667</v>
      </c>
      <c r="G12" s="11">
        <f t="shared" si="1"/>
        <v>0</v>
      </c>
      <c r="H12" s="4">
        <f>'dpc-covid-19-ita-andamento-naz'!E7</f>
        <v>506</v>
      </c>
      <c r="I12" s="11">
        <f>Kh*EXP(-EXP(-($C12-t0h)/wh))</f>
        <v>1065.8211804429534</v>
      </c>
      <c r="J12" s="11">
        <f>I12+CIh</f>
        <v>2729.9575382253229</v>
      </c>
      <c r="K12" s="11">
        <f>MAX(I12-CIh,0)</f>
        <v>0</v>
      </c>
      <c r="L12" s="1"/>
      <c r="M12" s="6" t="s">
        <v>4</v>
      </c>
      <c r="N12" s="7" cm="1">
        <f t="array" ref="N12">SQRT(SUM((D7:D40-E7:E40)^2)/df)</f>
        <v>1078.9236223267289</v>
      </c>
    </row>
    <row r="13" spans="2:18" ht="16.2" x14ac:dyDescent="0.3">
      <c r="B13" s="20">
        <v>43891</v>
      </c>
      <c r="C13" s="4">
        <v>7</v>
      </c>
      <c r="D13" s="4">
        <f>'dpc-covid-19-ita-andamento-naz'!K8</f>
        <v>1694</v>
      </c>
      <c r="E13" s="11">
        <f>K*EXP(-EXP(-($C13-t0)/w))</f>
        <v>1537.1540659482937</v>
      </c>
      <c r="F13" s="11">
        <f t="shared" si="0"/>
        <v>3737.6333013183776</v>
      </c>
      <c r="G13" s="11">
        <f t="shared" si="1"/>
        <v>0</v>
      </c>
      <c r="H13" s="4">
        <f>'dpc-covid-19-ita-andamento-naz'!E8</f>
        <v>779</v>
      </c>
      <c r="I13" s="11">
        <f>Kh*EXP(-EXP(-($C13-t0h)/wh))</f>
        <v>1315.7280696084163</v>
      </c>
      <c r="J13" s="11">
        <f>I13+CIh</f>
        <v>2979.8644273907857</v>
      </c>
      <c r="K13" s="11">
        <f>MAX(I13-CIh,0)</f>
        <v>0</v>
      </c>
      <c r="L13" s="1"/>
      <c r="M13" s="6" t="s">
        <v>5</v>
      </c>
      <c r="N13" s="8" cm="1">
        <f t="array" ref="N13">1-SUM((D7:D40-E7:E40)^2)/SUM((D7:D40-Mean_of_y)^2)</f>
        <v>0.99871473018087242</v>
      </c>
    </row>
    <row r="14" spans="2:18" x14ac:dyDescent="0.3">
      <c r="B14" s="10">
        <v>43892</v>
      </c>
      <c r="C14" s="4">
        <v>8</v>
      </c>
      <c r="D14" s="4">
        <f>'dpc-covid-19-ita-andamento-naz'!K9</f>
        <v>2036</v>
      </c>
      <c r="E14" s="11">
        <f>K*EXP(-EXP(-($C14-t0)/w))</f>
        <v>2020.5708460202309</v>
      </c>
      <c r="F14" s="11">
        <f t="shared" si="0"/>
        <v>4221.0500813903145</v>
      </c>
      <c r="G14" s="11">
        <f t="shared" si="1"/>
        <v>0</v>
      </c>
      <c r="H14" s="4">
        <f>'dpc-covid-19-ita-andamento-naz'!E9</f>
        <v>908</v>
      </c>
      <c r="I14" s="11">
        <f>Kh*EXP(-EXP(-($C14-t0h)/wh))</f>
        <v>1609.2980533921286</v>
      </c>
      <c r="J14" s="11">
        <f>I14+CIh</f>
        <v>3273.4344111744981</v>
      </c>
      <c r="K14" s="11">
        <f>MAX(I14-CIh,0)</f>
        <v>0</v>
      </c>
      <c r="L14" s="1"/>
      <c r="M14" s="6" t="s">
        <v>6</v>
      </c>
      <c r="N14" s="8">
        <f>TINV(0.05,df)</f>
        <v>2.0395134463964082</v>
      </c>
    </row>
    <row r="15" spans="2:18" x14ac:dyDescent="0.3">
      <c r="B15" s="10">
        <v>43893</v>
      </c>
      <c r="C15" s="4">
        <v>9</v>
      </c>
      <c r="D15" s="4">
        <f>'dpc-covid-19-ita-andamento-naz'!K10</f>
        <v>2502</v>
      </c>
      <c r="E15" s="11">
        <f>K*EXP(-EXP(-($C15-t0)/w))</f>
        <v>2619.8656790235277</v>
      </c>
      <c r="F15" s="11">
        <f t="shared" si="0"/>
        <v>4820.3449143936114</v>
      </c>
      <c r="G15" s="11">
        <f t="shared" si="1"/>
        <v>419.38644365344408</v>
      </c>
      <c r="H15" s="4">
        <f>'dpc-covid-19-ita-andamento-naz'!E10</f>
        <v>1263</v>
      </c>
      <c r="I15" s="11">
        <f>Kh*EXP(-EXP(-($C15-t0h)/wh))</f>
        <v>1951.0629643912077</v>
      </c>
      <c r="J15" s="11">
        <f>I15+CIh</f>
        <v>3615.1993221735775</v>
      </c>
      <c r="K15" s="11">
        <f>MAX(I15-CIh,0)</f>
        <v>286.92660660883826</v>
      </c>
      <c r="L15" s="1"/>
      <c r="M15" s="6" t="s">
        <v>7</v>
      </c>
      <c r="N15" s="1">
        <f>Critical_t*SE_of_y</f>
        <v>2200.4792353700836</v>
      </c>
    </row>
    <row r="16" spans="2:18" x14ac:dyDescent="0.3">
      <c r="B16" s="10">
        <v>43894</v>
      </c>
      <c r="C16" s="4">
        <v>10</v>
      </c>
      <c r="D16" s="4">
        <f>'dpc-covid-19-ita-andamento-naz'!K11</f>
        <v>3089</v>
      </c>
      <c r="E16" s="11">
        <f>K*EXP(-EXP(-($C16-t0)/w))</f>
        <v>3352.9765145254069</v>
      </c>
      <c r="F16" s="11">
        <f t="shared" si="0"/>
        <v>5553.455749895491</v>
      </c>
      <c r="G16" s="11">
        <f t="shared" si="1"/>
        <v>1152.4972791553232</v>
      </c>
      <c r="H16" s="4">
        <f>'dpc-covid-19-ita-andamento-naz'!E11</f>
        <v>1641</v>
      </c>
      <c r="I16" s="11">
        <f>Kh*EXP(-EXP(-($C16-t0h)/wh))</f>
        <v>2345.5177556310268</v>
      </c>
      <c r="J16" s="11">
        <f>I16+CIh</f>
        <v>4009.6541134133963</v>
      </c>
      <c r="K16" s="11">
        <f>MAX(I16-CIh,0)</f>
        <v>681.38139784865734</v>
      </c>
      <c r="L16" s="1"/>
      <c r="M16" s="6"/>
    </row>
    <row r="17" spans="2:17" x14ac:dyDescent="0.3">
      <c r="B17" s="20">
        <v>43895</v>
      </c>
      <c r="C17" s="4">
        <v>11</v>
      </c>
      <c r="D17" s="4">
        <f>'dpc-covid-19-ita-andamento-naz'!K12</f>
        <v>3858</v>
      </c>
      <c r="E17" s="11">
        <f>K*EXP(-EXP(-($C17-t0)/w))</f>
        <v>4238.496952035629</v>
      </c>
      <c r="F17" s="11">
        <f t="shared" si="0"/>
        <v>6438.9761874057131</v>
      </c>
      <c r="G17" s="11">
        <f t="shared" si="1"/>
        <v>2038.0177166655453</v>
      </c>
      <c r="H17" s="4">
        <f>'dpc-covid-19-ita-andamento-naz'!E12</f>
        <v>2141</v>
      </c>
      <c r="I17" s="11">
        <f>Kh*EXP(-EXP(-($C17-t0h)/wh))</f>
        <v>2797.0460588537353</v>
      </c>
      <c r="J17" s="11">
        <f>I17+CIh</f>
        <v>4461.1824166361048</v>
      </c>
      <c r="K17" s="11">
        <f>MAX(I17-CIh,0)</f>
        <v>1132.9097010713658</v>
      </c>
      <c r="L17" s="1"/>
      <c r="M17" s="21" t="s">
        <v>54</v>
      </c>
      <c r="N17" s="3"/>
    </row>
    <row r="18" spans="2:17" x14ac:dyDescent="0.3">
      <c r="B18" s="10">
        <v>43896</v>
      </c>
      <c r="C18" s="4">
        <v>12</v>
      </c>
      <c r="D18" s="4">
        <f>'dpc-covid-19-ita-andamento-naz'!K13</f>
        <v>4636</v>
      </c>
      <c r="E18" s="11">
        <f>K*EXP(-EXP(-($C18-t0)/w))</f>
        <v>5295.3205079789623</v>
      </c>
      <c r="F18" s="11">
        <f t="shared" si="0"/>
        <v>7495.7997433490455</v>
      </c>
      <c r="G18" s="11">
        <f t="shared" si="1"/>
        <v>3094.8412726088786</v>
      </c>
      <c r="H18" s="4">
        <f>'dpc-covid-19-ita-andamento-naz'!E13</f>
        <v>2856</v>
      </c>
      <c r="I18" s="11">
        <f>Kh*EXP(-EXP(-($C18-t0h)/wh))</f>
        <v>3309.8455250433303</v>
      </c>
      <c r="J18" s="11">
        <f>I18+CIh</f>
        <v>4973.9818828256994</v>
      </c>
      <c r="K18" s="11">
        <f>MAX(I18-CIh,0)</f>
        <v>1645.7091672609608</v>
      </c>
      <c r="L18" s="1"/>
      <c r="M18" s="19" t="s">
        <v>0</v>
      </c>
      <c r="N18" s="5">
        <v>130000</v>
      </c>
    </row>
    <row r="19" spans="2:17" ht="15.6" x14ac:dyDescent="0.35">
      <c r="B19" s="10">
        <v>43897</v>
      </c>
      <c r="C19" s="4">
        <v>13</v>
      </c>
      <c r="D19" s="4">
        <f>'dpc-covid-19-ita-andamento-naz'!K14</f>
        <v>5883</v>
      </c>
      <c r="E19" s="11">
        <f>K*EXP(-EXP(-($C19-t0)/w))</f>
        <v>6542.2522844522928</v>
      </c>
      <c r="F19" s="11">
        <f t="shared" si="0"/>
        <v>8742.7315198223769</v>
      </c>
      <c r="G19" s="11">
        <f t="shared" si="1"/>
        <v>4341.7730490822087</v>
      </c>
      <c r="H19" s="4">
        <f>'dpc-covid-19-ita-andamento-naz'!E14</f>
        <v>3218</v>
      </c>
      <c r="I19" s="11">
        <f>Kh*EXP(-EXP(-($C19-t0h)/wh))</f>
        <v>3887.8550521979228</v>
      </c>
      <c r="J19" s="11">
        <f>I19+CIh</f>
        <v>5551.9914099802918</v>
      </c>
      <c r="K19" s="11">
        <f>MAX(I19-CIh,0)</f>
        <v>2223.7186944155533</v>
      </c>
      <c r="L19" s="1"/>
      <c r="M19" s="19" t="s">
        <v>33</v>
      </c>
      <c r="N19" s="5">
        <v>41</v>
      </c>
    </row>
    <row r="20" spans="2:17" x14ac:dyDescent="0.3">
      <c r="B20" s="20">
        <v>43898</v>
      </c>
      <c r="C20" s="4">
        <v>14</v>
      </c>
      <c r="D20" s="4">
        <f>'dpc-covid-19-ita-andamento-naz'!K15</f>
        <v>7375</v>
      </c>
      <c r="E20" s="11">
        <f>K*EXP(-EXP(-($C20-t0)/w))</f>
        <v>7997.6025448868977</v>
      </c>
      <c r="F20" s="11">
        <f t="shared" si="0"/>
        <v>10198.081780256982</v>
      </c>
      <c r="G20" s="11">
        <f t="shared" si="1"/>
        <v>5797.1233095168136</v>
      </c>
      <c r="H20" s="4">
        <f>'dpc-covid-19-ita-andamento-naz'!E15</f>
        <v>4207</v>
      </c>
      <c r="I20" s="11">
        <f>Kh*EXP(-EXP(-($C20-t0h)/wh))</f>
        <v>4534.6858910855735</v>
      </c>
      <c r="J20" s="11">
        <f>I20+CIh</f>
        <v>6198.822248867943</v>
      </c>
      <c r="K20" s="11">
        <f>MAX(I20-CIh,0)</f>
        <v>2870.549533303204</v>
      </c>
      <c r="L20" s="1"/>
      <c r="M20" s="19" t="s">
        <v>1</v>
      </c>
      <c r="N20" s="22">
        <v>22.301446049225529</v>
      </c>
    </row>
    <row r="21" spans="2:17" x14ac:dyDescent="0.3">
      <c r="B21" s="10">
        <v>43899</v>
      </c>
      <c r="C21" s="4">
        <v>15</v>
      </c>
      <c r="D21" s="4">
        <f>'dpc-covid-19-ita-andamento-naz'!K16</f>
        <v>9172</v>
      </c>
      <c r="E21" s="11">
        <f>K*EXP(-EXP(-($C21-t0)/w))</f>
        <v>9678.7774782498491</v>
      </c>
      <c r="F21" s="11">
        <f t="shared" si="0"/>
        <v>11879.256713619932</v>
      </c>
      <c r="G21" s="11">
        <f t="shared" si="1"/>
        <v>7478.2982428797659</v>
      </c>
      <c r="H21" s="4">
        <f>'dpc-covid-19-ita-andamento-naz'!E16</f>
        <v>5049</v>
      </c>
      <c r="I21" s="11">
        <f>Kh*EXP(-EXP(-($C21-t0h)/wh))</f>
        <v>5253.558429271844</v>
      </c>
      <c r="J21" s="11">
        <f>I21+CIh</f>
        <v>6917.6947870542135</v>
      </c>
      <c r="K21" s="11">
        <f>MAX(I21-CIh,0)</f>
        <v>3589.4220714894745</v>
      </c>
      <c r="L21" s="1"/>
      <c r="M21" s="6" t="s">
        <v>2</v>
      </c>
      <c r="N21" s="1">
        <f>AVERAGE(H7:H40)</f>
        <v>10693.323529411764</v>
      </c>
    </row>
    <row r="22" spans="2:17" x14ac:dyDescent="0.3">
      <c r="B22" s="20">
        <v>43900</v>
      </c>
      <c r="C22" s="4">
        <v>16</v>
      </c>
      <c r="D22" s="4">
        <f>'dpc-covid-19-ita-andamento-naz'!K17</f>
        <v>10149</v>
      </c>
      <c r="E22" s="11">
        <f>K*EXP(-EXP(-($C22-t0)/w))</f>
        <v>11601.882303755949</v>
      </c>
      <c r="F22" s="11">
        <f t="shared" si="0"/>
        <v>13802.361539126032</v>
      </c>
      <c r="G22" s="11">
        <f t="shared" si="1"/>
        <v>9401.4030683858655</v>
      </c>
      <c r="H22" s="4">
        <f>'dpc-covid-19-ita-andamento-naz'!E17</f>
        <v>5915</v>
      </c>
      <c r="I22" s="11">
        <f>Kh*EXP(-EXP(-($C22-t0h)/wh))</f>
        <v>6047.2462020336234</v>
      </c>
      <c r="J22" s="11">
        <f>I22+CIh</f>
        <v>7711.3825598159929</v>
      </c>
      <c r="K22" s="11">
        <f>MAX(I22-CIh,0)</f>
        <v>4383.1098442512539</v>
      </c>
      <c r="L22" s="1"/>
      <c r="M22" s="6" t="s">
        <v>3</v>
      </c>
      <c r="N22" s="1">
        <f>COUNT(H7:H40)-COUNT(N18:N20)</f>
        <v>31</v>
      </c>
    </row>
    <row r="23" spans="2:17" x14ac:dyDescent="0.3">
      <c r="B23" s="10">
        <v>43901</v>
      </c>
      <c r="C23" s="4">
        <v>17</v>
      </c>
      <c r="D23" s="4">
        <f>'dpc-covid-19-ita-andamento-naz'!K18</f>
        <v>12462</v>
      </c>
      <c r="E23" s="11">
        <f>K*EXP(-EXP(-($C23-t0)/w))</f>
        <v>13781.350905356949</v>
      </c>
      <c r="F23" s="11">
        <f t="shared" si="0"/>
        <v>15981.830140727032</v>
      </c>
      <c r="G23" s="11">
        <f t="shared" si="1"/>
        <v>11580.871669986866</v>
      </c>
      <c r="H23" s="4">
        <f>'dpc-covid-19-ita-andamento-naz'!E18</f>
        <v>6866</v>
      </c>
      <c r="I23" s="11">
        <f>Kh*EXP(-EXP(-($C23-t0h)/wh))</f>
        <v>6918.0283826467594</v>
      </c>
      <c r="J23" s="11">
        <f>I23+CIh</f>
        <v>8582.1647404291289</v>
      </c>
      <c r="K23" s="11">
        <f>MAX(I23-CIh,0)</f>
        <v>5253.8920248643899</v>
      </c>
      <c r="L23" s="1"/>
      <c r="M23" s="6" t="s">
        <v>4</v>
      </c>
      <c r="N23" s="7" cm="1">
        <f t="array" ref="N23">SQRT(SUM((H7:H40-I7:I40)^2)/dfh)</f>
        <v>815.94772553361292</v>
      </c>
    </row>
    <row r="24" spans="2:17" ht="16.2" x14ac:dyDescent="0.3">
      <c r="B24" s="20">
        <v>43902</v>
      </c>
      <c r="C24" s="4">
        <v>18</v>
      </c>
      <c r="D24" s="4">
        <f>'dpc-covid-19-ita-andamento-naz'!K19</f>
        <v>15113</v>
      </c>
      <c r="E24" s="11">
        <f>K*EXP(-EXP(-($C24-t0)/w))</f>
        <v>16229.614517831054</v>
      </c>
      <c r="F24" s="11">
        <f t="shared" si="0"/>
        <v>18430.093753201138</v>
      </c>
      <c r="G24" s="11">
        <f t="shared" si="1"/>
        <v>14029.135282460971</v>
      </c>
      <c r="H24" s="4">
        <f>'dpc-covid-19-ita-andamento-naz'!E19</f>
        <v>7803</v>
      </c>
      <c r="I24" s="11">
        <f>Kh*EXP(-EXP(-($C24-t0h)/wh))</f>
        <v>7867.6516812929804</v>
      </c>
      <c r="J24" s="11">
        <f>I24+CIh</f>
        <v>9531.7880390753489</v>
      </c>
      <c r="K24" s="11">
        <f>MAX(I24-CIh,0)</f>
        <v>6203.5153235106109</v>
      </c>
      <c r="L24" s="1"/>
      <c r="M24" s="6" t="s">
        <v>5</v>
      </c>
      <c r="N24" s="8" cm="1">
        <f t="array" ref="N24">1-SUM((H7:H40-I7:I40)^2)/SUM((H7:H40-Mean_of_yh)^2)</f>
        <v>0.99404622549664323</v>
      </c>
    </row>
    <row r="25" spans="2:17" x14ac:dyDescent="0.3">
      <c r="B25" s="10">
        <v>43903</v>
      </c>
      <c r="C25" s="4">
        <v>19</v>
      </c>
      <c r="D25" s="4">
        <f>'dpc-covid-19-ita-andamento-naz'!K20</f>
        <v>17660</v>
      </c>
      <c r="E25" s="11">
        <f>K*EXP(-EXP(-($C25-t0)/w))</f>
        <v>18956.819779692167</v>
      </c>
      <c r="F25" s="11">
        <f t="shared" si="0"/>
        <v>21157.29901506225</v>
      </c>
      <c r="G25" s="11">
        <f t="shared" si="1"/>
        <v>16756.340544322084</v>
      </c>
      <c r="H25" s="4">
        <f>'dpc-covid-19-ita-andamento-naz'!E20</f>
        <v>8754</v>
      </c>
      <c r="I25" s="11">
        <f>Kh*EXP(-EXP(-($C25-t0h)/wh))</f>
        <v>8897.3022482686265</v>
      </c>
      <c r="J25" s="11">
        <f>I25+CIh</f>
        <v>10561.438606050997</v>
      </c>
      <c r="K25" s="11">
        <f>MAX(I25-CIh,0)</f>
        <v>7233.165890486257</v>
      </c>
      <c r="L25" s="1"/>
      <c r="M25" s="6" t="s">
        <v>6</v>
      </c>
      <c r="N25" s="8">
        <f>TINV(0.05,dfh)</f>
        <v>2.0395134463964082</v>
      </c>
    </row>
    <row r="26" spans="2:17" x14ac:dyDescent="0.3">
      <c r="B26" s="10">
        <v>43904</v>
      </c>
      <c r="C26" s="4">
        <v>20</v>
      </c>
      <c r="D26" s="4">
        <f>'dpc-covid-19-ita-andamento-naz'!K21</f>
        <v>21157</v>
      </c>
      <c r="E26" s="11">
        <f>K*EXP(-EXP(-($C26-t0)/w))</f>
        <v>21970.603906665252</v>
      </c>
      <c r="F26" s="11">
        <f t="shared" si="0"/>
        <v>24171.083142035335</v>
      </c>
      <c r="G26" s="11">
        <f t="shared" si="1"/>
        <v>19770.124671295169</v>
      </c>
      <c r="H26" s="4">
        <f>'dpc-covid-19-ita-andamento-naz'!E21</f>
        <v>9890</v>
      </c>
      <c r="I26" s="11">
        <f>Kh*EXP(-EXP(-($C26-t0h)/wh))</f>
        <v>10007.587848639576</v>
      </c>
      <c r="J26" s="11">
        <f>I26+CIh</f>
        <v>11671.724206421946</v>
      </c>
      <c r="K26" s="11">
        <f>MAX(I26-CIh,0)</f>
        <v>8343.4514908572055</v>
      </c>
      <c r="L26" s="1"/>
      <c r="M26" s="6" t="s">
        <v>7</v>
      </c>
      <c r="N26" s="1">
        <f>Critical_th*SE_of_yh</f>
        <v>1664.1363577823695</v>
      </c>
    </row>
    <row r="27" spans="2:17" x14ac:dyDescent="0.3">
      <c r="B27" s="10">
        <v>43905</v>
      </c>
      <c r="C27" s="4">
        <v>21</v>
      </c>
      <c r="D27" s="4">
        <f>'dpc-covid-19-ita-andamento-naz'!K22</f>
        <v>24747</v>
      </c>
      <c r="E27" s="11">
        <f>K*EXP(-EXP(-($C27-t0)/w))</f>
        <v>25275.932008895517</v>
      </c>
      <c r="F27" s="11">
        <f t="shared" si="0"/>
        <v>27476.411244265601</v>
      </c>
      <c r="G27" s="11">
        <f t="shared" si="1"/>
        <v>23075.452773525434</v>
      </c>
      <c r="H27" s="4">
        <f>'dpc-covid-19-ita-andamento-naz'!E22</f>
        <v>11335</v>
      </c>
      <c r="I27" s="11">
        <f>Kh*EXP(-EXP(-($C27-t0h)/wh))</f>
        <v>11198.530265202216</v>
      </c>
      <c r="J27" s="11">
        <f>I27+CIh</f>
        <v>12862.666622984587</v>
      </c>
      <c r="K27" s="11">
        <f>MAX(I27-CIh,0)</f>
        <v>9534.3939074198461</v>
      </c>
      <c r="L27" s="1"/>
      <c r="M27" s="6"/>
    </row>
    <row r="28" spans="2:17" x14ac:dyDescent="0.3">
      <c r="B28" s="10">
        <v>43906</v>
      </c>
      <c r="C28" s="4">
        <v>22</v>
      </c>
      <c r="D28" s="4">
        <f>'dpc-covid-19-ita-andamento-naz'!K23</f>
        <v>27980</v>
      </c>
      <c r="E28" s="11">
        <f>K*EXP(-EXP(-($C28-t0)/w))</f>
        <v>28874.998848163345</v>
      </c>
      <c r="F28" s="11">
        <f t="shared" si="0"/>
        <v>31075.478083533428</v>
      </c>
      <c r="G28" s="11">
        <f t="shared" si="1"/>
        <v>26674.519612793261</v>
      </c>
      <c r="H28" s="4">
        <f>'dpc-covid-19-ita-andamento-naz'!E23</f>
        <v>12876</v>
      </c>
      <c r="I28" s="11">
        <f>Kh*EXP(-EXP(-($C28-t0h)/wh))</f>
        <v>12469.567605264117</v>
      </c>
      <c r="J28" s="11">
        <f>I28+CIh</f>
        <v>14133.703963046486</v>
      </c>
      <c r="K28" s="11">
        <f>MAX(I28-CIh,0)</f>
        <v>10805.431247481749</v>
      </c>
      <c r="L28" s="1"/>
      <c r="M28" s="6"/>
    </row>
    <row r="29" spans="2:17" x14ac:dyDescent="0.3">
      <c r="B29" s="10">
        <v>43907</v>
      </c>
      <c r="C29" s="4">
        <v>23</v>
      </c>
      <c r="D29" s="4">
        <f>'dpc-covid-19-ita-andamento-naz'!K24</f>
        <v>31506</v>
      </c>
      <c r="E29" s="11">
        <f>K*EXP(-EXP(-($C29-t0)/w))</f>
        <v>32767.194757157718</v>
      </c>
      <c r="F29" s="11">
        <f t="shared" si="0"/>
        <v>34967.673992527802</v>
      </c>
      <c r="G29" s="11">
        <f t="shared" si="1"/>
        <v>30566.715521787635</v>
      </c>
      <c r="H29" s="4">
        <f>'dpc-covid-19-ita-andamento-naz'!E24</f>
        <v>14954</v>
      </c>
      <c r="I29" s="11">
        <f>Kh*EXP(-EXP(-($C29-t0h)/wh))</f>
        <v>13819.565942292673</v>
      </c>
      <c r="J29" s="11">
        <f>I29+CIh</f>
        <v>15483.702300075041</v>
      </c>
      <c r="K29" s="11">
        <f>MAX(I29-CIh,0)</f>
        <v>12155.429584510304</v>
      </c>
      <c r="L29" s="1"/>
    </row>
    <row r="30" spans="2:17" x14ac:dyDescent="0.3">
      <c r="B30" s="10">
        <v>43908</v>
      </c>
      <c r="C30" s="4">
        <v>24</v>
      </c>
      <c r="D30" s="4">
        <f>'dpc-covid-19-ita-andamento-naz'!K25</f>
        <v>35713</v>
      </c>
      <c r="E30" s="11">
        <f>K*EXP(-EXP(-($C30-t0)/w))</f>
        <v>36949.133139610174</v>
      </c>
      <c r="F30" s="11">
        <f t="shared" ref="F30" si="2">E30+CI</f>
        <v>39149.612374980257</v>
      </c>
      <c r="G30" s="11">
        <f t="shared" si="1"/>
        <v>34748.653904240091</v>
      </c>
      <c r="H30" s="4">
        <f>'dpc-covid-19-ita-andamento-naz'!E25</f>
        <v>16620</v>
      </c>
      <c r="I30" s="11">
        <f>Kh*EXP(-EXP(-($C30-t0h)/wh))</f>
        <v>15246.839521092756</v>
      </c>
      <c r="J30" s="11">
        <f>I30+CIh</f>
        <v>16910.975878875124</v>
      </c>
      <c r="K30" s="11">
        <f>MAX(I30-CIh,0)</f>
        <v>13582.703163310387</v>
      </c>
      <c r="Q30" s="1"/>
    </row>
    <row r="31" spans="2:17" x14ac:dyDescent="0.3">
      <c r="B31" s="10">
        <v>43909</v>
      </c>
      <c r="C31" s="4">
        <v>25</v>
      </c>
      <c r="D31" s="4">
        <f>'dpc-covid-19-ita-andamento-naz'!K26</f>
        <v>41035</v>
      </c>
      <c r="E31" s="11">
        <f>K*EXP(-EXP(-($C31-t0)/w))</f>
        <v>41414.735022240959</v>
      </c>
      <c r="F31" s="11">
        <f t="shared" ref="F31" si="3">E31+CI</f>
        <v>43615.214257611042</v>
      </c>
      <c r="G31" s="11">
        <f t="shared" si="1"/>
        <v>39214.255786870875</v>
      </c>
      <c r="H31" s="4">
        <f>'dpc-covid-19-ita-andamento-naz'!E26</f>
        <v>18255</v>
      </c>
      <c r="I31" s="11">
        <f>Kh*EXP(-EXP(-($C31-t0h)/wh))</f>
        <v>16749.178597479975</v>
      </c>
      <c r="J31" s="11">
        <f>I31+CIh</f>
        <v>18413.314955262344</v>
      </c>
      <c r="K31" s="11">
        <f>MAX(I31-CIh,0)</f>
        <v>15085.042239697606</v>
      </c>
    </row>
    <row r="32" spans="2:17" x14ac:dyDescent="0.3">
      <c r="B32" s="10">
        <v>43910</v>
      </c>
      <c r="C32" s="4">
        <v>26</v>
      </c>
      <c r="D32" s="4">
        <f>'dpc-covid-19-ita-andamento-naz'!K27</f>
        <v>47021</v>
      </c>
      <c r="E32" s="11">
        <f>K*EXP(-EXP(-($C32-t0)/w))</f>
        <v>46155.364587657859</v>
      </c>
      <c r="F32" s="11">
        <f t="shared" ref="F32:F33" si="4">E32+CI</f>
        <v>48355.843823027943</v>
      </c>
      <c r="G32" s="11">
        <f t="shared" si="1"/>
        <v>43954.885352287776</v>
      </c>
      <c r="H32" s="4">
        <f>'dpc-covid-19-ita-andamento-naz'!E27</f>
        <v>18675</v>
      </c>
      <c r="I32" s="11">
        <f>Kh*EXP(-EXP(-($C32-t0h)/wh))</f>
        <v>18323.883870724596</v>
      </c>
      <c r="J32" s="11">
        <f>I32+CIh</f>
        <v>19988.020228506964</v>
      </c>
      <c r="K32" s="11">
        <f>MAX(I32-CIh,0)</f>
        <v>16659.747512942227</v>
      </c>
    </row>
    <row r="33" spans="2:11" x14ac:dyDescent="0.3">
      <c r="B33" s="10">
        <v>43911</v>
      </c>
      <c r="C33" s="4">
        <v>27</v>
      </c>
      <c r="D33" s="4">
        <f>'dpc-covid-19-ita-andamento-naz'!K28</f>
        <v>53578</v>
      </c>
      <c r="E33" s="11">
        <f>K*EXP(-EXP(-($C33-t0)/w))</f>
        <v>51160.008501042699</v>
      </c>
      <c r="F33" s="11">
        <f t="shared" si="4"/>
        <v>53360.487736412782</v>
      </c>
      <c r="G33" s="11">
        <f t="shared" si="1"/>
        <v>48959.529265672616</v>
      </c>
      <c r="H33" s="4">
        <f>'dpc-covid-19-ita-andamento-naz'!E28</f>
        <v>20565</v>
      </c>
      <c r="I33" s="11">
        <f>Kh*EXP(-EXP(-($C33-t0h)/wh))</f>
        <v>19967.806397716937</v>
      </c>
      <c r="J33" s="11">
        <f>I33+CIh</f>
        <v>21631.942755499305</v>
      </c>
      <c r="K33" s="11">
        <f>MAX(I33-CIh,0)</f>
        <v>18303.670039934568</v>
      </c>
    </row>
    <row r="34" spans="2:11" x14ac:dyDescent="0.3">
      <c r="B34" s="10">
        <v>43912</v>
      </c>
      <c r="C34" s="4">
        <v>28</v>
      </c>
      <c r="D34" s="4">
        <f>'dpc-covid-19-ita-andamento-naz'!K29</f>
        <v>59138</v>
      </c>
      <c r="E34" s="11">
        <f>K*EXP(-EXP(-($C34-t0)/w))</f>
        <v>56415.491145332264</v>
      </c>
      <c r="F34" s="11">
        <f t="shared" ref="F34" si="5">E34+CI</f>
        <v>58615.970380702347</v>
      </c>
      <c r="G34" s="11">
        <f t="shared" ref="G34" si="6">MAX(E34-CI,0)</f>
        <v>54215.011909962181</v>
      </c>
      <c r="H34" s="4">
        <f>'dpc-covid-19-ita-andamento-naz'!E29</f>
        <v>22855</v>
      </c>
      <c r="I34" s="11">
        <f>Kh*EXP(-EXP(-($C34-t0h)/wh))</f>
        <v>21677.391848666932</v>
      </c>
      <c r="J34" s="11">
        <f>I34+CIh</f>
        <v>23341.5282064493</v>
      </c>
      <c r="K34" s="11">
        <f>MAX(I34-CIh,0)</f>
        <v>20013.255490884563</v>
      </c>
    </row>
    <row r="35" spans="2:11" x14ac:dyDescent="0.3">
      <c r="B35" s="20">
        <v>43913</v>
      </c>
      <c r="C35" s="4">
        <v>29</v>
      </c>
      <c r="D35" s="4">
        <f>'dpc-covid-19-ita-andamento-naz'!K30</f>
        <v>63927</v>
      </c>
      <c r="E35" s="11">
        <f>K*EXP(-EXP(-($C35-t0)/w))</f>
        <v>61906.717570938104</v>
      </c>
      <c r="F35" s="11">
        <f t="shared" ref="F35" si="7">E35+CI</f>
        <v>64107.196806308188</v>
      </c>
      <c r="G35" s="11">
        <f t="shared" ref="G35" si="8">MAX(E35-CI,0)</f>
        <v>59706.238335568021</v>
      </c>
      <c r="H35" s="4">
        <f>'dpc-covid-19-ita-andamento-naz'!E30</f>
        <v>23896</v>
      </c>
      <c r="I35" s="11">
        <f>Kh*EXP(-EXP(-($C35-t0h)/wh))</f>
        <v>23448.72797087755</v>
      </c>
      <c r="J35" s="11">
        <f>I35+CIh</f>
        <v>25112.864328659918</v>
      </c>
      <c r="K35" s="11">
        <f>MAX(I35-CIh,0)</f>
        <v>21784.591613095181</v>
      </c>
    </row>
    <row r="36" spans="2:11" x14ac:dyDescent="0.3">
      <c r="B36" s="10">
        <v>43914</v>
      </c>
      <c r="C36" s="4">
        <v>30</v>
      </c>
      <c r="D36" s="4">
        <f>'dpc-covid-19-ita-andamento-naz'!K31</f>
        <v>69176</v>
      </c>
      <c r="E36" s="11">
        <f>K*EXP(-EXP(-($C36-t0)/w))</f>
        <v>67616.936002531947</v>
      </c>
      <c r="F36" s="11">
        <f t="shared" ref="F36" si="9">E36+CI</f>
        <v>69817.415237902038</v>
      </c>
      <c r="G36" s="11">
        <f t="shared" ref="G36" si="10">MAX(E36-CI,0)</f>
        <v>65416.456767161864</v>
      </c>
      <c r="H36" s="4">
        <f>'dpc-covid-19-ita-andamento-naz'!E31</f>
        <v>25333</v>
      </c>
      <c r="I36" s="11">
        <f>Kh*EXP(-EXP(-($C36-t0h)/wh))</f>
        <v>25277.594164655839</v>
      </c>
      <c r="J36" s="11">
        <f>I36+CIh</f>
        <v>26941.730522438207</v>
      </c>
      <c r="K36" s="11">
        <f>MAX(I36-CIh,0)</f>
        <v>23613.45780687347</v>
      </c>
    </row>
    <row r="37" spans="2:11" x14ac:dyDescent="0.3">
      <c r="B37" s="10">
        <v>43915</v>
      </c>
      <c r="C37" s="4">
        <v>31</v>
      </c>
      <c r="D37" s="4">
        <f>'dpc-covid-19-ita-andamento-naz'!K32</f>
        <v>74386</v>
      </c>
      <c r="E37" s="11">
        <f>K*EXP(-EXP(-($C37-t0)/w))</f>
        <v>73528.01207273778</v>
      </c>
      <c r="F37" s="11">
        <f t="shared" ref="F37" si="11">E37+CI</f>
        <v>75728.49130810787</v>
      </c>
      <c r="G37" s="11">
        <f t="shared" ref="G37" si="12">MAX(E37-CI,0)</f>
        <v>71327.532837367689</v>
      </c>
      <c r="H37" s="4">
        <f>'dpc-covid-19-ita-andamento-naz'!E32</f>
        <v>26601</v>
      </c>
      <c r="I37" s="11">
        <f>Kh*EXP(-EXP(-($C37-t0h)/wh))</f>
        <v>27159.512138285154</v>
      </c>
      <c r="J37" s="11">
        <f>I37+CIh</f>
        <v>28823.648496067523</v>
      </c>
      <c r="K37" s="11">
        <f>MAX(I37-CIh,0)</f>
        <v>25495.375780502785</v>
      </c>
    </row>
    <row r="38" spans="2:11" x14ac:dyDescent="0.3">
      <c r="B38" s="10">
        <v>43916</v>
      </c>
      <c r="C38" s="4">
        <v>32</v>
      </c>
      <c r="D38" s="4">
        <f>'dpc-covid-19-ita-andamento-naz'!K33</f>
        <v>80539</v>
      </c>
      <c r="E38" s="11">
        <f>K*EXP(-EXP(-($C38-t0)/w))</f>
        <v>79620.707511491506</v>
      </c>
      <c r="F38" s="11">
        <f t="shared" ref="F38" si="13">E38+CI</f>
        <v>81821.186746861596</v>
      </c>
      <c r="G38" s="11">
        <f t="shared" ref="G38" si="14">MAX(E38-CI,0)</f>
        <v>77420.228276121416</v>
      </c>
      <c r="H38" s="4">
        <f>'dpc-covid-19-ita-andamento-naz'!E33</f>
        <v>28365</v>
      </c>
      <c r="I38" s="11">
        <f>Kh*EXP(-EXP(-($C38-t0h)/wh))</f>
        <v>29089.79669162738</v>
      </c>
      <c r="J38" s="11">
        <f>I38+CIh</f>
        <v>30753.933049409748</v>
      </c>
      <c r="K38" s="11">
        <f>MAX(I38-CIh,0)</f>
        <v>27425.660333845011</v>
      </c>
    </row>
    <row r="39" spans="2:11" x14ac:dyDescent="0.3">
      <c r="B39" s="10">
        <v>43917</v>
      </c>
      <c r="C39" s="4">
        <v>33</v>
      </c>
      <c r="D39" s="4">
        <f>'dpc-covid-19-ita-andamento-naz'!K34</f>
        <v>86498</v>
      </c>
      <c r="E39" s="11">
        <f>K*EXP(-EXP(-($C39-t0)/w))</f>
        <v>85874.956750506302</v>
      </c>
      <c r="F39" s="11">
        <f t="shared" ref="F39:F40" si="15">E39+CI</f>
        <v>88075.435985876393</v>
      </c>
      <c r="G39" s="11">
        <f t="shared" ref="G39:G40" si="16">MAX(E39-CI,0)</f>
        <v>83674.477515136212</v>
      </c>
      <c r="H39" s="4">
        <f>'dpc-covid-19-ita-andamento-naz'!E34</f>
        <v>29761</v>
      </c>
      <c r="I39" s="11">
        <f>Kh*EXP(-EXP(-($C39-t0h)/wh))</f>
        <v>31063.605774970492</v>
      </c>
      <c r="J39" s="11">
        <f>I39+CIh</f>
        <v>32727.742132752861</v>
      </c>
      <c r="K39" s="11">
        <f>MAX(I39-CIh,0)</f>
        <v>29399.469417188124</v>
      </c>
    </row>
    <row r="40" spans="2:11" x14ac:dyDescent="0.3">
      <c r="B40" s="10">
        <v>43918</v>
      </c>
      <c r="C40" s="4">
        <v>34</v>
      </c>
      <c r="D40" s="4">
        <f>'dpc-covid-19-ita-andamento-naz'!K35</f>
        <v>92472</v>
      </c>
      <c r="E40" s="11">
        <f>K*EXP(-EXP(-($C40-t0)/w))</f>
        <v>92270.135747642882</v>
      </c>
      <c r="F40" s="11">
        <f t="shared" si="15"/>
        <v>94470.614983012973</v>
      </c>
      <c r="G40" s="11">
        <f t="shared" si="16"/>
        <v>90069.656512272792</v>
      </c>
      <c r="H40" s="4">
        <f>'dpc-covid-19-ita-andamento-naz'!E35</f>
        <v>30532</v>
      </c>
      <c r="I40" s="11">
        <f>Kh*EXP(-EXP(-($C40-t0h)/wh))</f>
        <v>33075.989076155078</v>
      </c>
      <c r="J40" s="11">
        <f>I40+CIh</f>
        <v>34740.12543393745</v>
      </c>
      <c r="K40" s="11">
        <f>MAX(I40-CIh,0)</f>
        <v>31411.852718372709</v>
      </c>
    </row>
    <row r="41" spans="2:11" x14ac:dyDescent="0.3">
      <c r="B41" s="10">
        <v>43919</v>
      </c>
      <c r="C41" s="4">
        <v>35</v>
      </c>
      <c r="E41" s="11">
        <f>K*EXP(-EXP(-($C41-t0)/w))</f>
        <v>98785.318244200607</v>
      </c>
      <c r="F41" s="11"/>
      <c r="G41" s="11"/>
      <c r="H41" s="4"/>
      <c r="I41" s="11">
        <f>Kh*EXP(-EXP(-($C41-t0h)/wh))</f>
        <v>35121.934500273135</v>
      </c>
      <c r="J41" s="11"/>
      <c r="K41" s="11"/>
    </row>
    <row r="42" spans="2:11" x14ac:dyDescent="0.3">
      <c r="B42" s="10">
        <v>43920</v>
      </c>
      <c r="C42" s="4">
        <v>36</v>
      </c>
      <c r="E42" s="11">
        <f>K*EXP(-EXP(-($C42-t0)/w))</f>
        <v>105399.51559424553</v>
      </c>
      <c r="F42" s="11"/>
      <c r="G42" s="11"/>
      <c r="H42" s="4"/>
      <c r="I42" s="11">
        <f>Kh*EXP(-EXP(-($C42-t0h)/wh))</f>
        <v>37196.412018386742</v>
      </c>
      <c r="J42" s="11"/>
      <c r="K42" s="11"/>
    </row>
    <row r="43" spans="2:11" x14ac:dyDescent="0.3">
      <c r="B43" s="10">
        <v>43921</v>
      </c>
      <c r="C43" s="4">
        <v>37</v>
      </c>
      <c r="E43" s="11">
        <f>K*EXP(-EXP(-($C43-t0)/w))</f>
        <v>112091.89721180986</v>
      </c>
      <c r="F43" s="11"/>
      <c r="G43" s="11"/>
      <c r="H43" s="4"/>
      <c r="I43" s="11">
        <f>Kh*EXP(-EXP(-($C43-t0h)/wh))</f>
        <v>39294.414471447948</v>
      </c>
      <c r="J43" s="11"/>
      <c r="K43" s="11"/>
    </row>
    <row r="44" spans="2:11" x14ac:dyDescent="0.3">
      <c r="B44" s="10">
        <v>43922</v>
      </c>
      <c r="C44" s="4">
        <v>38</v>
      </c>
      <c r="E44" s="11">
        <f>K*EXP(-EXP(-($C44-t0)/w))</f>
        <v>118841.98953979321</v>
      </c>
      <c r="F44" s="11"/>
      <c r="G44" s="11"/>
      <c r="H44" s="4"/>
      <c r="I44" s="11">
        <f>Kh*EXP(-EXP(-($C44-t0h)/wh))</f>
        <v>41410.995020237999</v>
      </c>
      <c r="J44" s="11"/>
      <c r="K44" s="11"/>
    </row>
    <row r="45" spans="2:11" x14ac:dyDescent="0.3">
      <c r="B45" s="10">
        <v>43923</v>
      </c>
      <c r="C45" s="4">
        <v>39</v>
      </c>
      <c r="E45" s="11">
        <f>K*EXP(-EXP(-($C45-t0)/w))</f>
        <v>125629.85223199446</v>
      </c>
      <c r="F45" s="11"/>
      <c r="G45" s="11"/>
      <c r="H45" s="4"/>
      <c r="I45" s="11">
        <f>Kh*EXP(-EXP(-($C45-t0h)/wh))</f>
        <v>43541.301029625218</v>
      </c>
      <c r="J45" s="11"/>
      <c r="K45" s="11"/>
    </row>
    <row r="46" spans="2:11" x14ac:dyDescent="0.3">
      <c r="B46" s="10">
        <v>43924</v>
      </c>
      <c r="C46" s="4">
        <v>40</v>
      </c>
      <c r="E46" s="11">
        <f>K*EXP(-EXP(-($C46-t0)/w))</f>
        <v>132436.23094227808</v>
      </c>
      <c r="F46" s="11"/>
      <c r="G46" s="11"/>
      <c r="H46" s="4"/>
      <c r="I46" s="11">
        <f>Kh*EXP(-EXP(-($C46-t0h)/wh))</f>
        <v>45680.604264286711</v>
      </c>
      <c r="J46" s="11"/>
      <c r="K46" s="11"/>
    </row>
    <row r="47" spans="2:11" x14ac:dyDescent="0.3">
      <c r="B47" s="10">
        <v>43925</v>
      </c>
      <c r="C47" s="4">
        <v>41</v>
      </c>
      <c r="E47" s="11">
        <f>K*EXP(-EXP(-($C47-t0)/w))</f>
        <v>139242.68672400486</v>
      </c>
      <c r="F47" s="11"/>
      <c r="G47" s="11"/>
      <c r="H47" s="4"/>
      <c r="I47" s="11">
        <f>Kh*EXP(-EXP(-($C47-t0h)/wh))</f>
        <v>47824.327352287502</v>
      </c>
      <c r="J47" s="11"/>
      <c r="K47" s="11"/>
    </row>
    <row r="48" spans="2:11" x14ac:dyDescent="0.3">
      <c r="B48" s="10">
        <v>43926</v>
      </c>
      <c r="C48" s="4">
        <v>42</v>
      </c>
      <c r="E48" s="11">
        <f>K*EXP(-EXP(-($C48-t0)/w))</f>
        <v>146031.70255536636</v>
      </c>
      <c r="F48" s="11"/>
      <c r="G48" s="11"/>
      <c r="H48" s="4"/>
      <c r="I48" s="11">
        <f>Kh*EXP(-EXP(-($C48-t0h)/wh))</f>
        <v>49968.066542055312</v>
      </c>
      <c r="J48" s="11"/>
      <c r="K48" s="11"/>
    </row>
    <row r="49" spans="2:11" x14ac:dyDescent="0.3">
      <c r="B49" s="10">
        <v>43927</v>
      </c>
      <c r="C49" s="4">
        <v>43</v>
      </c>
      <c r="E49" s="11">
        <f>K*EXP(-EXP(-($C49-t0)/w))</f>
        <v>152786.76792321767</v>
      </c>
      <c r="F49" s="11"/>
      <c r="G49" s="11"/>
      <c r="H49" s="4"/>
      <c r="I49" s="11">
        <f>Kh*EXP(-EXP(-($C49-t0h)/wh))</f>
        <v>52107.610837208922</v>
      </c>
      <c r="J49" s="11"/>
      <c r="K49" s="11"/>
    </row>
    <row r="50" spans="2:11" x14ac:dyDescent="0.3">
      <c r="B50" s="10">
        <v>43928</v>
      </c>
      <c r="C50" s="4">
        <v>44</v>
      </c>
      <c r="E50" s="11">
        <f>K*EXP(-EXP(-($C50-t0)/w))</f>
        <v>159492.44272376355</v>
      </c>
      <c r="F50" s="11"/>
      <c r="G50" s="11"/>
      <c r="H50" s="4"/>
      <c r="I50" s="11">
        <f>Kh*EXP(-EXP(-($C50-t0h)/wh))</f>
        <v>54238.957642583759</v>
      </c>
      <c r="J50" s="11"/>
      <c r="K50" s="11"/>
    </row>
    <row r="51" spans="2:11" x14ac:dyDescent="0.3">
      <c r="B51" s="10">
        <v>43929</v>
      </c>
      <c r="C51" s="4">
        <v>45</v>
      </c>
      <c r="E51" s="11">
        <f>K*EXP(-EXP(-($C51-t0)/w))</f>
        <v>166134.40197973911</v>
      </c>
      <c r="F51" s="11"/>
      <c r="G51" s="11"/>
      <c r="H51" s="4"/>
      <c r="I51" s="11">
        <f>Kh*EXP(-EXP(-($C51-t0h)/wh))</f>
        <v>56358.325094092128</v>
      </c>
      <c r="J51" s="11"/>
      <c r="K51" s="11"/>
    </row>
    <row r="52" spans="2:11" x14ac:dyDescent="0.3">
      <c r="B52" s="10">
        <v>43930</v>
      </c>
      <c r="C52" s="4">
        <v>46</v>
      </c>
      <c r="E52" s="11">
        <f>K*EXP(-EXP(-($C52-t0)/w))</f>
        <v>172699.46303886204</v>
      </c>
      <c r="F52" s="11"/>
      <c r="G52" s="11"/>
      <c r="H52" s="4"/>
      <c r="I52" s="11">
        <f>Kh*EXP(-EXP(-($C52-t0h)/wh))</f>
        <v>58462.161275381717</v>
      </c>
      <c r="J52" s="11"/>
      <c r="K52" s="11"/>
    </row>
    <row r="53" spans="2:11" x14ac:dyDescent="0.3">
      <c r="B53" s="10">
        <v>43931</v>
      </c>
      <c r="C53" s="4">
        <v>47</v>
      </c>
      <c r="E53" s="11">
        <f>K*EXP(-EXP(-($C53-t0)/w))</f>
        <v>179175.59701653934</v>
      </c>
      <c r="F53" s="11"/>
      <c r="G53" s="11"/>
      <c r="H53" s="4"/>
      <c r="I53" s="11">
        <f>Kh*EXP(-EXP(-($C53-t0h)/wh))</f>
        <v>60547.150546370794</v>
      </c>
      <c r="J53" s="11"/>
      <c r="K53" s="11"/>
    </row>
    <row r="54" spans="2:11" x14ac:dyDescent="0.3">
      <c r="B54" s="10">
        <v>43932</v>
      </c>
      <c r="C54" s="4">
        <v>48</v>
      </c>
      <c r="E54" s="11">
        <f>K*EXP(-EXP(-($C54-t0)/w))</f>
        <v>185551.92628666273</v>
      </c>
      <c r="F54" s="11"/>
      <c r="G54" s="11"/>
      <c r="H54" s="4"/>
      <c r="I54" s="11">
        <f>Kh*EXP(-EXP(-($C54-t0h)/wh))</f>
        <v>62610.217223479303</v>
      </c>
      <c r="J54" s="11"/>
      <c r="K54" s="11"/>
    </row>
    <row r="55" spans="2:11" x14ac:dyDescent="0.3">
      <c r="B55" s="10">
        <v>43933</v>
      </c>
      <c r="C55" s="4">
        <v>49</v>
      </c>
      <c r="E55" s="11">
        <f>K*EXP(-EXP(-($C55-t0)/w))</f>
        <v>191818.70981731793</v>
      </c>
      <c r="F55" s="11"/>
      <c r="G55" s="11"/>
      <c r="H55" s="4"/>
      <c r="I55" s="11">
        <f>Kh*EXP(-EXP(-($C55-t0h)/wh))</f>
        <v>64648.52685961825</v>
      </c>
      <c r="J55" s="11"/>
      <c r="K55" s="11"/>
    </row>
    <row r="56" spans="2:11" x14ac:dyDescent="0.3">
      <c r="B56" s="10">
        <v>43934</v>
      </c>
      <c r="C56" s="4">
        <v>50</v>
      </c>
      <c r="E56" s="11">
        <f>K*EXP(-EXP(-($C56-t0)/w))</f>
        <v>197967.31810242671</v>
      </c>
      <c r="F56" s="11"/>
      <c r="G56" s="11"/>
      <c r="H56" s="4"/>
      <c r="I56" s="11">
        <f>Kh*EXP(-EXP(-($C56-t0h)/wh))</f>
        <v>66659.485374630109</v>
      </c>
      <c r="J56" s="11"/>
      <c r="K56" s="11"/>
    </row>
    <row r="57" spans="2:11" x14ac:dyDescent="0.3">
      <c r="B57" s="10">
        <v>43935</v>
      </c>
      <c r="C57" s="4">
        <v>51</v>
      </c>
      <c r="E57" s="11">
        <f>K*EXP(-EXP(-($C57-t0)/w))</f>
        <v>203990.19936416319</v>
      </c>
      <c r="F57" s="11"/>
      <c r="G57" s="11"/>
      <c r="H57" s="4"/>
      <c r="I57" s="11">
        <f>Kh*EXP(-EXP(-($C57-t0h)/wh))</f>
        <v>68640.736284754283</v>
      </c>
      <c r="J57" s="11"/>
      <c r="K57" s="11"/>
    </row>
    <row r="58" spans="2:11" x14ac:dyDescent="0.3">
      <c r="B58" s="10">
        <v>43936</v>
      </c>
      <c r="C58" s="4">
        <v>52</v>
      </c>
      <c r="E58" s="11">
        <f>K*EXP(-EXP(-($C58-t0)/w))</f>
        <v>209880.83860204805</v>
      </c>
      <c r="F58" s="11"/>
      <c r="G58" s="11"/>
      <c r="H58" s="4"/>
      <c r="I58" s="11">
        <f>Kh*EXP(-EXP(-($C58-t0h)/wh))</f>
        <v>70590.156273646004</v>
      </c>
      <c r="J58" s="11"/>
      <c r="K58" s="11"/>
    </row>
    <row r="59" spans="2:11" x14ac:dyDescent="0.3">
      <c r="B59" s="10">
        <v>43937</v>
      </c>
      <c r="C59" s="4">
        <v>53</v>
      </c>
      <c r="E59" s="11">
        <f>K*EXP(-EXP(-($C59-t0)/w))</f>
        <v>215633.710949656</v>
      </c>
      <c r="F59" s="11"/>
      <c r="G59" s="11"/>
      <c r="H59" s="4"/>
      <c r="I59" s="11">
        <f>Kh*EXP(-EXP(-($C59-t0h)/wh))</f>
        <v>72505.849338274318</v>
      </c>
      <c r="J59" s="11"/>
      <c r="K59" s="11"/>
    </row>
    <row r="60" spans="2:11" x14ac:dyDescent="0.3">
      <c r="B60" s="10">
        <v>43938</v>
      </c>
      <c r="C60" s="4">
        <v>54</v>
      </c>
      <c r="E60" s="11">
        <f>K*EXP(-EXP(-($C60-t0)/w))</f>
        <v>221244.23067468317</v>
      </c>
      <c r="F60" s="11"/>
      <c r="G60" s="11"/>
      <c r="H60" s="4"/>
      <c r="I60" s="11">
        <f>Kh*EXP(-EXP(-($C60-t0h)/wh))</f>
        <v>74386.139731364383</v>
      </c>
      <c r="J60" s="11"/>
      <c r="K60" s="11"/>
    </row>
    <row r="61" spans="2:11" x14ac:dyDescent="0.3">
      <c r="B61" s="10">
        <v>43939</v>
      </c>
      <c r="C61" s="4">
        <v>55</v>
      </c>
      <c r="E61" s="11">
        <f>K*EXP(-EXP(-($C61-t0)/w))</f>
        <v>226708.69702762389</v>
      </c>
      <c r="F61" s="11"/>
      <c r="G61" s="11"/>
      <c r="H61" s="4"/>
      <c r="I61" s="11">
        <f>Kh*EXP(-EXP(-($C61-t0h)/wh))</f>
        <v>76229.563908565819</v>
      </c>
      <c r="J61" s="11"/>
      <c r="K61" s="11"/>
    </row>
    <row r="62" spans="2:11" x14ac:dyDescent="0.3">
      <c r="B62" s="10">
        <v>43940</v>
      </c>
      <c r="C62" s="4">
        <v>56</v>
      </c>
      <c r="E62" s="11">
        <f>K*EXP(-EXP(-($C62-t0)/w))</f>
        <v>232024.23801254109</v>
      </c>
      <c r="F62" s="11"/>
      <c r="G62" s="11"/>
      <c r="H62" s="4"/>
      <c r="I62" s="11">
        <f>Kh*EXP(-EXP(-($C62-t0h)/wh))</f>
        <v>78034.861673776715</v>
      </c>
      <c r="J62" s="11"/>
      <c r="K62" s="11"/>
    </row>
    <row r="63" spans="2:11" x14ac:dyDescent="0.3">
      <c r="B63" s="10">
        <v>43941</v>
      </c>
      <c r="C63" s="4">
        <v>57</v>
      </c>
      <c r="E63" s="11">
        <f>K*EXP(-EXP(-($C63-t0)/w))</f>
        <v>237188.75302363836</v>
      </c>
      <c r="F63" s="11"/>
      <c r="G63" s="11"/>
      <c r="H63" s="4"/>
      <c r="I63" s="11">
        <f>Kh*EXP(-EXP(-($C63-t0h)/wh))</f>
        <v>79800.966700518024</v>
      </c>
      <c r="J63" s="11"/>
      <c r="K63" s="11"/>
    </row>
    <row r="64" spans="2:11" x14ac:dyDescent="0.3">
      <c r="B64" s="10">
        <v>43942</v>
      </c>
      <c r="C64" s="4">
        <v>58</v>
      </c>
      <c r="E64" s="11">
        <f>K*EXP(-EXP(-($C64-t0)/w))</f>
        <v>242200.85516607945</v>
      </c>
      <c r="F64" s="11"/>
      <c r="G64" s="11"/>
      <c r="H64" s="4"/>
      <c r="I64" s="11">
        <f>Kh*EXP(-EXP(-($C64-t0h)/wh))</f>
        <v>81526.996591348638</v>
      </c>
      <c r="J64" s="11"/>
      <c r="K64" s="11"/>
    </row>
    <row r="65" spans="2:11" x14ac:dyDescent="0.3">
      <c r="B65" s="10">
        <v>43943</v>
      </c>
      <c r="C65" s="4">
        <v>59</v>
      </c>
      <c r="E65" s="11">
        <f>K*EXP(-EXP(-($C65-t0)/w))</f>
        <v>247059.81396065102</v>
      </c>
      <c r="F65" s="11"/>
      <c r="G65" s="11"/>
      <c r="H65" s="4"/>
      <c r="I65" s="11">
        <f>Kh*EXP(-EXP(-($C65-t0h)/wh))</f>
        <v>83212.242621381956</v>
      </c>
      <c r="J65" s="11"/>
      <c r="K65" s="11"/>
    </row>
    <row r="66" spans="2:11" x14ac:dyDescent="0.3">
      <c r="B66" s="10">
        <v>43944</v>
      </c>
      <c r="C66" s="4">
        <v>60</v>
      </c>
      <c r="E66" s="11">
        <f>K*EXP(-EXP(-($C66-t0)/w))</f>
        <v>251765.49902076495</v>
      </c>
      <c r="F66" s="11"/>
      <c r="G66" s="11"/>
      <c r="H66" s="4"/>
      <c r="I66" s="11">
        <f>Kh*EXP(-EXP(-($C66-t0h)/wh))</f>
        <v>84856.159296295111</v>
      </c>
      <c r="J66" s="11"/>
      <c r="K66" s="1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P126"/>
  <sheetViews>
    <sheetView tabSelected="1" topLeftCell="F4" workbookViewId="0">
      <selection activeCell="L9" sqref="L9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5" width="16.88671875" style="2" customWidth="1"/>
    <col min="6" max="7" width="15.44140625" style="2" customWidth="1"/>
    <col min="8" max="8" width="11.33203125" style="2" customWidth="1"/>
    <col min="9" max="9" width="11.109375" style="2" customWidth="1"/>
    <col min="10" max="10" width="1.77734375" style="2" customWidth="1"/>
    <col min="11" max="11" width="10.33203125" style="2" customWidth="1"/>
    <col min="12" max="12" width="11.44140625" style="2" bestFit="1" customWidth="1"/>
    <col min="13" max="16" width="8.88671875" style="2"/>
    <col min="17" max="17" width="11" style="2" bestFit="1" customWidth="1"/>
    <col min="18" max="16384" width="8.88671875" style="2"/>
  </cols>
  <sheetData>
    <row r="2" spans="2:16" ht="31.2" x14ac:dyDescent="0.6">
      <c r="B2" s="12" t="s">
        <v>13</v>
      </c>
    </row>
    <row r="3" spans="2:16" ht="17.399999999999999" customHeight="1" x14ac:dyDescent="0.6">
      <c r="B3" s="12"/>
      <c r="M3" s="18" t="s">
        <v>0</v>
      </c>
      <c r="N3" s="17" t="s">
        <v>18</v>
      </c>
      <c r="O3" s="17"/>
      <c r="P3" s="17"/>
    </row>
    <row r="4" spans="2:16" ht="20.399999999999999" x14ac:dyDescent="0.35">
      <c r="B4" s="13" t="s">
        <v>15</v>
      </c>
      <c r="C4" s="14"/>
      <c r="M4" s="18" t="s">
        <v>32</v>
      </c>
      <c r="N4" s="17" t="s">
        <v>17</v>
      </c>
      <c r="O4" s="17"/>
      <c r="P4" s="17"/>
    </row>
    <row r="5" spans="2:16" ht="18" x14ac:dyDescent="0.3">
      <c r="M5" s="18" t="s">
        <v>1</v>
      </c>
      <c r="N5" s="17" t="s">
        <v>16</v>
      </c>
      <c r="O5" s="17"/>
      <c r="P5" s="17"/>
    </row>
    <row r="6" spans="2:16" x14ac:dyDescent="0.3">
      <c r="B6" s="4" t="s">
        <v>10</v>
      </c>
      <c r="C6" s="4" t="s">
        <v>11</v>
      </c>
      <c r="D6" s="4" t="s">
        <v>35</v>
      </c>
      <c r="E6" s="4" t="s">
        <v>34</v>
      </c>
      <c r="F6" s="9" t="s">
        <v>36</v>
      </c>
      <c r="G6" s="9" t="s">
        <v>14</v>
      </c>
      <c r="H6" s="9" t="s">
        <v>8</v>
      </c>
      <c r="I6" s="9" t="s">
        <v>9</v>
      </c>
      <c r="J6" s="9"/>
      <c r="L6" s="3"/>
      <c r="M6" s="3"/>
    </row>
    <row r="7" spans="2:16" x14ac:dyDescent="0.3">
      <c r="B7" s="20">
        <v>43885</v>
      </c>
      <c r="C7" s="4">
        <v>0</v>
      </c>
      <c r="D7" s="4">
        <f>'dpc-covid-19-ita-andamento-naz'!K2</f>
        <v>229</v>
      </c>
      <c r="E7" s="4">
        <f>D7-0</f>
        <v>229</v>
      </c>
      <c r="F7" s="11">
        <f t="shared" ref="F7:F70" si="0">Kn*EXP(-EXP(-(C7-t0n)/wn))</f>
        <v>228.65864715479501</v>
      </c>
      <c r="G7" s="11">
        <f>F7-0</f>
        <v>228.65864715479501</v>
      </c>
      <c r="H7" s="11">
        <f t="shared" ref="H7:H40" si="1">G7+CIn</f>
        <v>1266.3510146897604</v>
      </c>
      <c r="I7" s="11">
        <f t="shared" ref="I7:I40" si="2">MAX(G7-CIn,0)</f>
        <v>0</v>
      </c>
      <c r="J7" s="1"/>
      <c r="K7" s="19" t="s">
        <v>0</v>
      </c>
      <c r="L7" s="5">
        <v>360000</v>
      </c>
    </row>
    <row r="8" spans="2:16" ht="15.6" x14ac:dyDescent="0.35">
      <c r="B8" s="10">
        <v>43886</v>
      </c>
      <c r="C8" s="4">
        <v>1</v>
      </c>
      <c r="D8" s="4">
        <f>'dpc-covid-19-ita-andamento-naz'!K3</f>
        <v>322</v>
      </c>
      <c r="E8" s="4">
        <f>D8-D7</f>
        <v>93</v>
      </c>
      <c r="F8" s="11">
        <f t="shared" si="0"/>
        <v>330.15630618021373</v>
      </c>
      <c r="G8" s="11">
        <f>F8-F7</f>
        <v>101.49765902541873</v>
      </c>
      <c r="H8" s="11">
        <f t="shared" si="1"/>
        <v>1139.190026560384</v>
      </c>
      <c r="I8" s="11">
        <f t="shared" si="2"/>
        <v>0</v>
      </c>
      <c r="J8" s="1"/>
      <c r="K8" s="19" t="s">
        <v>33</v>
      </c>
      <c r="L8" s="5">
        <v>39</v>
      </c>
    </row>
    <row r="9" spans="2:16" x14ac:dyDescent="0.3">
      <c r="B9" s="10">
        <v>43887</v>
      </c>
      <c r="C9" s="4">
        <v>2</v>
      </c>
      <c r="D9" s="4">
        <f>'dpc-covid-19-ita-andamento-naz'!K4</f>
        <v>400</v>
      </c>
      <c r="E9" s="4">
        <f t="shared" ref="E9:E40" si="3">D9-D8</f>
        <v>78</v>
      </c>
      <c r="F9" s="11">
        <f t="shared" si="0"/>
        <v>468.0487846870576</v>
      </c>
      <c r="G9" s="11">
        <f t="shared" ref="G9:G72" si="4">F9-F8</f>
        <v>137.89247850684387</v>
      </c>
      <c r="H9" s="11">
        <f t="shared" si="1"/>
        <v>1175.5848460418092</v>
      </c>
      <c r="I9" s="11">
        <f t="shared" si="2"/>
        <v>0</v>
      </c>
      <c r="J9" s="1"/>
      <c r="K9" s="19" t="s">
        <v>1</v>
      </c>
      <c r="L9" s="22">
        <v>19.5363253982297</v>
      </c>
    </row>
    <row r="10" spans="2:16" x14ac:dyDescent="0.3">
      <c r="B10" s="10">
        <v>43888</v>
      </c>
      <c r="C10" s="4">
        <v>3</v>
      </c>
      <c r="D10" s="4">
        <f>'dpc-covid-19-ita-andamento-naz'!K5</f>
        <v>650</v>
      </c>
      <c r="E10" s="4">
        <f t="shared" si="3"/>
        <v>250</v>
      </c>
      <c r="F10" s="11">
        <f t="shared" si="0"/>
        <v>652.07780836514382</v>
      </c>
      <c r="G10" s="11">
        <f t="shared" si="4"/>
        <v>184.02902367808622</v>
      </c>
      <c r="H10" s="11">
        <f t="shared" si="1"/>
        <v>1221.7213912130514</v>
      </c>
      <c r="I10" s="11">
        <f t="shared" si="2"/>
        <v>0</v>
      </c>
      <c r="J10" s="1"/>
      <c r="K10" s="6" t="s">
        <v>2</v>
      </c>
      <c r="L10" s="1">
        <f>AVERAGE(E7:E40)</f>
        <v>2719.7647058823532</v>
      </c>
    </row>
    <row r="11" spans="2:16" x14ac:dyDescent="0.3">
      <c r="B11" s="10">
        <v>43889</v>
      </c>
      <c r="C11" s="4">
        <v>4</v>
      </c>
      <c r="D11" s="4">
        <f>'dpc-covid-19-ita-andamento-naz'!K6</f>
        <v>888</v>
      </c>
      <c r="E11" s="4">
        <f t="shared" si="3"/>
        <v>238</v>
      </c>
      <c r="F11" s="11">
        <f t="shared" si="0"/>
        <v>893.55623182708075</v>
      </c>
      <c r="G11" s="11">
        <f t="shared" si="4"/>
        <v>241.47842346193693</v>
      </c>
      <c r="H11" s="11">
        <f t="shared" si="1"/>
        <v>1279.1707909969023</v>
      </c>
      <c r="I11" s="11">
        <f t="shared" si="2"/>
        <v>0</v>
      </c>
      <c r="J11" s="1"/>
      <c r="K11" s="6" t="s">
        <v>3</v>
      </c>
      <c r="L11" s="1">
        <f>COUNT(E7:E40)-COUNT(L7:L9)</f>
        <v>31</v>
      </c>
    </row>
    <row r="12" spans="2:16" x14ac:dyDescent="0.3">
      <c r="B12" s="10">
        <v>43890</v>
      </c>
      <c r="C12" s="4">
        <v>5</v>
      </c>
      <c r="D12" s="4">
        <f>'dpc-covid-19-ita-andamento-naz'!K7</f>
        <v>1128</v>
      </c>
      <c r="E12" s="4">
        <f t="shared" si="3"/>
        <v>240</v>
      </c>
      <c r="F12" s="11">
        <f t="shared" si="0"/>
        <v>1205.3608690624703</v>
      </c>
      <c r="G12" s="11">
        <f t="shared" si="4"/>
        <v>311.80463723538958</v>
      </c>
      <c r="H12" s="11">
        <f t="shared" si="1"/>
        <v>1349.497004770355</v>
      </c>
      <c r="I12" s="11">
        <f t="shared" si="2"/>
        <v>0</v>
      </c>
      <c r="J12" s="1"/>
      <c r="K12" s="6" t="s">
        <v>4</v>
      </c>
      <c r="L12" s="7" cm="1">
        <f t="array" ref="L12">SQRT(SUM((E7:E40-G7:G40)^2)/dfn)</f>
        <v>508.79407996473446</v>
      </c>
    </row>
    <row r="13" spans="2:16" ht="16.2" x14ac:dyDescent="0.3">
      <c r="B13" s="20">
        <v>43891</v>
      </c>
      <c r="C13" s="4">
        <v>6</v>
      </c>
      <c r="D13" s="4">
        <f>'dpc-covid-19-ita-andamento-naz'!K8</f>
        <v>1694</v>
      </c>
      <c r="E13" s="4">
        <f t="shared" si="3"/>
        <v>566</v>
      </c>
      <c r="F13" s="11">
        <f t="shared" si="0"/>
        <v>1601.8641928975203</v>
      </c>
      <c r="G13" s="11">
        <f t="shared" si="4"/>
        <v>396.50332383504997</v>
      </c>
      <c r="H13" s="11">
        <f t="shared" si="1"/>
        <v>1434.1956913700153</v>
      </c>
      <c r="I13" s="11">
        <f t="shared" si="2"/>
        <v>0</v>
      </c>
      <c r="J13" s="1"/>
      <c r="K13" s="6" t="s">
        <v>5</v>
      </c>
      <c r="L13" s="8" cm="1">
        <f t="array" ref="L13">1-SUM((E7:E40-G7:G40)^2)/SUM((E7:E40-Mean_of_yn)^2)</f>
        <v>0.95229463261622405</v>
      </c>
    </row>
    <row r="14" spans="2:16" x14ac:dyDescent="0.3">
      <c r="B14" s="10">
        <v>43892</v>
      </c>
      <c r="C14" s="4">
        <v>7</v>
      </c>
      <c r="D14" s="4">
        <f>'dpc-covid-19-ita-andamento-naz'!K9</f>
        <v>2036</v>
      </c>
      <c r="E14" s="4">
        <f t="shared" si="3"/>
        <v>342</v>
      </c>
      <c r="F14" s="11">
        <f t="shared" si="0"/>
        <v>2098.8015502690432</v>
      </c>
      <c r="G14" s="11">
        <f t="shared" si="4"/>
        <v>496.93735737152292</v>
      </c>
      <c r="H14" s="11">
        <f t="shared" si="1"/>
        <v>1534.6297249064883</v>
      </c>
      <c r="I14" s="11">
        <f t="shared" si="2"/>
        <v>0</v>
      </c>
      <c r="J14" s="1"/>
      <c r="K14" s="6" t="s">
        <v>6</v>
      </c>
      <c r="L14" s="8">
        <f>TINV(0.05,dfn)</f>
        <v>2.0395134463964082</v>
      </c>
    </row>
    <row r="15" spans="2:16" x14ac:dyDescent="0.3">
      <c r="B15" s="10">
        <v>43893</v>
      </c>
      <c r="C15" s="4">
        <v>8</v>
      </c>
      <c r="D15" s="4">
        <f>'dpc-covid-19-ita-andamento-naz'!K10</f>
        <v>2502</v>
      </c>
      <c r="E15" s="4">
        <f t="shared" si="3"/>
        <v>466</v>
      </c>
      <c r="F15" s="11">
        <f t="shared" si="0"/>
        <v>2713.0741203597822</v>
      </c>
      <c r="G15" s="11">
        <f t="shared" si="4"/>
        <v>614.27257009073901</v>
      </c>
      <c r="H15" s="11">
        <f t="shared" si="1"/>
        <v>1651.9649376257044</v>
      </c>
      <c r="I15" s="11">
        <f t="shared" si="2"/>
        <v>0</v>
      </c>
      <c r="J15" s="1"/>
      <c r="K15" s="6" t="s">
        <v>7</v>
      </c>
      <c r="L15" s="1">
        <f>Critical_tn*SE_of_yn</f>
        <v>1037.6923675349653</v>
      </c>
    </row>
    <row r="16" spans="2:16" x14ac:dyDescent="0.3">
      <c r="B16" s="10">
        <v>43894</v>
      </c>
      <c r="C16" s="4">
        <v>9</v>
      </c>
      <c r="D16" s="4">
        <f>'dpc-covid-19-ita-andamento-naz'!K11</f>
        <v>3089</v>
      </c>
      <c r="E16" s="4">
        <f t="shared" si="3"/>
        <v>587</v>
      </c>
      <c r="F16" s="11">
        <f t="shared" si="0"/>
        <v>3462.4915146751177</v>
      </c>
      <c r="G16" s="11">
        <f t="shared" si="4"/>
        <v>749.41739431533551</v>
      </c>
      <c r="H16" s="11">
        <f t="shared" si="1"/>
        <v>1787.1097618503009</v>
      </c>
      <c r="I16" s="11">
        <f t="shared" si="2"/>
        <v>0</v>
      </c>
      <c r="J16" s="1"/>
      <c r="K16" s="6"/>
    </row>
    <row r="17" spans="2:15" x14ac:dyDescent="0.3">
      <c r="B17" s="20">
        <v>43895</v>
      </c>
      <c r="C17" s="4">
        <v>10</v>
      </c>
      <c r="D17" s="4">
        <f>'dpc-covid-19-ita-andamento-naz'!K12</f>
        <v>3858</v>
      </c>
      <c r="E17" s="4">
        <f t="shared" si="3"/>
        <v>769</v>
      </c>
      <c r="F17" s="11">
        <f t="shared" si="0"/>
        <v>4365.4613876985031</v>
      </c>
      <c r="G17" s="11">
        <f t="shared" si="4"/>
        <v>902.96987302338539</v>
      </c>
      <c r="H17" s="11">
        <f t="shared" si="1"/>
        <v>1940.6622405583507</v>
      </c>
      <c r="I17" s="11">
        <f t="shared" si="2"/>
        <v>0</v>
      </c>
      <c r="J17" s="1"/>
      <c r="K17" s="6"/>
    </row>
    <row r="18" spans="2:15" x14ac:dyDescent="0.3">
      <c r="B18" s="10">
        <v>43896</v>
      </c>
      <c r="C18" s="4">
        <v>11</v>
      </c>
      <c r="D18" s="4">
        <f>'dpc-covid-19-ita-andamento-naz'!K13</f>
        <v>4636</v>
      </c>
      <c r="E18" s="4">
        <f t="shared" si="3"/>
        <v>778</v>
      </c>
      <c r="F18" s="11">
        <f t="shared" si="0"/>
        <v>5440.63642972465</v>
      </c>
      <c r="G18" s="11">
        <f t="shared" si="4"/>
        <v>1075.1750420261469</v>
      </c>
      <c r="H18" s="11">
        <f t="shared" si="1"/>
        <v>2112.8674095611123</v>
      </c>
      <c r="I18" s="11">
        <f t="shared" si="2"/>
        <v>37.482674491181569</v>
      </c>
      <c r="J18" s="1"/>
      <c r="K18" s="6"/>
    </row>
    <row r="19" spans="2:15" x14ac:dyDescent="0.3">
      <c r="B19" s="10">
        <v>43897</v>
      </c>
      <c r="C19" s="4">
        <v>12</v>
      </c>
      <c r="D19" s="4">
        <f>'dpc-covid-19-ita-andamento-naz'!K14</f>
        <v>5883</v>
      </c>
      <c r="E19" s="4">
        <f t="shared" si="3"/>
        <v>1247</v>
      </c>
      <c r="F19" s="11">
        <f t="shared" si="0"/>
        <v>6706.5314402874856</v>
      </c>
      <c r="G19" s="11">
        <f t="shared" si="4"/>
        <v>1265.8950105628355</v>
      </c>
      <c r="H19" s="11">
        <f t="shared" si="1"/>
        <v>2303.5873780978009</v>
      </c>
      <c r="I19" s="11">
        <f t="shared" si="2"/>
        <v>228.20264302787018</v>
      </c>
      <c r="J19" s="1"/>
      <c r="K19" s="6"/>
    </row>
    <row r="20" spans="2:15" x14ac:dyDescent="0.3">
      <c r="B20" s="20">
        <v>43898</v>
      </c>
      <c r="C20" s="4">
        <v>13</v>
      </c>
      <c r="D20" s="4">
        <f>'dpc-covid-19-ita-andamento-naz'!K15</f>
        <v>7375</v>
      </c>
      <c r="E20" s="4">
        <f t="shared" si="3"/>
        <v>1492</v>
      </c>
      <c r="F20" s="11">
        <f t="shared" si="0"/>
        <v>8181.1246921492639</v>
      </c>
      <c r="G20" s="11">
        <f t="shared" si="4"/>
        <v>1474.5932518617783</v>
      </c>
      <c r="H20" s="11">
        <f t="shared" si="1"/>
        <v>2512.2856193967436</v>
      </c>
      <c r="I20" s="11">
        <f t="shared" si="2"/>
        <v>436.90088432681296</v>
      </c>
      <c r="J20" s="1"/>
      <c r="K20" s="6"/>
    </row>
    <row r="21" spans="2:15" x14ac:dyDescent="0.3">
      <c r="B21" s="10">
        <v>43899</v>
      </c>
      <c r="C21" s="4">
        <v>14</v>
      </c>
      <c r="D21" s="4">
        <f>'dpc-covid-19-ita-andamento-naz'!K16</f>
        <v>9172</v>
      </c>
      <c r="E21" s="4">
        <f t="shared" si="3"/>
        <v>1797</v>
      </c>
      <c r="F21" s="11">
        <f t="shared" si="0"/>
        <v>9881.4584298770205</v>
      </c>
      <c r="G21" s="11">
        <f t="shared" si="4"/>
        <v>1700.3337377277567</v>
      </c>
      <c r="H21" s="11">
        <f t="shared" si="1"/>
        <v>2738.026105262722</v>
      </c>
      <c r="I21" s="11">
        <f t="shared" si="2"/>
        <v>662.64137019279133</v>
      </c>
      <c r="J21" s="1"/>
      <c r="K21" s="6"/>
    </row>
    <row r="22" spans="2:15" x14ac:dyDescent="0.3">
      <c r="B22" s="20">
        <v>43900</v>
      </c>
      <c r="C22" s="4">
        <v>15</v>
      </c>
      <c r="D22" s="4">
        <f>'dpc-covid-19-ita-andamento-naz'!K17</f>
        <v>10149</v>
      </c>
      <c r="E22" s="4">
        <f t="shared" si="3"/>
        <v>977</v>
      </c>
      <c r="F22" s="11">
        <f t="shared" si="0"/>
        <v>11823.253115977375</v>
      </c>
      <c r="G22" s="11">
        <f t="shared" si="4"/>
        <v>1941.7946861003547</v>
      </c>
      <c r="H22" s="11">
        <f t="shared" si="1"/>
        <v>2979.4870536353201</v>
      </c>
      <c r="I22" s="11">
        <f t="shared" si="2"/>
        <v>904.1023185653894</v>
      </c>
      <c r="J22" s="1"/>
      <c r="K22" s="6"/>
    </row>
    <row r="23" spans="2:15" x14ac:dyDescent="0.3">
      <c r="B23" s="10">
        <v>43901</v>
      </c>
      <c r="C23" s="4">
        <v>16</v>
      </c>
      <c r="D23" s="4">
        <f>'dpc-covid-19-ita-andamento-naz'!K18</f>
        <v>12462</v>
      </c>
      <c r="E23" s="4">
        <f t="shared" si="3"/>
        <v>2313</v>
      </c>
      <c r="F23" s="11">
        <f t="shared" si="0"/>
        <v>14020.549018838536</v>
      </c>
      <c r="G23" s="11">
        <f t="shared" si="4"/>
        <v>2197.2959028611604</v>
      </c>
      <c r="H23" s="11">
        <f t="shared" si="1"/>
        <v>3234.9882703961257</v>
      </c>
      <c r="I23" s="11">
        <f t="shared" si="2"/>
        <v>1159.603535326195</v>
      </c>
      <c r="J23" s="1"/>
      <c r="K23" s="6"/>
    </row>
    <row r="24" spans="2:15" x14ac:dyDescent="0.3">
      <c r="B24" s="20">
        <v>43902</v>
      </c>
      <c r="C24" s="4">
        <v>17</v>
      </c>
      <c r="D24" s="4">
        <f>'dpc-covid-19-ita-andamento-naz'!K19</f>
        <v>15113</v>
      </c>
      <c r="E24" s="4">
        <f t="shared" si="3"/>
        <v>2651</v>
      </c>
      <c r="F24" s="11">
        <f t="shared" si="0"/>
        <v>16485.38705832839</v>
      </c>
      <c r="G24" s="11">
        <f t="shared" si="4"/>
        <v>2464.8380394898541</v>
      </c>
      <c r="H24" s="11">
        <f t="shared" si="1"/>
        <v>3502.5304070248194</v>
      </c>
      <c r="I24" s="11">
        <f t="shared" si="2"/>
        <v>1427.1456719548887</v>
      </c>
      <c r="J24" s="1"/>
      <c r="K24" s="6"/>
    </row>
    <row r="25" spans="2:15" x14ac:dyDescent="0.3">
      <c r="B25" s="10">
        <v>43903</v>
      </c>
      <c r="C25" s="4">
        <v>18</v>
      </c>
      <c r="D25" s="4">
        <f>'dpc-covid-19-ita-andamento-naz'!K20</f>
        <v>17660</v>
      </c>
      <c r="E25" s="4">
        <f t="shared" si="3"/>
        <v>2547</v>
      </c>
      <c r="F25" s="11">
        <f t="shared" si="0"/>
        <v>19227.538648194084</v>
      </c>
      <c r="G25" s="11">
        <f t="shared" si="4"/>
        <v>2742.1515898656944</v>
      </c>
      <c r="H25" s="11">
        <f t="shared" si="1"/>
        <v>3779.8439574006597</v>
      </c>
      <c r="I25" s="11">
        <f t="shared" si="2"/>
        <v>1704.4592223307291</v>
      </c>
      <c r="J25" s="1"/>
      <c r="K25" s="6"/>
    </row>
    <row r="26" spans="2:15" x14ac:dyDescent="0.3">
      <c r="B26" s="10">
        <v>43904</v>
      </c>
      <c r="C26" s="4">
        <v>19</v>
      </c>
      <c r="D26" s="4">
        <f>'dpc-covid-19-ita-andamento-naz'!K21</f>
        <v>21157</v>
      </c>
      <c r="E26" s="4">
        <f t="shared" si="3"/>
        <v>3497</v>
      </c>
      <c r="F26" s="11">
        <f t="shared" si="0"/>
        <v>22254.291776613038</v>
      </c>
      <c r="G26" s="11">
        <f t="shared" si="4"/>
        <v>3026.7531284189536</v>
      </c>
      <c r="H26" s="11">
        <f t="shared" si="1"/>
        <v>4064.4454959539189</v>
      </c>
      <c r="I26" s="11">
        <f t="shared" si="2"/>
        <v>1989.0607608839882</v>
      </c>
      <c r="J26" s="1"/>
      <c r="K26" s="6"/>
    </row>
    <row r="27" spans="2:15" x14ac:dyDescent="0.3">
      <c r="B27" s="10">
        <v>43905</v>
      </c>
      <c r="C27" s="4">
        <v>20</v>
      </c>
      <c r="D27" s="4">
        <f>'dpc-covid-19-ita-andamento-naz'!K22</f>
        <v>24747</v>
      </c>
      <c r="E27" s="4">
        <f t="shared" si="3"/>
        <v>3590</v>
      </c>
      <c r="F27" s="11">
        <f t="shared" si="0"/>
        <v>25570.297924308292</v>
      </c>
      <c r="G27" s="11">
        <f t="shared" si="4"/>
        <v>3316.0061476952542</v>
      </c>
      <c r="H27" s="11">
        <f t="shared" si="1"/>
        <v>4353.6985152302195</v>
      </c>
      <c r="I27" s="11">
        <f t="shared" si="2"/>
        <v>2278.3137801602888</v>
      </c>
      <c r="J27" s="1"/>
      <c r="K27" s="6"/>
    </row>
    <row r="28" spans="2:15" x14ac:dyDescent="0.3">
      <c r="B28" s="10">
        <v>43906</v>
      </c>
      <c r="C28" s="4">
        <v>21</v>
      </c>
      <c r="D28" s="4">
        <f>'dpc-covid-19-ita-andamento-naz'!K23</f>
        <v>27980</v>
      </c>
      <c r="E28" s="4">
        <f t="shared" si="3"/>
        <v>3233</v>
      </c>
      <c r="F28" s="11">
        <f t="shared" si="0"/>
        <v>29177.481796889751</v>
      </c>
      <c r="G28" s="11">
        <f t="shared" si="4"/>
        <v>3607.1838725814596</v>
      </c>
      <c r="H28" s="11">
        <f t="shared" si="1"/>
        <v>4644.8762401164249</v>
      </c>
      <c r="I28" s="11">
        <f t="shared" si="2"/>
        <v>2569.4915050464942</v>
      </c>
      <c r="J28" s="1"/>
      <c r="K28" s="6"/>
    </row>
    <row r="29" spans="2:15" x14ac:dyDescent="0.3">
      <c r="B29" s="10">
        <v>43907</v>
      </c>
      <c r="C29" s="4">
        <v>22</v>
      </c>
      <c r="D29" s="4">
        <f>'dpc-covid-19-ita-andamento-naz'!K24</f>
        <v>31506</v>
      </c>
      <c r="E29" s="4">
        <f t="shared" si="3"/>
        <v>3526</v>
      </c>
      <c r="F29" s="11">
        <f t="shared" si="0"/>
        <v>33075.013384352751</v>
      </c>
      <c r="G29" s="11">
        <f t="shared" si="4"/>
        <v>3897.5315874629996</v>
      </c>
      <c r="H29" s="11">
        <f t="shared" si="1"/>
        <v>4935.2239549979649</v>
      </c>
      <c r="I29" s="11">
        <f t="shared" si="2"/>
        <v>2859.8392199280343</v>
      </c>
      <c r="J29" s="1"/>
    </row>
    <row r="30" spans="2:15" x14ac:dyDescent="0.3">
      <c r="B30" s="10">
        <v>43908</v>
      </c>
      <c r="C30" s="4">
        <v>23</v>
      </c>
      <c r="D30" s="4">
        <f>'dpc-covid-19-ita-andamento-naz'!K25</f>
        <v>35713</v>
      </c>
      <c r="E30" s="4">
        <f t="shared" si="3"/>
        <v>4207</v>
      </c>
      <c r="F30" s="11">
        <f t="shared" si="0"/>
        <v>37259.339666109518</v>
      </c>
      <c r="G30" s="11">
        <f t="shared" si="4"/>
        <v>4184.3262817567665</v>
      </c>
      <c r="H30" s="11">
        <f t="shared" si="1"/>
        <v>5222.0186492917319</v>
      </c>
      <c r="I30" s="11">
        <f t="shared" si="2"/>
        <v>3146.6339142218012</v>
      </c>
      <c r="O30" s="1"/>
    </row>
    <row r="31" spans="2:15" x14ac:dyDescent="0.3">
      <c r="B31" s="10">
        <v>43909</v>
      </c>
      <c r="C31" s="4">
        <v>24</v>
      </c>
      <c r="D31" s="4">
        <f>'dpc-covid-19-ita-andamento-naz'!K26</f>
        <v>41035</v>
      </c>
      <c r="E31" s="4">
        <f t="shared" si="3"/>
        <v>5322</v>
      </c>
      <c r="F31" s="11">
        <f t="shared" si="0"/>
        <v>41724.271432346868</v>
      </c>
      <c r="G31" s="11">
        <f t="shared" si="4"/>
        <v>4464.9317662373505</v>
      </c>
      <c r="H31" s="11">
        <f t="shared" si="1"/>
        <v>5502.6241337723159</v>
      </c>
      <c r="I31" s="11">
        <f t="shared" si="2"/>
        <v>3427.2393987023852</v>
      </c>
    </row>
    <row r="32" spans="2:15" x14ac:dyDescent="0.3">
      <c r="B32" s="10">
        <v>43910</v>
      </c>
      <c r="C32" s="4">
        <v>25</v>
      </c>
      <c r="D32" s="4">
        <f>'dpc-covid-19-ita-andamento-naz'!K27</f>
        <v>47021</v>
      </c>
      <c r="E32" s="4">
        <f t="shared" si="3"/>
        <v>5986</v>
      </c>
      <c r="F32" s="11">
        <f t="shared" si="0"/>
        <v>46461.119237646635</v>
      </c>
      <c r="G32" s="11">
        <f t="shared" si="4"/>
        <v>4736.8478052997671</v>
      </c>
      <c r="H32" s="11">
        <f t="shared" si="1"/>
        <v>5774.5401728347324</v>
      </c>
      <c r="I32" s="11">
        <f t="shared" si="2"/>
        <v>3699.1554377648017</v>
      </c>
    </row>
    <row r="33" spans="2:9" x14ac:dyDescent="0.3">
      <c r="B33" s="10">
        <v>43911</v>
      </c>
      <c r="C33" s="4">
        <v>26</v>
      </c>
      <c r="D33" s="4">
        <f>'dpc-covid-19-ita-andamento-naz'!K28</f>
        <v>53578</v>
      </c>
      <c r="E33" s="4">
        <f t="shared" si="3"/>
        <v>6557</v>
      </c>
      <c r="F33" s="11">
        <f t="shared" si="0"/>
        <v>51458.871457036235</v>
      </c>
      <c r="G33" s="11">
        <f t="shared" si="4"/>
        <v>4997.7522193896002</v>
      </c>
      <c r="H33" s="11">
        <f t="shared" si="1"/>
        <v>6035.4445869245656</v>
      </c>
      <c r="I33" s="11">
        <f t="shared" si="2"/>
        <v>3960.0598518546349</v>
      </c>
    </row>
    <row r="34" spans="2:9" x14ac:dyDescent="0.3">
      <c r="B34" s="10">
        <v>43912</v>
      </c>
      <c r="C34" s="4">
        <v>27</v>
      </c>
      <c r="D34" s="4">
        <f>'dpc-covid-19-ita-andamento-naz'!K29</f>
        <v>59138</v>
      </c>
      <c r="E34" s="4">
        <f t="shared" si="3"/>
        <v>5560</v>
      </c>
      <c r="F34" s="11">
        <f t="shared" si="0"/>
        <v>56704.406769185654</v>
      </c>
      <c r="G34" s="11">
        <f t="shared" si="4"/>
        <v>5245.535312149419</v>
      </c>
      <c r="H34" s="11">
        <f t="shared" si="1"/>
        <v>6283.2276796843844</v>
      </c>
      <c r="I34" s="11">
        <f t="shared" si="2"/>
        <v>4207.8429446144537</v>
      </c>
    </row>
    <row r="35" spans="2:9" x14ac:dyDescent="0.3">
      <c r="B35" s="20">
        <v>43913</v>
      </c>
      <c r="C35" s="4">
        <v>28</v>
      </c>
      <c r="D35" s="4">
        <f>'dpc-covid-19-ita-andamento-naz'!K30</f>
        <v>63927</v>
      </c>
      <c r="E35" s="4">
        <f t="shared" si="3"/>
        <v>4789</v>
      </c>
      <c r="F35" s="11">
        <f t="shared" si="0"/>
        <v>62182.73311760815</v>
      </c>
      <c r="G35" s="11">
        <f t="shared" si="4"/>
        <v>5478.3263484224954</v>
      </c>
      <c r="H35" s="11">
        <f t="shared" si="1"/>
        <v>6516.0187159574607</v>
      </c>
      <c r="I35" s="11">
        <f t="shared" si="2"/>
        <v>4440.63398088753</v>
      </c>
    </row>
    <row r="36" spans="2:9" x14ac:dyDescent="0.3">
      <c r="B36" s="10">
        <v>43914</v>
      </c>
      <c r="C36" s="4">
        <v>29</v>
      </c>
      <c r="D36" s="4">
        <f>'dpc-covid-19-ita-andamento-naz'!K31</f>
        <v>69176</v>
      </c>
      <c r="E36" s="4">
        <f t="shared" si="3"/>
        <v>5249</v>
      </c>
      <c r="F36" s="11">
        <f t="shared" si="0"/>
        <v>67877.245255249916</v>
      </c>
      <c r="G36" s="11">
        <f t="shared" si="4"/>
        <v>5694.5121376417665</v>
      </c>
      <c r="H36" s="11">
        <f t="shared" si="1"/>
        <v>6732.2045051767318</v>
      </c>
      <c r="I36" s="11">
        <f t="shared" si="2"/>
        <v>4656.8197701068011</v>
      </c>
    </row>
    <row r="37" spans="2:9" x14ac:dyDescent="0.3">
      <c r="B37" s="10">
        <v>43915</v>
      </c>
      <c r="C37" s="4">
        <v>30</v>
      </c>
      <c r="D37" s="4">
        <f>'dpc-covid-19-ita-andamento-naz'!K32</f>
        <v>74386</v>
      </c>
      <c r="E37" s="4">
        <f t="shared" si="3"/>
        <v>5210</v>
      </c>
      <c r="F37" s="11">
        <f t="shared" si="0"/>
        <v>73769.993308391175</v>
      </c>
      <c r="G37" s="11">
        <f t="shared" si="4"/>
        <v>5892.7480531412584</v>
      </c>
      <c r="H37" s="11">
        <f t="shared" si="1"/>
        <v>6930.4404206762238</v>
      </c>
      <c r="I37" s="11">
        <f t="shared" si="2"/>
        <v>4855.0556856062931</v>
      </c>
    </row>
    <row r="38" spans="2:9" x14ac:dyDescent="0.3">
      <c r="B38" s="10">
        <v>43916</v>
      </c>
      <c r="C38" s="4">
        <v>31</v>
      </c>
      <c r="D38" s="4">
        <f>'dpc-covid-19-ita-andamento-naz'!K33</f>
        <v>80539</v>
      </c>
      <c r="E38" s="4">
        <f t="shared" si="3"/>
        <v>6153</v>
      </c>
      <c r="F38" s="11">
        <f t="shared" si="0"/>
        <v>79841.955345537936</v>
      </c>
      <c r="G38" s="11">
        <f t="shared" si="4"/>
        <v>6071.9620371467608</v>
      </c>
      <c r="H38" s="11">
        <f t="shared" si="1"/>
        <v>7109.6544046817262</v>
      </c>
      <c r="I38" s="11">
        <f t="shared" si="2"/>
        <v>5034.2696696117955</v>
      </c>
    </row>
    <row r="39" spans="2:9" x14ac:dyDescent="0.3">
      <c r="B39" s="10">
        <v>43917</v>
      </c>
      <c r="C39" s="4">
        <v>32</v>
      </c>
      <c r="D39" s="4">
        <f>'dpc-covid-19-ita-andamento-naz'!K34</f>
        <v>86498</v>
      </c>
      <c r="E39" s="4">
        <f t="shared" si="3"/>
        <v>5959</v>
      </c>
      <c r="F39" s="11">
        <f t="shared" si="0"/>
        <v>86073.307648795802</v>
      </c>
      <c r="G39" s="11">
        <f t="shared" si="4"/>
        <v>6231.3523032578669</v>
      </c>
      <c r="H39" s="11">
        <f t="shared" si="1"/>
        <v>7269.0446707928322</v>
      </c>
      <c r="I39" s="11">
        <f t="shared" si="2"/>
        <v>5193.6599357229015</v>
      </c>
    </row>
    <row r="40" spans="2:9" x14ac:dyDescent="0.3">
      <c r="B40" s="10">
        <v>43918</v>
      </c>
      <c r="C40" s="4">
        <v>33</v>
      </c>
      <c r="D40" s="4">
        <f>'dpc-covid-19-ita-andamento-naz'!K35</f>
        <v>92472</v>
      </c>
      <c r="E40" s="4">
        <f t="shared" si="3"/>
        <v>5974</v>
      </c>
      <c r="F40" s="11">
        <f t="shared" si="0"/>
        <v>92443.687204694434</v>
      </c>
      <c r="G40" s="11">
        <f t="shared" si="4"/>
        <v>6370.3795558986312</v>
      </c>
      <c r="H40" s="11">
        <f t="shared" si="1"/>
        <v>7408.0719234335966</v>
      </c>
      <c r="I40" s="11">
        <f t="shared" si="2"/>
        <v>5332.6871883636659</v>
      </c>
    </row>
    <row r="41" spans="2:9" x14ac:dyDescent="0.3">
      <c r="B41" s="10">
        <v>43919</v>
      </c>
      <c r="C41" s="4">
        <v>34</v>
      </c>
      <c r="E41" s="4"/>
      <c r="F41" s="11">
        <f t="shared" si="0"/>
        <v>98932.441809285738</v>
      </c>
      <c r="G41" s="11">
        <f t="shared" si="4"/>
        <v>6488.7546045913041</v>
      </c>
    </row>
    <row r="42" spans="2:9" x14ac:dyDescent="0.3">
      <c r="B42" s="10">
        <v>43920</v>
      </c>
      <c r="C42" s="4">
        <v>35</v>
      </c>
      <c r="E42" s="4"/>
      <c r="F42" s="11">
        <f t="shared" si="0"/>
        <v>105518.8640758422</v>
      </c>
      <c r="G42" s="11">
        <f t="shared" si="4"/>
        <v>6586.4222665564594</v>
      </c>
    </row>
    <row r="43" spans="2:9" x14ac:dyDescent="0.3">
      <c r="B43" s="10">
        <v>43921</v>
      </c>
      <c r="C43" s="4">
        <v>36</v>
      </c>
      <c r="E43" s="4"/>
      <c r="F43" s="11">
        <f t="shared" si="0"/>
        <v>112182.40650727814</v>
      </c>
      <c r="G43" s="11">
        <f t="shared" si="4"/>
        <v>6663.5424314359407</v>
      </c>
    </row>
    <row r="44" spans="2:9" x14ac:dyDescent="0.3">
      <c r="B44" s="10">
        <v>43922</v>
      </c>
      <c r="C44" s="4">
        <v>37</v>
      </c>
      <c r="E44" s="4"/>
      <c r="F44" s="11">
        <f t="shared" si="0"/>
        <v>118902.87562168401</v>
      </c>
      <c r="G44" s="11">
        <f t="shared" si="4"/>
        <v>6720.4691144058743</v>
      </c>
    </row>
    <row r="45" spans="2:9" x14ac:dyDescent="0.3">
      <c r="B45" s="10">
        <v>43923</v>
      </c>
      <c r="C45" s="4">
        <v>38</v>
      </c>
      <c r="E45" s="4"/>
      <c r="F45" s="11">
        <f t="shared" si="0"/>
        <v>125660.60387757003</v>
      </c>
      <c r="G45" s="11">
        <f t="shared" si="4"/>
        <v>6757.728255886017</v>
      </c>
    </row>
    <row r="46" spans="2:9" x14ac:dyDescent="0.3">
      <c r="B46" s="10">
        <v>43924</v>
      </c>
      <c r="C46" s="4">
        <v>39</v>
      </c>
      <c r="E46" s="4"/>
      <c r="F46" s="11">
        <f t="shared" si="0"/>
        <v>132436.59882171924</v>
      </c>
      <c r="G46" s="11">
        <f t="shared" si="4"/>
        <v>6775.9949441492063</v>
      </c>
    </row>
    <row r="47" spans="2:9" x14ac:dyDescent="0.3">
      <c r="B47" s="10">
        <v>43925</v>
      </c>
      <c r="C47" s="4">
        <v>40</v>
      </c>
      <c r="E47" s="4"/>
      <c r="F47" s="11">
        <f t="shared" si="0"/>
        <v>139212.66946899923</v>
      </c>
      <c r="G47" s="11">
        <f t="shared" si="4"/>
        <v>6776.0706472799939</v>
      </c>
    </row>
    <row r="48" spans="2:9" x14ac:dyDescent="0.3">
      <c r="B48" s="10">
        <v>43926</v>
      </c>
      <c r="C48" s="4">
        <v>41</v>
      </c>
      <c r="E48" s="4"/>
      <c r="F48" s="11">
        <f t="shared" si="0"/>
        <v>145971.53041710661</v>
      </c>
      <c r="G48" s="11">
        <f t="shared" si="4"/>
        <v>6758.86094810738</v>
      </c>
    </row>
    <row r="49" spans="2:7" x14ac:dyDescent="0.3">
      <c r="B49" s="10">
        <v>43927</v>
      </c>
      <c r="C49" s="4">
        <v>42</v>
      </c>
      <c r="E49" s="4"/>
      <c r="F49" s="11">
        <f t="shared" si="0"/>
        <v>152696.88460107797</v>
      </c>
      <c r="G49" s="11">
        <f t="shared" si="4"/>
        <v>6725.354183971358</v>
      </c>
    </row>
    <row r="50" spans="2:7" x14ac:dyDescent="0.3">
      <c r="B50" s="10">
        <v>43928</v>
      </c>
      <c r="C50" s="4">
        <v>43</v>
      </c>
      <c r="E50" s="4"/>
      <c r="F50" s="11">
        <f t="shared" si="0"/>
        <v>159373.48590667013</v>
      </c>
      <c r="G50" s="11">
        <f t="shared" si="4"/>
        <v>6676.6013055921649</v>
      </c>
    </row>
    <row r="51" spans="2:7" x14ac:dyDescent="0.3">
      <c r="B51" s="10">
        <v>43929</v>
      </c>
      <c r="C51" s="4">
        <v>44</v>
      </c>
      <c r="E51" s="4"/>
      <c r="F51" s="11">
        <f t="shared" si="0"/>
        <v>165987.18309482833</v>
      </c>
      <c r="G51" s="11">
        <f t="shared" si="4"/>
        <v>6613.6971881581994</v>
      </c>
    </row>
    <row r="52" spans="2:7" x14ac:dyDescent="0.3">
      <c r="B52" s="10">
        <v>43930</v>
      </c>
      <c r="C52" s="4">
        <v>45</v>
      </c>
      <c r="E52" s="4"/>
      <c r="F52" s="11">
        <f t="shared" si="0"/>
        <v>172524.94664937331</v>
      </c>
      <c r="G52" s="11">
        <f t="shared" si="4"/>
        <v>6537.7635545449739</v>
      </c>
    </row>
    <row r="53" spans="2:7" x14ac:dyDescent="0.3">
      <c r="B53" s="10">
        <v>43931</v>
      </c>
      <c r="C53" s="4">
        <v>46</v>
      </c>
      <c r="E53" s="4"/>
      <c r="F53" s="11">
        <f t="shared" si="0"/>
        <v>178974.88025556394</v>
      </c>
      <c r="G53" s="11">
        <f t="shared" si="4"/>
        <v>6449.9336061906361</v>
      </c>
    </row>
    <row r="54" spans="2:7" x14ac:dyDescent="0.3">
      <c r="B54" s="10">
        <v>43932</v>
      </c>
      <c r="C54" s="4">
        <v>47</v>
      </c>
      <c r="E54" s="4"/>
      <c r="F54" s="11">
        <f t="shared" si="0"/>
        <v>185326.21865748768</v>
      </c>
      <c r="G54" s="11">
        <f t="shared" si="4"/>
        <v>6351.3384019237419</v>
      </c>
    </row>
    <row r="55" spans="2:7" x14ac:dyDescent="0.3">
      <c r="B55" s="10">
        <v>43933</v>
      </c>
      <c r="C55" s="4">
        <v>48</v>
      </c>
      <c r="E55" s="4"/>
      <c r="F55" s="11">
        <f t="shared" si="0"/>
        <v>191569.31363637451</v>
      </c>
      <c r="G55" s="11">
        <f t="shared" si="4"/>
        <v>6243.0949788868311</v>
      </c>
    </row>
    <row r="56" spans="2:7" x14ac:dyDescent="0.3">
      <c r="B56" s="10">
        <v>43934</v>
      </c>
      <c r="C56" s="4">
        <v>49</v>
      </c>
      <c r="E56" s="4"/>
      <c r="F56" s="11">
        <f t="shared" si="0"/>
        <v>197695.60980860994</v>
      </c>
      <c r="G56" s="11">
        <f t="shared" si="4"/>
        <v>6126.296172235423</v>
      </c>
    </row>
    <row r="57" spans="2:7" x14ac:dyDescent="0.3">
      <c r="B57" s="10">
        <v>43935</v>
      </c>
      <c r="C57" s="4">
        <v>50</v>
      </c>
      <c r="E57" s="4"/>
      <c r="F57" s="11">
        <f t="shared" si="0"/>
        <v>203697.6118695054</v>
      </c>
      <c r="G57" s="11">
        <f t="shared" si="4"/>
        <v>6002.0020608954655</v>
      </c>
    </row>
    <row r="58" spans="2:7" x14ac:dyDescent="0.3">
      <c r="B58" s="10">
        <v>43936</v>
      </c>
      <c r="C58" s="4">
        <v>51</v>
      </c>
      <c r="E58" s="4"/>
      <c r="F58" s="11">
        <f t="shared" si="0"/>
        <v>209568.84481407824</v>
      </c>
      <c r="G58" s="11">
        <f t="shared" si="4"/>
        <v>5871.2329445728392</v>
      </c>
    </row>
    <row r="59" spans="2:7" x14ac:dyDescent="0.3">
      <c r="B59" s="10">
        <v>43937</v>
      </c>
      <c r="C59" s="4">
        <v>52</v>
      </c>
      <c r="E59" s="4"/>
      <c r="F59" s="11">
        <f t="shared" si="0"/>
        <v>215303.80855566595</v>
      </c>
      <c r="G59" s="11">
        <f t="shared" si="4"/>
        <v>5734.9637415877078</v>
      </c>
    </row>
    <row r="60" spans="2:7" x14ac:dyDescent="0.3">
      <c r="B60" s="10">
        <v>43938</v>
      </c>
      <c r="C60" s="4">
        <v>53</v>
      </c>
      <c r="E60" s="4"/>
      <c r="F60" s="11">
        <f t="shared" si="0"/>
        <v>220897.92824273658</v>
      </c>
      <c r="G60" s="11">
        <f t="shared" si="4"/>
        <v>5594.1196870706335</v>
      </c>
    </row>
    <row r="61" spans="2:7" x14ac:dyDescent="0.3">
      <c r="B61" s="10">
        <v>43939</v>
      </c>
      <c r="C61" s="4">
        <v>54</v>
      </c>
      <c r="E61" s="4"/>
      <c r="F61" s="11">
        <f t="shared" si="0"/>
        <v>226347.50144849662</v>
      </c>
      <c r="G61" s="11">
        <f t="shared" si="4"/>
        <v>5449.5732057600399</v>
      </c>
    </row>
    <row r="62" spans="2:7" x14ac:dyDescent="0.3">
      <c r="B62" s="10">
        <v>43940</v>
      </c>
      <c r="C62" s="4">
        <v>55</v>
      </c>
      <c r="E62" s="4"/>
      <c r="F62" s="11">
        <f t="shared" si="0"/>
        <v>231649.64328074348</v>
      </c>
      <c r="G62" s="11">
        <f t="shared" si="4"/>
        <v>5302.1418322468526</v>
      </c>
    </row>
    <row r="63" spans="2:7" x14ac:dyDescent="0.3">
      <c r="B63" s="10">
        <v>43941</v>
      </c>
      <c r="C63" s="4">
        <v>56</v>
      </c>
      <c r="E63" s="4"/>
      <c r="F63" s="11">
        <f t="shared" si="0"/>
        <v>236802.23033400765</v>
      </c>
      <c r="G63" s="11">
        <f t="shared" si="4"/>
        <v>5152.5870532641711</v>
      </c>
    </row>
    <row r="64" spans="2:7" x14ac:dyDescent="0.3">
      <c r="B64" s="10">
        <v>43942</v>
      </c>
      <c r="C64" s="4">
        <v>57</v>
      </c>
      <c r="E64" s="4"/>
      <c r="F64" s="11">
        <f t="shared" si="0"/>
        <v>241803.84428484456</v>
      </c>
      <c r="G64" s="11">
        <f t="shared" si="4"/>
        <v>5001.6139508369088</v>
      </c>
    </row>
    <row r="65" spans="2:7" x14ac:dyDescent="0.3">
      <c r="B65" s="10">
        <v>43943</v>
      </c>
      <c r="C65" s="4">
        <v>58</v>
      </c>
      <c r="E65" s="4"/>
      <c r="F65" s="11">
        <f t="shared" si="0"/>
        <v>246653.7158160008</v>
      </c>
      <c r="G65" s="11">
        <f t="shared" si="4"/>
        <v>4849.871531156241</v>
      </c>
    </row>
    <row r="66" spans="2:7" x14ac:dyDescent="0.3">
      <c r="B66" s="10">
        <v>43944</v>
      </c>
      <c r="C66" s="4">
        <v>59</v>
      </c>
      <c r="E66" s="4"/>
      <c r="F66" s="11">
        <f t="shared" si="0"/>
        <v>251351.66944742505</v>
      </c>
      <c r="G66" s="11">
        <f t="shared" si="4"/>
        <v>4697.9536314242578</v>
      </c>
    </row>
    <row r="67" spans="2:7" x14ac:dyDescent="0.3">
      <c r="B67" s="10">
        <v>43945</v>
      </c>
      <c r="C67" s="4">
        <v>60</v>
      </c>
      <c r="F67" s="11">
        <f t="shared" si="0"/>
        <v>255898.06975257737</v>
      </c>
      <c r="G67" s="11">
        <f t="shared" si="4"/>
        <v>4546.4003051523177</v>
      </c>
    </row>
    <row r="68" spans="2:7" x14ac:dyDescent="0.3">
      <c r="B68" s="10">
        <v>43946</v>
      </c>
      <c r="C68" s="4">
        <v>61</v>
      </c>
      <c r="F68" s="11">
        <f t="shared" si="0"/>
        <v>260293.7693477025</v>
      </c>
      <c r="G68" s="11">
        <f t="shared" si="4"/>
        <v>4395.6995951251301</v>
      </c>
    </row>
    <row r="69" spans="2:7" x14ac:dyDescent="0.3">
      <c r="B69" s="10">
        <v>43947</v>
      </c>
      <c r="C69" s="4">
        <v>62</v>
      </c>
      <c r="F69" s="11">
        <f t="shared" si="0"/>
        <v>264540.05895986402</v>
      </c>
      <c r="G69" s="11">
        <f t="shared" si="4"/>
        <v>4246.2896121615195</v>
      </c>
    </row>
    <row r="70" spans="2:7" x14ac:dyDescent="0.3">
      <c r="B70" s="10">
        <v>43948</v>
      </c>
      <c r="C70" s="4">
        <v>63</v>
      </c>
      <c r="F70" s="11">
        <f t="shared" si="0"/>
        <v>268638.61980651889</v>
      </c>
      <c r="G70" s="11">
        <f t="shared" si="4"/>
        <v>4098.5608466548729</v>
      </c>
    </row>
    <row r="71" spans="2:7" x14ac:dyDescent="0.3">
      <c r="B71" s="10">
        <v>43949</v>
      </c>
      <c r="C71" s="4">
        <v>64</v>
      </c>
      <c r="F71" s="11">
        <f t="shared" ref="F71:F126" si="5">Kn*EXP(-EXP(-(C71-t0n)/wn))</f>
        <v>272591.47845500341</v>
      </c>
      <c r="G71" s="11">
        <f t="shared" si="4"/>
        <v>3952.8586484845146</v>
      </c>
    </row>
    <row r="72" spans="2:7" x14ac:dyDescent="0.3">
      <c r="B72" s="10">
        <v>43950</v>
      </c>
      <c r="C72" s="4">
        <v>65</v>
      </c>
      <c r="F72" s="11">
        <f t="shared" si="5"/>
        <v>276400.964274108</v>
      </c>
      <c r="G72" s="11">
        <f t="shared" si="4"/>
        <v>3809.4858191045932</v>
      </c>
    </row>
    <row r="73" spans="2:7" x14ac:dyDescent="0.3">
      <c r="B73" s="10">
        <v>43951</v>
      </c>
      <c r="C73" s="4">
        <v>66</v>
      </c>
      <c r="F73" s="11">
        <f t="shared" si="5"/>
        <v>280069.66954145388</v>
      </c>
      <c r="G73" s="11">
        <f t="shared" ref="G73:G126" si="6">F73-F72</f>
        <v>3668.705267345882</v>
      </c>
    </row>
    <row r="74" spans="2:7" x14ac:dyDescent="0.3">
      <c r="B74" s="10">
        <v>43952</v>
      </c>
      <c r="C74" s="4">
        <v>67</v>
      </c>
      <c r="F74" s="11">
        <f t="shared" si="5"/>
        <v>283600.41222909</v>
      </c>
      <c r="G74" s="11">
        <f t="shared" si="6"/>
        <v>3530.7426876361133</v>
      </c>
    </row>
    <row r="75" spans="2:7" x14ac:dyDescent="0.3">
      <c r="B75" s="10">
        <v>43953</v>
      </c>
      <c r="C75" s="4">
        <v>68</v>
      </c>
      <c r="F75" s="11">
        <f t="shared" si="5"/>
        <v>286996.20145500929</v>
      </c>
      <c r="G75" s="11">
        <f t="shared" si="6"/>
        <v>3395.7892259192886</v>
      </c>
    </row>
    <row r="76" spans="2:7" x14ac:dyDescent="0.3">
      <c r="B76" s="10">
        <v>43954</v>
      </c>
      <c r="C76" s="4">
        <v>69</v>
      </c>
      <c r="F76" s="11">
        <f t="shared" si="5"/>
        <v>290260.2055595346</v>
      </c>
      <c r="G76" s="11">
        <f t="shared" si="6"/>
        <v>3264.0041045253165</v>
      </c>
    </row>
    <row r="77" spans="2:7" x14ac:dyDescent="0.3">
      <c r="B77" s="10">
        <v>43955</v>
      </c>
      <c r="C77" s="4">
        <v>70</v>
      </c>
      <c r="F77" s="11">
        <f t="shared" si="5"/>
        <v>293395.72274212976</v>
      </c>
      <c r="G77" s="11">
        <f t="shared" si="6"/>
        <v>3135.5171825951547</v>
      </c>
    </row>
    <row r="78" spans="2:7" x14ac:dyDescent="0.3">
      <c r="B78" s="10">
        <v>43956</v>
      </c>
      <c r="C78" s="4">
        <v>71</v>
      </c>
      <c r="F78" s="11">
        <f t="shared" si="5"/>
        <v>296406.1541755654</v>
      </c>
      <c r="G78" s="11">
        <f t="shared" si="6"/>
        <v>3010.4314334356459</v>
      </c>
    </row>
    <row r="79" spans="2:7" x14ac:dyDescent="0.3">
      <c r="B79" s="10">
        <v>43957</v>
      </c>
      <c r="C79" s="4">
        <v>72</v>
      </c>
      <c r="F79" s="11">
        <f t="shared" si="5"/>
        <v>299294.97949994489</v>
      </c>
      <c r="G79" s="11">
        <f t="shared" si="6"/>
        <v>2888.8253243794898</v>
      </c>
    </row>
    <row r="80" spans="2:7" x14ac:dyDescent="0.3">
      <c r="B80" s="10">
        <v>43958</v>
      </c>
      <c r="C80" s="4">
        <v>73</v>
      </c>
      <c r="F80" s="11">
        <f t="shared" si="5"/>
        <v>302065.73458833079</v>
      </c>
      <c r="G80" s="11">
        <f t="shared" si="6"/>
        <v>2770.755088385893</v>
      </c>
    </row>
    <row r="81" spans="2:7" x14ac:dyDescent="0.3">
      <c r="B81" s="10">
        <v>43959</v>
      </c>
      <c r="C81" s="4">
        <v>74</v>
      </c>
      <c r="F81" s="11">
        <f t="shared" si="5"/>
        <v>304721.99146812537</v>
      </c>
      <c r="G81" s="11">
        <f t="shared" si="6"/>
        <v>2656.256879794586</v>
      </c>
    </row>
    <row r="82" spans="2:7" x14ac:dyDescent="0.3">
      <c r="B82" s="10">
        <v>43960</v>
      </c>
      <c r="C82" s="4">
        <v>75</v>
      </c>
      <c r="F82" s="11">
        <f t="shared" si="5"/>
        <v>307267.3402774756</v>
      </c>
      <c r="G82" s="11">
        <f t="shared" si="6"/>
        <v>2545.3488093502237</v>
      </c>
    </row>
    <row r="83" spans="2:7" x14ac:dyDescent="0.3">
      <c r="B83" s="10">
        <v>43961</v>
      </c>
      <c r="C83" s="4">
        <v>76</v>
      </c>
      <c r="F83" s="11">
        <f t="shared" si="5"/>
        <v>309705.37313339423</v>
      </c>
      <c r="G83" s="11">
        <f t="shared" si="6"/>
        <v>2438.032855918631</v>
      </c>
    </row>
    <row r="84" spans="2:7" x14ac:dyDescent="0.3">
      <c r="B84" s="10">
        <v>43962</v>
      </c>
      <c r="C84" s="4">
        <v>77</v>
      </c>
      <c r="F84" s="11">
        <f t="shared" si="5"/>
        <v>312039.66978762706</v>
      </c>
      <c r="G84" s="11">
        <f t="shared" si="6"/>
        <v>2334.2966542328359</v>
      </c>
    </row>
    <row r="85" spans="2:7" x14ac:dyDescent="0.3">
      <c r="B85" s="10">
        <v>43963</v>
      </c>
      <c r="C85" s="4">
        <v>78</v>
      </c>
      <c r="F85" s="11">
        <f t="shared" si="5"/>
        <v>314273.78494722606</v>
      </c>
      <c r="G85" s="11">
        <f t="shared" si="6"/>
        <v>2234.1151595989941</v>
      </c>
    </row>
    <row r="86" spans="2:7" x14ac:dyDescent="0.3">
      <c r="B86" s="10">
        <v>43964</v>
      </c>
      <c r="C86" s="4">
        <v>79</v>
      </c>
      <c r="F86" s="11">
        <f t="shared" si="5"/>
        <v>316411.2371390076</v>
      </c>
      <c r="G86" s="11">
        <f t="shared" si="6"/>
        <v>2137.4521917815437</v>
      </c>
    </row>
    <row r="87" spans="2:7" x14ac:dyDescent="0.3">
      <c r="B87" s="10">
        <v>43965</v>
      </c>
      <c r="C87" s="4">
        <v>80</v>
      </c>
      <c r="F87" s="11">
        <f t="shared" si="5"/>
        <v>318455.49900032626</v>
      </c>
      <c r="G87" s="11">
        <f t="shared" si="6"/>
        <v>2044.2618613186642</v>
      </c>
    </row>
    <row r="88" spans="2:7" x14ac:dyDescent="0.3">
      <c r="B88" s="10">
        <v>43966</v>
      </c>
      <c r="C88" s="4">
        <v>81</v>
      </c>
      <c r="F88" s="11">
        <f t="shared" si="5"/>
        <v>320409.98888264789</v>
      </c>
      <c r="G88" s="11">
        <f t="shared" si="6"/>
        <v>1954.4898823216208</v>
      </c>
    </row>
    <row r="89" spans="2:7" x14ac:dyDescent="0.3">
      <c r="B89" s="10">
        <v>43967</v>
      </c>
      <c r="C89" s="4">
        <v>82</v>
      </c>
      <c r="F89" s="11">
        <f t="shared" si="5"/>
        <v>322278.06365906808</v>
      </c>
      <c r="G89" s="11">
        <f t="shared" si="6"/>
        <v>1868.0747764201951</v>
      </c>
    </row>
    <row r="90" spans="2:7" x14ac:dyDescent="0.3">
      <c r="B90" s="10">
        <v>43968</v>
      </c>
      <c r="C90" s="4">
        <v>83</v>
      </c>
      <c r="F90" s="11">
        <f t="shared" si="5"/>
        <v>324063.01263202343</v>
      </c>
      <c r="G90" s="11">
        <f t="shared" si="6"/>
        <v>1784.9489729553461</v>
      </c>
    </row>
    <row r="91" spans="2:7" x14ac:dyDescent="0.3">
      <c r="B91" s="10">
        <v>43969</v>
      </c>
      <c r="C91" s="4">
        <v>84</v>
      </c>
      <c r="F91" s="11">
        <f t="shared" si="5"/>
        <v>325768.05244283745</v>
      </c>
      <c r="G91" s="11">
        <f t="shared" si="6"/>
        <v>1705.0398108140216</v>
      </c>
    </row>
    <row r="92" spans="2:7" x14ac:dyDescent="0.3">
      <c r="B92" s="10">
        <v>43970</v>
      </c>
      <c r="C92" s="4">
        <v>85</v>
      </c>
      <c r="F92" s="11">
        <f t="shared" si="5"/>
        <v>327396.32289031794</v>
      </c>
      <c r="G92" s="11">
        <f t="shared" si="6"/>
        <v>1628.2704474804923</v>
      </c>
    </row>
    <row r="93" spans="2:7" x14ac:dyDescent="0.3">
      <c r="B93" s="10">
        <v>43971</v>
      </c>
      <c r="C93" s="4">
        <v>86</v>
      </c>
      <c r="F93" s="11">
        <f t="shared" si="5"/>
        <v>328950.88357126701</v>
      </c>
      <c r="G93" s="11">
        <f t="shared" si="6"/>
        <v>1554.560680949071</v>
      </c>
    </row>
    <row r="94" spans="2:7" x14ac:dyDescent="0.3">
      <c r="B94" s="10">
        <v>43972</v>
      </c>
      <c r="C94" s="4">
        <v>87</v>
      </c>
      <c r="F94" s="11">
        <f t="shared" si="5"/>
        <v>330434.71126140823</v>
      </c>
      <c r="G94" s="11">
        <f t="shared" si="6"/>
        <v>1483.8276901412173</v>
      </c>
    </row>
    <row r="95" spans="2:7" x14ac:dyDescent="0.3">
      <c r="B95" s="10">
        <v>43973</v>
      </c>
      <c r="C95" s="4">
        <v>88</v>
      </c>
      <c r="F95" s="11">
        <f t="shared" si="5"/>
        <v>331850.69796079886</v>
      </c>
      <c r="G95" s="11">
        <f t="shared" si="6"/>
        <v>1415.9866993906326</v>
      </c>
    </row>
    <row r="96" spans="2:7" x14ac:dyDescent="0.3">
      <c r="B96" s="10">
        <v>43974</v>
      </c>
      <c r="C96" s="4">
        <v>89</v>
      </c>
      <c r="F96" s="11">
        <f t="shared" si="5"/>
        <v>333201.64953323593</v>
      </c>
      <c r="G96" s="11">
        <f t="shared" si="6"/>
        <v>1350.9515724370722</v>
      </c>
    </row>
    <row r="97" spans="2:7" x14ac:dyDescent="0.3">
      <c r="B97" s="10">
        <v>43975</v>
      </c>
      <c r="C97" s="4">
        <v>90</v>
      </c>
      <c r="F97" s="11">
        <f t="shared" si="5"/>
        <v>334490.28487443441</v>
      </c>
      <c r="G97" s="11">
        <f t="shared" si="6"/>
        <v>1288.6353411984746</v>
      </c>
    </row>
    <row r="98" spans="2:7" x14ac:dyDescent="0.3">
      <c r="B98" s="10">
        <v>43976</v>
      </c>
      <c r="C98" s="4">
        <v>91</v>
      </c>
      <c r="F98" s="11">
        <f t="shared" si="5"/>
        <v>335719.23554882355</v>
      </c>
      <c r="G98" s="11">
        <f t="shared" si="6"/>
        <v>1228.9506743891397</v>
      </c>
    </row>
    <row r="99" spans="2:7" x14ac:dyDescent="0.3">
      <c r="B99" s="10">
        <v>43977</v>
      </c>
      <c r="C99" s="4">
        <v>92</v>
      </c>
      <c r="F99" s="11">
        <f t="shared" si="5"/>
        <v>336891.04583965411</v>
      </c>
      <c r="G99" s="11">
        <f t="shared" si="6"/>
        <v>1171.8102908305591</v>
      </c>
    </row>
    <row r="100" spans="2:7" x14ac:dyDescent="0.3">
      <c r="B100" s="10">
        <v>43978</v>
      </c>
      <c r="C100" s="4">
        <v>93</v>
      </c>
      <c r="F100" s="11">
        <f t="shared" si="5"/>
        <v>338008.17316171498</v>
      </c>
      <c r="G100" s="11">
        <f t="shared" si="6"/>
        <v>1117.1273220608709</v>
      </c>
    </row>
    <row r="101" spans="2:7" x14ac:dyDescent="0.3">
      <c r="B101" s="10">
        <v>43979</v>
      </c>
      <c r="C101" s="4">
        <v>94</v>
      </c>
      <c r="F101" s="11">
        <f t="shared" si="5"/>
        <v>339072.98879031162</v>
      </c>
      <c r="G101" s="11">
        <f t="shared" si="6"/>
        <v>1064.8156285966397</v>
      </c>
    </row>
    <row r="102" spans="2:7" x14ac:dyDescent="0.3">
      <c r="B102" s="10">
        <v>43980</v>
      </c>
      <c r="C102" s="4">
        <v>95</v>
      </c>
      <c r="F102" s="11">
        <f t="shared" si="5"/>
        <v>340087.77886426239</v>
      </c>
      <c r="G102" s="11">
        <f t="shared" si="6"/>
        <v>1014.790073950775</v>
      </c>
    </row>
    <row r="103" spans="2:7" x14ac:dyDescent="0.3">
      <c r="B103" s="10">
        <v>43981</v>
      </c>
      <c r="C103" s="4">
        <v>96</v>
      </c>
      <c r="F103" s="11">
        <f t="shared" si="5"/>
        <v>341054.74562451331</v>
      </c>
      <c r="G103" s="11">
        <f t="shared" si="6"/>
        <v>966.96676025091438</v>
      </c>
    </row>
    <row r="104" spans="2:7" x14ac:dyDescent="0.3">
      <c r="B104" s="10">
        <v>43982</v>
      </c>
      <c r="C104" s="4">
        <v>97</v>
      </c>
      <c r="F104" s="11">
        <f t="shared" si="5"/>
        <v>341976.00885356619</v>
      </c>
      <c r="G104" s="11">
        <f t="shared" si="6"/>
        <v>921.26322905288544</v>
      </c>
    </row>
    <row r="105" spans="2:7" x14ac:dyDescent="0.3">
      <c r="B105" s="10">
        <v>43983</v>
      </c>
      <c r="C105" s="4">
        <v>98</v>
      </c>
      <c r="F105" s="11">
        <f t="shared" si="5"/>
        <v>342853.60748425801</v>
      </c>
      <c r="G105" s="11">
        <f t="shared" si="6"/>
        <v>877.59863069182029</v>
      </c>
    </row>
    <row r="106" spans="2:7" x14ac:dyDescent="0.3">
      <c r="B106" s="10">
        <v>43984</v>
      </c>
      <c r="C106" s="4">
        <v>99</v>
      </c>
      <c r="F106" s="11">
        <f t="shared" si="5"/>
        <v>343689.50134953758</v>
      </c>
      <c r="G106" s="11">
        <f t="shared" si="6"/>
        <v>835.89386527956231</v>
      </c>
    </row>
    <row r="107" spans="2:7" x14ac:dyDescent="0.3">
      <c r="B107" s="10">
        <v>43985</v>
      </c>
      <c r="C107" s="4">
        <v>100</v>
      </c>
      <c r="F107" s="11">
        <f t="shared" si="5"/>
        <v>344485.57304775523</v>
      </c>
      <c r="G107" s="11">
        <f t="shared" si="6"/>
        <v>796.07169821765274</v>
      </c>
    </row>
    <row r="108" spans="2:7" x14ac:dyDescent="0.3">
      <c r="B108" s="10">
        <v>43986</v>
      </c>
      <c r="C108" s="4">
        <v>101</v>
      </c>
      <c r="F108" s="11">
        <f t="shared" si="5"/>
        <v>345243.62990063347</v>
      </c>
      <c r="G108" s="11">
        <f t="shared" si="6"/>
        <v>758.05685287824599</v>
      </c>
    </row>
    <row r="109" spans="2:7" x14ac:dyDescent="0.3">
      <c r="B109" s="10">
        <v>43987</v>
      </c>
      <c r="C109" s="4">
        <v>102</v>
      </c>
      <c r="F109" s="11">
        <f t="shared" si="5"/>
        <v>345965.40598352556</v>
      </c>
      <c r="G109" s="11">
        <f t="shared" si="6"/>
        <v>721.77608289208729</v>
      </c>
    </row>
    <row r="110" spans="2:7" x14ac:dyDescent="0.3">
      <c r="B110" s="10">
        <v>43988</v>
      </c>
      <c r="C110" s="4">
        <v>103</v>
      </c>
      <c r="F110" s="11">
        <f t="shared" si="5"/>
        <v>346652.56420980784</v>
      </c>
      <c r="G110" s="11">
        <f t="shared" si="6"/>
        <v>687.15822628227761</v>
      </c>
    </row>
    <row r="111" spans="2:7" x14ac:dyDescent="0.3">
      <c r="B111" s="10">
        <v>43989</v>
      </c>
      <c r="C111" s="4">
        <v>104</v>
      </c>
      <c r="F111" s="11">
        <f t="shared" si="5"/>
        <v>347306.69845330273</v>
      </c>
      <c r="G111" s="11">
        <f t="shared" si="6"/>
        <v>654.13424349488923</v>
      </c>
    </row>
    <row r="112" spans="2:7" x14ac:dyDescent="0.3">
      <c r="B112" s="10">
        <v>43990</v>
      </c>
      <c r="C112" s="4">
        <v>105</v>
      </c>
      <c r="F112" s="11">
        <f t="shared" si="5"/>
        <v>347929.33569450019</v>
      </c>
      <c r="G112" s="11">
        <f t="shared" si="6"/>
        <v>622.63724119745893</v>
      </c>
    </row>
    <row r="113" spans="2:7" x14ac:dyDescent="0.3">
      <c r="B113" s="10">
        <v>43991</v>
      </c>
      <c r="C113" s="4">
        <v>106</v>
      </c>
      <c r="F113" s="11">
        <f t="shared" si="5"/>
        <v>348521.9381780551</v>
      </c>
      <c r="G113" s="11">
        <f t="shared" si="6"/>
        <v>592.60248355491785</v>
      </c>
    </row>
    <row r="114" spans="2:7" x14ac:dyDescent="0.3">
      <c r="B114" s="10">
        <v>43992</v>
      </c>
      <c r="C114" s="4">
        <v>107</v>
      </c>
      <c r="F114" s="11">
        <f t="shared" si="5"/>
        <v>349085.90557058726</v>
      </c>
      <c r="G114" s="11">
        <f t="shared" si="6"/>
        <v>563.96739253215492</v>
      </c>
    </row>
    <row r="115" spans="2:7" x14ac:dyDescent="0.3">
      <c r="B115" s="10">
        <v>43993</v>
      </c>
      <c r="C115" s="4">
        <v>108</v>
      </c>
      <c r="F115" s="11">
        <f t="shared" si="5"/>
        <v>349622.57710922166</v>
      </c>
      <c r="G115" s="11">
        <f t="shared" si="6"/>
        <v>536.67153863440035</v>
      </c>
    </row>
    <row r="116" spans="2:7" x14ac:dyDescent="0.3">
      <c r="B116" s="10">
        <v>43994</v>
      </c>
      <c r="C116" s="4">
        <v>109</v>
      </c>
      <c r="F116" s="11">
        <f t="shared" si="5"/>
        <v>350133.23373257945</v>
      </c>
      <c r="G116" s="11">
        <f t="shared" si="6"/>
        <v>510.65662335779052</v>
      </c>
    </row>
    <row r="117" spans="2:7" x14ac:dyDescent="0.3">
      <c r="B117" s="10">
        <v>43995</v>
      </c>
      <c r="C117" s="4">
        <v>110</v>
      </c>
      <c r="F117" s="11">
        <f t="shared" si="5"/>
        <v>350619.10018708243</v>
      </c>
      <c r="G117" s="11">
        <f t="shared" si="6"/>
        <v>485.8664545029751</v>
      </c>
    </row>
    <row r="118" spans="2:7" x14ac:dyDescent="0.3">
      <c r="B118" s="10">
        <v>43996</v>
      </c>
      <c r="C118" s="4">
        <v>111</v>
      </c>
      <c r="F118" s="11">
        <f t="shared" si="5"/>
        <v>351081.34710247139</v>
      </c>
      <c r="G118" s="11">
        <f t="shared" si="6"/>
        <v>462.24691538896877</v>
      </c>
    </row>
    <row r="119" spans="2:7" x14ac:dyDescent="0.3">
      <c r="B119" s="10">
        <v>43997</v>
      </c>
      <c r="C119" s="4">
        <v>112</v>
      </c>
      <c r="F119" s="11">
        <f t="shared" si="5"/>
        <v>351521.09303137194</v>
      </c>
      <c r="G119" s="11">
        <f t="shared" si="6"/>
        <v>439.74592890054919</v>
      </c>
    </row>
    <row r="120" spans="2:7" x14ac:dyDescent="0.3">
      <c r="B120" s="10">
        <v>43998</v>
      </c>
      <c r="C120" s="4">
        <v>113</v>
      </c>
      <c r="F120" s="11">
        <f t="shared" si="5"/>
        <v>351939.40644857823</v>
      </c>
      <c r="G120" s="11">
        <f t="shared" si="6"/>
        <v>418.31341720628552</v>
      </c>
    </row>
    <row r="121" spans="2:7" x14ac:dyDescent="0.3">
      <c r="B121" s="10">
        <v>43999</v>
      </c>
      <c r="C121" s="4">
        <v>114</v>
      </c>
      <c r="F121" s="11">
        <f t="shared" si="5"/>
        <v>352337.30770647258</v>
      </c>
      <c r="G121" s="11">
        <f t="shared" si="6"/>
        <v>397.90125789435115</v>
      </c>
    </row>
    <row r="122" spans="2:7" x14ac:dyDescent="0.3">
      <c r="B122" s="10">
        <v>44000</v>
      </c>
      <c r="C122" s="4">
        <v>115</v>
      </c>
      <c r="F122" s="11">
        <f t="shared" si="5"/>
        <v>352715.77094366972</v>
      </c>
      <c r="G122" s="11">
        <f t="shared" si="6"/>
        <v>378.46323719713837</v>
      </c>
    </row>
    <row r="123" spans="2:7" x14ac:dyDescent="0.3">
      <c r="B123" s="10">
        <v>44001</v>
      </c>
      <c r="C123" s="4">
        <v>116</v>
      </c>
      <c r="F123" s="11">
        <f t="shared" si="5"/>
        <v>353075.72594456695</v>
      </c>
      <c r="G123" s="11">
        <f t="shared" si="6"/>
        <v>359.95500089722918</v>
      </c>
    </row>
    <row r="124" spans="2:7" x14ac:dyDescent="0.3">
      <c r="B124" s="10">
        <v>44002</v>
      </c>
      <c r="C124" s="4">
        <v>117</v>
      </c>
      <c r="F124" s="11">
        <f t="shared" si="5"/>
        <v>353418.05994801043</v>
      </c>
      <c r="G124" s="11">
        <f t="shared" si="6"/>
        <v>342.33400344348047</v>
      </c>
    </row>
    <row r="125" spans="2:7" x14ac:dyDescent="0.3">
      <c r="B125" s="10">
        <v>44003</v>
      </c>
      <c r="C125" s="4">
        <v>118</v>
      </c>
      <c r="F125" s="11">
        <f t="shared" si="5"/>
        <v>353743.61940375401</v>
      </c>
      <c r="G125" s="11">
        <f t="shared" si="6"/>
        <v>325.55945574358338</v>
      </c>
    </row>
    <row r="126" spans="2:7" x14ac:dyDescent="0.3">
      <c r="B126" s="10">
        <v>44004</v>
      </c>
      <c r="C126" s="4">
        <v>119</v>
      </c>
      <c r="F126" s="11">
        <f t="shared" si="5"/>
        <v>354053.21167580091</v>
      </c>
      <c r="G126" s="11">
        <f t="shared" si="6"/>
        <v>309.59227204689523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27</vt:i4>
      </vt:variant>
    </vt:vector>
  </HeadingPairs>
  <TitlesOfParts>
    <vt:vector size="30" baseType="lpstr">
      <vt:lpstr>dpc-covid-19-ita-andamento-naz</vt:lpstr>
      <vt:lpstr>Cumul_ confirmed - Gompertz fit</vt:lpstr>
      <vt:lpstr>New_ confirmed - Gompertz fit</vt:lpstr>
      <vt:lpstr>CI</vt:lpstr>
      <vt:lpstr>CIh</vt:lpstr>
      <vt:lpstr>CIn</vt:lpstr>
      <vt:lpstr>Critical_t</vt:lpstr>
      <vt:lpstr>Critical_th</vt:lpstr>
      <vt:lpstr>Critical_tn</vt:lpstr>
      <vt:lpstr>df</vt:lpstr>
      <vt:lpstr>dfh</vt:lpstr>
      <vt:lpstr>dfn</vt:lpstr>
      <vt:lpstr>K</vt:lpstr>
      <vt:lpstr>Kh</vt:lpstr>
      <vt:lpstr>Kn</vt:lpstr>
      <vt:lpstr>Mean_of_y</vt:lpstr>
      <vt:lpstr>Mean_of_yh</vt:lpstr>
      <vt:lpstr>Mean_of_yn</vt:lpstr>
      <vt:lpstr>RSQ</vt:lpstr>
      <vt:lpstr>RSQh</vt:lpstr>
      <vt:lpstr>RSQn</vt:lpstr>
      <vt:lpstr>SE_of_y</vt:lpstr>
      <vt:lpstr>SE_of_yh</vt:lpstr>
      <vt:lpstr>SE_of_yn</vt:lpstr>
      <vt:lpstr>t0</vt:lpstr>
      <vt:lpstr>t0h</vt:lpstr>
      <vt:lpstr>t0n</vt:lpstr>
      <vt:lpstr>w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2020-03-29T00:34:39Z</dcterms:modified>
</cp:coreProperties>
</file>