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COVID-19\"/>
    </mc:Choice>
  </mc:AlternateContent>
  <xr:revisionPtr revIDLastSave="0" documentId="13_ncr:1_{7722ABB6-CDD6-4378-AD8C-B08EB65AC0A5}" xr6:coauthVersionLast="45" xr6:coauthVersionMax="45" xr10:uidLastSave="{00000000-0000-0000-0000-000000000000}"/>
  <bookViews>
    <workbookView xWindow="-108" yWindow="-108" windowWidth="23256" windowHeight="12576" activeTab="2" xr2:uid="{00000000-000D-0000-FFFF-FFFF00000000}"/>
  </bookViews>
  <sheets>
    <sheet name="dpc-covid19-ita-andamento-naz" sheetId="18" r:id="rId1"/>
    <sheet name="dpc-covid19-ita-regioni" sheetId="20" r:id="rId2"/>
    <sheet name="Cumul_deaths - Gompertz" sheetId="22" r:id="rId3"/>
    <sheet name="New_deaths - Gompertz" sheetId="23" r:id="rId4"/>
  </sheets>
  <definedNames>
    <definedName name="_xlcn.WorksheetConnection_COVID19ItalycasestrendBfit.xlsxdpc_covid19_ita_andamento_nazionale1" hidden="1">dpc_covid19_ita_andamento_nazionale</definedName>
    <definedName name="CI">'Cumul_deaths - Gompertz'!$Z$16</definedName>
    <definedName name="CIa">'New_deaths - Gompertz'!$AF$40</definedName>
    <definedName name="CIf">'New_deaths - Gompertz'!$AF$52</definedName>
    <definedName name="CIl">'New_deaths - Gompertz'!$AF$28</definedName>
    <definedName name="CIo">'Cumul_deaths - Gompertz'!$Z$38</definedName>
    <definedName name="CIr">'Cumul_deaths - Gompertz'!$Z$27</definedName>
    <definedName name="CIt">'Cumul_deaths - Gompertz'!$Z$49</definedName>
    <definedName name="CIw">'New_deaths - Gompertz'!$AF$16</definedName>
    <definedName name="Critical_t">'Cumul_deaths - Gompertz'!$Z$15</definedName>
    <definedName name="Critical_ta">'New_deaths - Gompertz'!$AF$39</definedName>
    <definedName name="Critical_tf">'New_deaths - Gompertz'!$AF$51</definedName>
    <definedName name="Critical_tl">'New_deaths - Gompertz'!$AF$27</definedName>
    <definedName name="Critical_to">'Cumul_deaths - Gompertz'!$Z$37</definedName>
    <definedName name="Critical_tr">'Cumul_deaths - Gompertz'!$Z$26</definedName>
    <definedName name="Critical_tt">'Cumul_deaths - Gompertz'!$Z$48</definedName>
    <definedName name="Critical_tw">'New_deaths - Gompertz'!$AF$15</definedName>
    <definedName name="DatiEsterni_1" localSheetId="0" hidden="1">'dpc-covid19-ita-andamento-naz'!$A$1:$O$50</definedName>
    <definedName name="DatiEsterni_1" localSheetId="1" hidden="1">'dpc-covid19-ita-regioni'!$A$1:$S$1030</definedName>
    <definedName name="DatiEsterni_2" localSheetId="0" hidden="1">'dpc-covid19-ita-andamento-naz'!#REF!</definedName>
    <definedName name="df">'Cumul_deaths - Gompertz'!$Z$12</definedName>
    <definedName name="dfa">'New_deaths - Gompertz'!$AF$36</definedName>
    <definedName name="dff">'New_deaths - Gompertz'!$AF$48</definedName>
    <definedName name="dfl">'New_deaths - Gompertz'!$AF$24</definedName>
    <definedName name="dfo">'Cumul_deaths - Gompertz'!$Z$34</definedName>
    <definedName name="dfr">'Cumul_deaths - Gompertz'!$Z$23</definedName>
    <definedName name="dft">'Cumul_deaths - Gompertz'!$Z$45</definedName>
    <definedName name="dfw">'New_deaths - Gompertz'!$AF$12</definedName>
    <definedName name="Ka">'New_deaths - Gompertz'!$AF$32</definedName>
    <definedName name="Kf">'New_deaths - Gompertz'!$AF$44</definedName>
    <definedName name="Kl">'New_deaths - Gompertz'!$AF$20</definedName>
    <definedName name="Ko">'Cumul_deaths - Gompertz'!$Z$30</definedName>
    <definedName name="Kr">'Cumul_deaths - Gompertz'!$Z$19</definedName>
    <definedName name="Kt">'Cumul_deaths - Gompertz'!$Z$41</definedName>
    <definedName name="Mean_of_y">'Cumul_deaths - Gompertz'!$Z$11</definedName>
    <definedName name="Mean_of_ya">'New_deaths - Gompertz'!$AF$35</definedName>
    <definedName name="Mean_of_yf">'New_deaths - Gompertz'!$AF$47</definedName>
    <definedName name="Mean_of_yl">'New_deaths - Gompertz'!$AF$23</definedName>
    <definedName name="Mean_of_yo">'Cumul_deaths - Gompertz'!$Z$33</definedName>
    <definedName name="Mean_of_yr">'Cumul_deaths - Gompertz'!$Z$22</definedName>
    <definedName name="Mean_of_yt">'Cumul_deaths - Gompertz'!$Z$44</definedName>
    <definedName name="Mean_of_yw">'New_deaths - Gompertz'!$AF$11</definedName>
    <definedName name="Peak_w">'New_deaths - Gompertz'!$AF$17</definedName>
    <definedName name="RSQ">'Cumul_deaths - Gompertz'!$Z$14</definedName>
    <definedName name="RSQa">'New_deaths - Gompertz'!$AF$38</definedName>
    <definedName name="RSQf">'New_deaths - Gompertz'!$AF$50</definedName>
    <definedName name="RSQl">'New_deaths - Gompertz'!$AF$26</definedName>
    <definedName name="RSQo">'Cumul_deaths - Gompertz'!$Z$36</definedName>
    <definedName name="RSQr">'Cumul_deaths - Gompertz'!$Z$25</definedName>
    <definedName name="RSQt">'Cumul_deaths - Gompertz'!$Z$47</definedName>
    <definedName name="RSQw">'New_deaths - Gompertz'!$AF$14</definedName>
    <definedName name="SE_of_y">'Cumul_deaths - Gompertz'!$Z$13</definedName>
    <definedName name="SE_of_ya">'New_deaths - Gompertz'!$AF$37</definedName>
    <definedName name="SE_of_yf">'New_deaths - Gompertz'!$AF$49</definedName>
    <definedName name="SE_of_yl">'New_deaths - Gompertz'!$AF$25</definedName>
    <definedName name="SE_of_yo">'Cumul_deaths - Gompertz'!$Z$35</definedName>
    <definedName name="SE_of_yr">'Cumul_deaths - Gompertz'!$Z$24</definedName>
    <definedName name="SE_of_yt">'Cumul_deaths - Gompertz'!$Z$46</definedName>
    <definedName name="SE_of_yw">'New_deaths - Gompertz'!$AF$13</definedName>
    <definedName name="solver_adj" localSheetId="2" hidden="1">'Cumul_deaths - Gompertz'!$Z$41,'Cumul_deaths - Gompertz'!$Z$42,'Cumul_deaths - Gompertz'!$Z$43</definedName>
    <definedName name="solver_cvg" localSheetId="2" hidden="1">0.0001</definedName>
    <definedName name="solver_drv" localSheetId="2" hidden="1">2</definedName>
    <definedName name="solver_eng" localSheetId="2" hidden="1">1</definedName>
    <definedName name="solver_est" localSheetId="2" hidden="1">1</definedName>
    <definedName name="solver_itr" localSheetId="2" hidden="1">2147483647</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'Cumul_deaths - Gompertz'!$Z$47</definedName>
    <definedName name="solver_pre" localSheetId="2" hidden="1">0.000001</definedName>
    <definedName name="solver_rbv" localSheetId="2" hidden="1">2</definedName>
    <definedName name="solver_rlx" localSheetId="2" hidden="1">2</definedName>
    <definedName name="solver_rsd" localSheetId="2" hidden="1">0</definedName>
    <definedName name="solver_scl" localSheetId="2" hidden="1">2</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t0a">'New_deaths - Gompertz'!$AF$33</definedName>
    <definedName name="t0f">'New_deaths - Gompertz'!$AF$45</definedName>
    <definedName name="t0l">'New_deaths - Gompertz'!$AF$21</definedName>
    <definedName name="t0o">'Cumul_deaths - Gompertz'!$Z$31</definedName>
    <definedName name="t0r">'Cumul_deaths - Gompertz'!$Z$20</definedName>
    <definedName name="t0t">'Cumul_deaths - Gompertz'!$Z$42</definedName>
    <definedName name="wa">'New_deaths - Gompertz'!$AF$34</definedName>
    <definedName name="wf">'New_deaths - Gompertz'!$AF$46</definedName>
    <definedName name="wl">'New_deaths - Gompertz'!$AF$22</definedName>
    <definedName name="wo">'Cumul_deaths - Gompertz'!$Z$32</definedName>
    <definedName name="wr">'Cumul_deaths - Gompertz'!$Z$21</definedName>
    <definedName name="wt">'Cumul_deaths - Gompertz'!$Z$43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pc_covid19_ita_andamento_nazionale" name="dpc_covid19_ita_andamento_nazionale" connection="WorksheetConnection_COVID-19 Italy cases trend - B fit.xlsx!dpc_covid19_ita_andamento_naziona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41" i="22" l="1"/>
  <c r="AN40" i="22"/>
  <c r="AN39" i="22"/>
  <c r="AN31" i="22"/>
  <c r="AN30" i="22"/>
  <c r="AN29" i="22"/>
  <c r="AN21" i="22"/>
  <c r="AN20" i="22"/>
  <c r="AN19" i="22"/>
  <c r="P8" i="23" l="1"/>
  <c r="P9" i="23"/>
  <c r="P10" i="23"/>
  <c r="P11" i="23"/>
  <c r="P12" i="23"/>
  <c r="P13" i="23"/>
  <c r="P14" i="23"/>
  <c r="P15" i="23"/>
  <c r="P16" i="23"/>
  <c r="P17" i="23"/>
  <c r="P18" i="23"/>
  <c r="P19" i="23"/>
  <c r="P20" i="23"/>
  <c r="P21" i="23"/>
  <c r="P22" i="23"/>
  <c r="P23" i="23"/>
  <c r="P24" i="23"/>
  <c r="P25" i="23"/>
  <c r="P26" i="23"/>
  <c r="P27" i="23"/>
  <c r="P28" i="23"/>
  <c r="P29" i="23"/>
  <c r="P30" i="23"/>
  <c r="P31" i="23"/>
  <c r="P32" i="23"/>
  <c r="P33" i="23"/>
  <c r="P34" i="23"/>
  <c r="P35" i="23"/>
  <c r="P36" i="23"/>
  <c r="P37" i="23"/>
  <c r="P38" i="23"/>
  <c r="P39" i="23"/>
  <c r="P40" i="23"/>
  <c r="P41" i="23"/>
  <c r="P42" i="23"/>
  <c r="P43" i="23"/>
  <c r="P44" i="23"/>
  <c r="P45" i="23"/>
  <c r="P46" i="23"/>
  <c r="P47" i="23"/>
  <c r="P48" i="23"/>
  <c r="P49" i="23"/>
  <c r="P50" i="23"/>
  <c r="P51" i="23"/>
  <c r="P52" i="23"/>
  <c r="P53" i="23"/>
  <c r="P54" i="23"/>
  <c r="P55" i="23"/>
  <c r="P56" i="23"/>
  <c r="P57" i="23"/>
  <c r="P58" i="23"/>
  <c r="P59" i="23"/>
  <c r="P60" i="23"/>
  <c r="P61" i="23"/>
  <c r="P62" i="23"/>
  <c r="P63" i="23"/>
  <c r="P64" i="23"/>
  <c r="P65" i="23"/>
  <c r="P66" i="23"/>
  <c r="P67" i="23"/>
  <c r="P68" i="23"/>
  <c r="P69" i="23"/>
  <c r="P70" i="23"/>
  <c r="P71" i="23"/>
  <c r="P72" i="23"/>
  <c r="P73" i="23"/>
  <c r="P74" i="23"/>
  <c r="P75" i="23"/>
  <c r="P76" i="23"/>
  <c r="P77" i="23"/>
  <c r="P78" i="23"/>
  <c r="AF23" i="23"/>
  <c r="AF11" i="23"/>
  <c r="AF46" i="23"/>
  <c r="AF45" i="23"/>
  <c r="AF44" i="23"/>
  <c r="AF34" i="23"/>
  <c r="AF33" i="23"/>
  <c r="AF42" i="23" s="1"/>
  <c r="AF32" i="23"/>
  <c r="AF22" i="23"/>
  <c r="AF21" i="23"/>
  <c r="AF20" i="23"/>
  <c r="W54" i="23"/>
  <c r="W55" i="23"/>
  <c r="W56" i="23"/>
  <c r="V55" i="23"/>
  <c r="V56" i="23"/>
  <c r="O54" i="23"/>
  <c r="O55" i="23"/>
  <c r="O56"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Z17" i="22"/>
  <c r="AF53" i="23" l="1"/>
  <c r="I13" i="23"/>
  <c r="I12" i="23"/>
  <c r="I74" i="23"/>
  <c r="I72" i="23"/>
  <c r="I62" i="23"/>
  <c r="I14" i="23"/>
  <c r="I50" i="23"/>
  <c r="I38" i="23"/>
  <c r="I36" i="23"/>
  <c r="I24" i="23"/>
  <c r="I60" i="23"/>
  <c r="I48" i="23"/>
  <c r="I26" i="23"/>
  <c r="Z10" i="23"/>
  <c r="Y42" i="23"/>
  <c r="Y48" i="23"/>
  <c r="Y36" i="23"/>
  <c r="Y24" i="23"/>
  <c r="Y72" i="23"/>
  <c r="Y60" i="23"/>
  <c r="Q24" i="23"/>
  <c r="Q12" i="23"/>
  <c r="Q61" i="23"/>
  <c r="R35" i="23"/>
  <c r="R11" i="23"/>
  <c r="Q71" i="23"/>
  <c r="Q35" i="23"/>
  <c r="Q23" i="23"/>
  <c r="Q11" i="23"/>
  <c r="Y70" i="23"/>
  <c r="Y58" i="23"/>
  <c r="Y34" i="23"/>
  <c r="Y22" i="23"/>
  <c r="Y10" i="23"/>
  <c r="Z69" i="23"/>
  <c r="Z57" i="23"/>
  <c r="Z45" i="23"/>
  <c r="Z33" i="23"/>
  <c r="Z21" i="23"/>
  <c r="Z9" i="23"/>
  <c r="AF54" i="23"/>
  <c r="I71" i="23"/>
  <c r="I59" i="23"/>
  <c r="I47" i="23"/>
  <c r="I35" i="23"/>
  <c r="I23" i="23"/>
  <c r="I11" i="23"/>
  <c r="R70" i="23"/>
  <c r="R58" i="23"/>
  <c r="R46" i="23"/>
  <c r="R34" i="23"/>
  <c r="R22" i="23"/>
  <c r="R10" i="23"/>
  <c r="Q70" i="23"/>
  <c r="Q58" i="23"/>
  <c r="Q46" i="23"/>
  <c r="Q34" i="23"/>
  <c r="Q22" i="23"/>
  <c r="Q10" i="23"/>
  <c r="Y69" i="23"/>
  <c r="Y57" i="23"/>
  <c r="Y45" i="23"/>
  <c r="Y33" i="23"/>
  <c r="Y21" i="23"/>
  <c r="Y9" i="23"/>
  <c r="Z68" i="23"/>
  <c r="Z56" i="23"/>
  <c r="Z44" i="23"/>
  <c r="Z32" i="23"/>
  <c r="Z20" i="23"/>
  <c r="R49" i="23"/>
  <c r="Q49" i="23"/>
  <c r="Q47" i="23"/>
  <c r="I58" i="23"/>
  <c r="I34" i="23"/>
  <c r="I10" i="23"/>
  <c r="R57" i="23"/>
  <c r="R33" i="23"/>
  <c r="R9" i="23"/>
  <c r="Q57" i="23"/>
  <c r="Q33" i="23"/>
  <c r="Q9" i="23"/>
  <c r="Y56" i="23"/>
  <c r="Y44" i="23"/>
  <c r="Y20" i="23"/>
  <c r="Z8" i="23"/>
  <c r="AA8" i="23" s="1"/>
  <c r="Z67" i="23"/>
  <c r="Z55" i="23"/>
  <c r="Z43" i="23"/>
  <c r="Z31" i="23"/>
  <c r="R71" i="23"/>
  <c r="R23" i="23"/>
  <c r="Q59" i="23"/>
  <c r="Y46" i="23"/>
  <c r="I70" i="23"/>
  <c r="I46" i="23"/>
  <c r="I22" i="23"/>
  <c r="R69" i="23"/>
  <c r="R45" i="23"/>
  <c r="R21" i="23"/>
  <c r="Q69" i="23"/>
  <c r="Q45" i="23"/>
  <c r="Q21" i="23"/>
  <c r="Y68" i="23"/>
  <c r="Y32" i="23"/>
  <c r="Z19" i="23"/>
  <c r="I69" i="23"/>
  <c r="I57" i="23"/>
  <c r="I45" i="23"/>
  <c r="I33" i="23"/>
  <c r="I21" i="23"/>
  <c r="I9" i="23"/>
  <c r="R68" i="23"/>
  <c r="R56" i="23"/>
  <c r="R44" i="23"/>
  <c r="R32" i="23"/>
  <c r="R20" i="23"/>
  <c r="R8" i="23"/>
  <c r="Q68" i="23"/>
  <c r="Q56" i="23"/>
  <c r="Q44" i="23"/>
  <c r="Q32" i="23"/>
  <c r="Q20" i="23"/>
  <c r="Y8" i="23"/>
  <c r="Y67" i="23"/>
  <c r="Y55" i="23"/>
  <c r="Y43" i="23"/>
  <c r="Y31" i="23"/>
  <c r="Y19" i="23"/>
  <c r="Z78" i="23"/>
  <c r="Z66" i="23"/>
  <c r="Z54" i="23"/>
  <c r="Z42" i="23"/>
  <c r="Z30" i="23"/>
  <c r="Z18" i="23"/>
  <c r="Q73" i="23"/>
  <c r="I68" i="23"/>
  <c r="I32" i="23"/>
  <c r="R67" i="23"/>
  <c r="R55" i="23"/>
  <c r="R19" i="23"/>
  <c r="Q67" i="23"/>
  <c r="Q55" i="23"/>
  <c r="Q43" i="23"/>
  <c r="Q31" i="23"/>
  <c r="Q19" i="23"/>
  <c r="Y78" i="23"/>
  <c r="Y66" i="23"/>
  <c r="Y54" i="23"/>
  <c r="Y30" i="23"/>
  <c r="Y18" i="23"/>
  <c r="Z77" i="23"/>
  <c r="Z65" i="23"/>
  <c r="Z53" i="23"/>
  <c r="Z41" i="23"/>
  <c r="Z29" i="23"/>
  <c r="Z17" i="23"/>
  <c r="I67" i="23"/>
  <c r="I55" i="23"/>
  <c r="I43" i="23"/>
  <c r="I31" i="23"/>
  <c r="I19" i="23"/>
  <c r="R78" i="23"/>
  <c r="R66" i="23"/>
  <c r="R54" i="23"/>
  <c r="R42" i="23"/>
  <c r="R30" i="23"/>
  <c r="R18" i="23"/>
  <c r="Q78" i="23"/>
  <c r="Q66" i="23"/>
  <c r="Q54" i="23"/>
  <c r="Q42" i="23"/>
  <c r="Q30" i="23"/>
  <c r="Q18" i="23"/>
  <c r="Y77" i="23"/>
  <c r="Y65" i="23"/>
  <c r="Y53" i="23"/>
  <c r="Y41" i="23"/>
  <c r="Y29" i="23"/>
  <c r="Y17" i="23"/>
  <c r="Z76" i="23"/>
  <c r="Z64" i="23"/>
  <c r="Z52" i="23"/>
  <c r="Z40" i="23"/>
  <c r="Z28" i="23"/>
  <c r="Z16" i="23"/>
  <c r="AF29" i="23"/>
  <c r="I78" i="23"/>
  <c r="I66" i="23"/>
  <c r="I54" i="23"/>
  <c r="I42" i="23"/>
  <c r="I30" i="23"/>
  <c r="I18" i="23"/>
  <c r="R77" i="23"/>
  <c r="R65" i="23"/>
  <c r="R53" i="23"/>
  <c r="R41" i="23"/>
  <c r="R29" i="23"/>
  <c r="R17" i="23"/>
  <c r="Q77" i="23"/>
  <c r="Q65" i="23"/>
  <c r="Q53" i="23"/>
  <c r="Q41" i="23"/>
  <c r="Q29" i="23"/>
  <c r="Q17" i="23"/>
  <c r="Y76" i="23"/>
  <c r="Y64" i="23"/>
  <c r="Y52" i="23"/>
  <c r="Y40" i="23"/>
  <c r="Y28" i="23"/>
  <c r="Y16" i="23"/>
  <c r="Z75" i="23"/>
  <c r="Z63" i="23"/>
  <c r="Z51" i="23"/>
  <c r="Z39" i="23"/>
  <c r="Z27" i="23"/>
  <c r="Z15" i="23"/>
  <c r="AF30" i="23"/>
  <c r="R37" i="23"/>
  <c r="R13" i="23"/>
  <c r="Q13" i="23"/>
  <c r="R59" i="23"/>
  <c r="I44" i="23"/>
  <c r="R31" i="23"/>
  <c r="I77" i="23"/>
  <c r="I41" i="23"/>
  <c r="R76" i="23"/>
  <c r="R28" i="23"/>
  <c r="Q64" i="23"/>
  <c r="Q28" i="23"/>
  <c r="Y51" i="23"/>
  <c r="Z74" i="23"/>
  <c r="Z26" i="23"/>
  <c r="R61" i="23"/>
  <c r="Q37" i="23"/>
  <c r="R47" i="23"/>
  <c r="I56" i="23"/>
  <c r="I8" i="23"/>
  <c r="K8" i="23" s="1"/>
  <c r="R43" i="23"/>
  <c r="I53" i="23"/>
  <c r="I17" i="23"/>
  <c r="R64" i="23"/>
  <c r="R40" i="23"/>
  <c r="Q76" i="23"/>
  <c r="Q40" i="23"/>
  <c r="Y75" i="23"/>
  <c r="Y63" i="23"/>
  <c r="Y27" i="23"/>
  <c r="Y15" i="23"/>
  <c r="Z50" i="23"/>
  <c r="Z38" i="23"/>
  <c r="Z14" i="23"/>
  <c r="I76" i="23"/>
  <c r="I64" i="23"/>
  <c r="I52" i="23"/>
  <c r="I40" i="23"/>
  <c r="I28" i="23"/>
  <c r="I16" i="23"/>
  <c r="R75" i="23"/>
  <c r="R63" i="23"/>
  <c r="R51" i="23"/>
  <c r="R39" i="23"/>
  <c r="R27" i="23"/>
  <c r="R15" i="23"/>
  <c r="Q75" i="23"/>
  <c r="Q63" i="23"/>
  <c r="Q51" i="23"/>
  <c r="Q39" i="23"/>
  <c r="Q27" i="23"/>
  <c r="Q15" i="23"/>
  <c r="Y74" i="23"/>
  <c r="Y62" i="23"/>
  <c r="Y50" i="23"/>
  <c r="Y38" i="23"/>
  <c r="Y26" i="23"/>
  <c r="Y14" i="23"/>
  <c r="Z73" i="23"/>
  <c r="Z61" i="23"/>
  <c r="Z49" i="23"/>
  <c r="Z37" i="23"/>
  <c r="Z25" i="23"/>
  <c r="Z13" i="23"/>
  <c r="AF41" i="23"/>
  <c r="I20" i="23"/>
  <c r="Q8" i="23"/>
  <c r="I65" i="23"/>
  <c r="I29" i="23"/>
  <c r="R52" i="23"/>
  <c r="R16" i="23"/>
  <c r="Q52" i="23"/>
  <c r="Q16" i="23"/>
  <c r="Y39" i="23"/>
  <c r="Z62" i="23"/>
  <c r="I75" i="23"/>
  <c r="I63" i="23"/>
  <c r="I51" i="23"/>
  <c r="I39" i="23"/>
  <c r="I27" i="23"/>
  <c r="I15" i="23"/>
  <c r="R74" i="23"/>
  <c r="R62" i="23"/>
  <c r="R50" i="23"/>
  <c r="R38" i="23"/>
  <c r="R26" i="23"/>
  <c r="R14" i="23"/>
  <c r="Q74" i="23"/>
  <c r="Q62" i="23"/>
  <c r="Q50" i="23"/>
  <c r="Q38" i="23"/>
  <c r="Q26" i="23"/>
  <c r="Q14" i="23"/>
  <c r="Y73" i="23"/>
  <c r="Y61" i="23"/>
  <c r="Y49" i="23"/>
  <c r="Y37" i="23"/>
  <c r="Y25" i="23"/>
  <c r="Y13" i="23"/>
  <c r="Z72" i="23"/>
  <c r="Z60" i="23"/>
  <c r="Z48" i="23"/>
  <c r="Z36" i="23"/>
  <c r="Z24" i="23"/>
  <c r="Z12" i="23"/>
  <c r="R73" i="23"/>
  <c r="R25" i="23"/>
  <c r="Q25" i="23"/>
  <c r="Y12" i="23"/>
  <c r="Z71" i="23"/>
  <c r="Z59" i="23"/>
  <c r="Z47" i="23"/>
  <c r="Z35" i="23"/>
  <c r="Z23" i="23"/>
  <c r="Z11" i="23"/>
  <c r="I73" i="23"/>
  <c r="I61" i="23"/>
  <c r="I49" i="23"/>
  <c r="I37" i="23"/>
  <c r="I25" i="23"/>
  <c r="R72" i="23"/>
  <c r="R60" i="23"/>
  <c r="R48" i="23"/>
  <c r="R36" i="23"/>
  <c r="R24" i="23"/>
  <c r="R12" i="23"/>
  <c r="Q72" i="23"/>
  <c r="Q60" i="23"/>
  <c r="Q48" i="23"/>
  <c r="Q36" i="23"/>
  <c r="Y71" i="23"/>
  <c r="Y59" i="23"/>
  <c r="Y47" i="23"/>
  <c r="Y35" i="23"/>
  <c r="Y23" i="23"/>
  <c r="Y11" i="23"/>
  <c r="Z70" i="23"/>
  <c r="Z58" i="23"/>
  <c r="Z46" i="23"/>
  <c r="Z34" i="23"/>
  <c r="Z22" i="23"/>
  <c r="R54" i="22"/>
  <c r="R55" i="22"/>
  <c r="S55" i="22" s="1"/>
  <c r="R56" i="22"/>
  <c r="T9" i="22"/>
  <c r="T10" i="22"/>
  <c r="T11" i="22"/>
  <c r="T12" i="22"/>
  <c r="T13" i="22"/>
  <c r="T14" i="22"/>
  <c r="T15" i="22"/>
  <c r="T16" i="22"/>
  <c r="T17" i="22"/>
  <c r="T18" i="22"/>
  <c r="T19" i="22"/>
  <c r="T20" i="22"/>
  <c r="T21" i="22"/>
  <c r="T22" i="22"/>
  <c r="T23" i="22"/>
  <c r="T24" i="22"/>
  <c r="T25" i="22"/>
  <c r="T26" i="22"/>
  <c r="T27" i="22"/>
  <c r="T28" i="22"/>
  <c r="T29" i="22"/>
  <c r="T30" i="22"/>
  <c r="T31" i="22"/>
  <c r="T32" i="22"/>
  <c r="T33" i="22"/>
  <c r="T34" i="22"/>
  <c r="T35" i="22"/>
  <c r="T36" i="22"/>
  <c r="T37" i="22"/>
  <c r="T38" i="22"/>
  <c r="T39" i="22"/>
  <c r="T40" i="22"/>
  <c r="T41" i="22"/>
  <c r="T42" i="22"/>
  <c r="T43" i="22"/>
  <c r="T44" i="22"/>
  <c r="T45" i="22"/>
  <c r="T46" i="22"/>
  <c r="T47" i="22"/>
  <c r="T48" i="22"/>
  <c r="T49" i="22"/>
  <c r="T50" i="22"/>
  <c r="T51" i="22"/>
  <c r="T52" i="22"/>
  <c r="T53" i="22"/>
  <c r="T54" i="22"/>
  <c r="T55" i="22"/>
  <c r="T56" i="22"/>
  <c r="T57" i="22"/>
  <c r="T58" i="22"/>
  <c r="T59" i="22"/>
  <c r="T60" i="22"/>
  <c r="T61" i="22"/>
  <c r="T62" i="22"/>
  <c r="T63" i="22"/>
  <c r="T64" i="22"/>
  <c r="T65" i="22"/>
  <c r="T66" i="22"/>
  <c r="T67" i="22"/>
  <c r="T68" i="22"/>
  <c r="T69" i="22"/>
  <c r="T70" i="22"/>
  <c r="T71" i="22"/>
  <c r="T72" i="22"/>
  <c r="T73" i="22"/>
  <c r="T74" i="22"/>
  <c r="T75" i="22"/>
  <c r="T76" i="22"/>
  <c r="T77" i="22"/>
  <c r="T78" i="22"/>
  <c r="T8" i="22"/>
  <c r="N9" i="22"/>
  <c r="N10" i="22"/>
  <c r="N11" i="22"/>
  <c r="N12" i="22"/>
  <c r="N13" i="22"/>
  <c r="N14" i="22"/>
  <c r="N15"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58" i="22"/>
  <c r="N59" i="22"/>
  <c r="N60" i="22"/>
  <c r="N61" i="22"/>
  <c r="N62" i="22"/>
  <c r="N63" i="22"/>
  <c r="N64" i="22"/>
  <c r="N65" i="22"/>
  <c r="N66" i="22"/>
  <c r="N67" i="22"/>
  <c r="N68" i="22"/>
  <c r="N69" i="22"/>
  <c r="N70" i="22"/>
  <c r="N71" i="22"/>
  <c r="N72" i="22"/>
  <c r="N73" i="22"/>
  <c r="N74" i="22"/>
  <c r="N75" i="22"/>
  <c r="N76" i="22"/>
  <c r="N77" i="22"/>
  <c r="N78" i="22"/>
  <c r="N8" i="22"/>
  <c r="H9" i="22"/>
  <c r="I9" i="22" s="1"/>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8" i="22"/>
  <c r="D9" i="22"/>
  <c r="D10" i="22"/>
  <c r="D11" i="22"/>
  <c r="D12" i="22"/>
  <c r="D13" i="22"/>
  <c r="D14" i="22"/>
  <c r="D15" i="22"/>
  <c r="D16" i="22"/>
  <c r="D17" i="22"/>
  <c r="D18" i="22"/>
  <c r="D19" i="22"/>
  <c r="D20" i="22"/>
  <c r="E20" i="22" s="1"/>
  <c r="D21" i="22"/>
  <c r="D22" i="22"/>
  <c r="D23" i="22"/>
  <c r="D24" i="22"/>
  <c r="D25" i="22"/>
  <c r="D26" i="22"/>
  <c r="D27" i="22"/>
  <c r="D28" i="22"/>
  <c r="D29" i="22"/>
  <c r="D30" i="22"/>
  <c r="D31" i="22"/>
  <c r="D32" i="22"/>
  <c r="R32" i="22" s="1"/>
  <c r="S32" i="22" s="1"/>
  <c r="D33" i="22"/>
  <c r="D34" i="22"/>
  <c r="D35" i="22"/>
  <c r="D36" i="22"/>
  <c r="D37" i="22"/>
  <c r="D38" i="22"/>
  <c r="D39" i="22"/>
  <c r="D40" i="22"/>
  <c r="D41" i="22"/>
  <c r="D42" i="22"/>
  <c r="D43" i="22"/>
  <c r="D44" i="22"/>
  <c r="R44" i="22" s="1"/>
  <c r="S44" i="22" s="1"/>
  <c r="D45" i="22"/>
  <c r="D46" i="22"/>
  <c r="D47" i="22"/>
  <c r="D48" i="22"/>
  <c r="D49" i="22"/>
  <c r="D50" i="22"/>
  <c r="D51" i="22"/>
  <c r="D52" i="22"/>
  <c r="D53" i="22"/>
  <c r="D54" i="22"/>
  <c r="D55" i="22"/>
  <c r="D56" i="22"/>
  <c r="D8" i="22"/>
  <c r="F10" i="23"/>
  <c r="F12" i="23"/>
  <c r="F13" i="23"/>
  <c r="F18" i="23"/>
  <c r="F22" i="23"/>
  <c r="F24" i="23"/>
  <c r="F41" i="23"/>
  <c r="F42" i="23"/>
  <c r="F49" i="23"/>
  <c r="F53" i="23"/>
  <c r="D9" i="23"/>
  <c r="D10" i="23"/>
  <c r="D11" i="23"/>
  <c r="D12" i="23"/>
  <c r="D13" i="23"/>
  <c r="D14" i="23"/>
  <c r="D15" i="23"/>
  <c r="D16" i="23"/>
  <c r="D17" i="23"/>
  <c r="D18" i="23"/>
  <c r="D19" i="23"/>
  <c r="D20" i="23"/>
  <c r="V20" i="23" s="1"/>
  <c r="W21" i="23" s="1"/>
  <c r="X21" i="23" s="1"/>
  <c r="D21" i="23"/>
  <c r="D22" i="23"/>
  <c r="D23" i="23"/>
  <c r="D24" i="23"/>
  <c r="D25" i="23"/>
  <c r="D26" i="23"/>
  <c r="D27" i="23"/>
  <c r="D28" i="23"/>
  <c r="D29" i="23"/>
  <c r="D30" i="23"/>
  <c r="D31" i="23"/>
  <c r="D32" i="23"/>
  <c r="F33" i="23" s="1"/>
  <c r="D33" i="23"/>
  <c r="D34" i="23"/>
  <c r="D35" i="23"/>
  <c r="D36" i="23"/>
  <c r="D37" i="23"/>
  <c r="D38" i="23"/>
  <c r="D39" i="23"/>
  <c r="D40" i="23"/>
  <c r="D41" i="23"/>
  <c r="D42" i="23"/>
  <c r="D43" i="23"/>
  <c r="D44" i="23"/>
  <c r="F45" i="23" s="1"/>
  <c r="D45" i="23"/>
  <c r="D46" i="23"/>
  <c r="D47" i="23"/>
  <c r="D48" i="23"/>
  <c r="D49" i="23"/>
  <c r="D50" i="23"/>
  <c r="D51" i="23"/>
  <c r="D52" i="23"/>
  <c r="D53" i="23"/>
  <c r="D54" i="23"/>
  <c r="D55" i="23"/>
  <c r="D56" i="23"/>
  <c r="D8" i="23"/>
  <c r="X78" i="23"/>
  <c r="F78" i="23"/>
  <c r="X77" i="23"/>
  <c r="F77" i="23"/>
  <c r="X76" i="23"/>
  <c r="F76" i="23"/>
  <c r="X75" i="23"/>
  <c r="F75" i="23"/>
  <c r="X74" i="23"/>
  <c r="F74" i="23"/>
  <c r="X73" i="23"/>
  <c r="F73" i="23"/>
  <c r="X72" i="23"/>
  <c r="F72" i="23"/>
  <c r="X71" i="23"/>
  <c r="F71" i="23"/>
  <c r="X70" i="23"/>
  <c r="F70" i="23"/>
  <c r="X69" i="23"/>
  <c r="F69" i="23"/>
  <c r="X68" i="23"/>
  <c r="F68" i="23"/>
  <c r="X67" i="23"/>
  <c r="F67" i="23"/>
  <c r="X66" i="23"/>
  <c r="F66" i="23"/>
  <c r="X65" i="23"/>
  <c r="F65" i="23"/>
  <c r="X64" i="23"/>
  <c r="F64" i="23"/>
  <c r="X63" i="23"/>
  <c r="F63" i="23"/>
  <c r="X62" i="23"/>
  <c r="F62" i="23"/>
  <c r="X61" i="23"/>
  <c r="F61" i="23"/>
  <c r="X60" i="23"/>
  <c r="F60" i="23"/>
  <c r="X59" i="23"/>
  <c r="F59" i="23"/>
  <c r="X58" i="23"/>
  <c r="F58" i="23"/>
  <c r="X57" i="23"/>
  <c r="F57" i="23"/>
  <c r="X56" i="23"/>
  <c r="F56" i="23"/>
  <c r="V54" i="23"/>
  <c r="F54" i="23"/>
  <c r="V53" i="23"/>
  <c r="O53" i="23"/>
  <c r="V52" i="23"/>
  <c r="O52" i="23"/>
  <c r="O51" i="23"/>
  <c r="V51" i="23"/>
  <c r="O50" i="23"/>
  <c r="F50" i="23"/>
  <c r="F51" i="23"/>
  <c r="V49" i="23"/>
  <c r="O49" i="23"/>
  <c r="V48" i="23"/>
  <c r="O48" i="23"/>
  <c r="O47" i="23"/>
  <c r="AS46" i="23"/>
  <c r="O46" i="23"/>
  <c r="F46" i="23"/>
  <c r="V46" i="23"/>
  <c r="AS45" i="23"/>
  <c r="V45" i="23"/>
  <c r="O45" i="23"/>
  <c r="AS44" i="23"/>
  <c r="O44" i="23"/>
  <c r="O43" i="23"/>
  <c r="O42" i="23"/>
  <c r="V42" i="23"/>
  <c r="V41" i="23"/>
  <c r="O41" i="23"/>
  <c r="V40" i="23"/>
  <c r="O40" i="23"/>
  <c r="O39" i="23"/>
  <c r="F39" i="23"/>
  <c r="V38" i="23"/>
  <c r="O38" i="23"/>
  <c r="F38" i="23"/>
  <c r="V37" i="23"/>
  <c r="O37" i="23"/>
  <c r="O36" i="23"/>
  <c r="V36" i="23"/>
  <c r="W37" i="23" s="1"/>
  <c r="X37" i="23" s="1"/>
  <c r="O35" i="23"/>
  <c r="V34" i="23"/>
  <c r="O34" i="23"/>
  <c r="F34" i="23"/>
  <c r="AS33" i="23"/>
  <c r="O33" i="23"/>
  <c r="AS32" i="23"/>
  <c r="O32" i="23"/>
  <c r="AS31" i="23"/>
  <c r="O31" i="23"/>
  <c r="F32" i="23"/>
  <c r="AS30" i="23"/>
  <c r="O30" i="23"/>
  <c r="V30" i="23"/>
  <c r="AS29" i="23"/>
  <c r="V29" i="23"/>
  <c r="O29" i="23"/>
  <c r="O28" i="23"/>
  <c r="V28" i="23"/>
  <c r="O27" i="23"/>
  <c r="V27" i="23"/>
  <c r="O26" i="23"/>
  <c r="F26" i="23"/>
  <c r="V25" i="23"/>
  <c r="O25" i="23"/>
  <c r="O24" i="23"/>
  <c r="V24" i="23"/>
  <c r="AS23" i="23"/>
  <c r="O23" i="23"/>
  <c r="F23" i="23"/>
  <c r="AS22" i="23"/>
  <c r="V22" i="23"/>
  <c r="O22" i="23"/>
  <c r="AS21" i="23"/>
  <c r="V21" i="23"/>
  <c r="O21" i="23"/>
  <c r="AS20" i="23"/>
  <c r="O20" i="23"/>
  <c r="AS19" i="23"/>
  <c r="O19" i="23"/>
  <c r="V18" i="23"/>
  <c r="O18" i="23"/>
  <c r="V17" i="23"/>
  <c r="O17" i="23"/>
  <c r="O16" i="23"/>
  <c r="O15" i="23"/>
  <c r="F15" i="23"/>
  <c r="V14" i="23"/>
  <c r="O14" i="23"/>
  <c r="F14" i="23"/>
  <c r="V13" i="23"/>
  <c r="O13" i="23"/>
  <c r="O12" i="23"/>
  <c r="V12" i="23"/>
  <c r="W13" i="23" s="1"/>
  <c r="X13" i="23" s="1"/>
  <c r="V11" i="23"/>
  <c r="O11" i="23"/>
  <c r="F11" i="23"/>
  <c r="V10" i="23"/>
  <c r="O10" i="23"/>
  <c r="V9" i="23"/>
  <c r="O9" i="23"/>
  <c r="C9" i="23"/>
  <c r="X8" i="23"/>
  <c r="F8" i="23"/>
  <c r="V8" i="23"/>
  <c r="S78" i="22"/>
  <c r="M78" i="22"/>
  <c r="E78" i="22"/>
  <c r="S77" i="22"/>
  <c r="M77" i="22"/>
  <c r="E77" i="22"/>
  <c r="S76" i="22"/>
  <c r="M76" i="22"/>
  <c r="E76" i="22"/>
  <c r="S75" i="22"/>
  <c r="M75" i="22"/>
  <c r="E75" i="22"/>
  <c r="S74" i="22"/>
  <c r="M74" i="22"/>
  <c r="E74" i="22"/>
  <c r="S73" i="22"/>
  <c r="M73" i="22"/>
  <c r="E73" i="22"/>
  <c r="S72" i="22"/>
  <c r="M72" i="22"/>
  <c r="E72" i="22"/>
  <c r="S71" i="22"/>
  <c r="M71" i="22"/>
  <c r="E71" i="22"/>
  <c r="S70" i="22"/>
  <c r="M70" i="22"/>
  <c r="E70" i="22"/>
  <c r="S69" i="22"/>
  <c r="M69" i="22"/>
  <c r="E69" i="22"/>
  <c r="S68" i="22"/>
  <c r="M68" i="22"/>
  <c r="E68" i="22"/>
  <c r="S67" i="22"/>
  <c r="M67" i="22"/>
  <c r="E67" i="22"/>
  <c r="S66" i="22"/>
  <c r="M66" i="22"/>
  <c r="E66" i="22"/>
  <c r="S65" i="22"/>
  <c r="M65" i="22"/>
  <c r="E65" i="22"/>
  <c r="S64" i="22"/>
  <c r="M64" i="22"/>
  <c r="E64" i="22"/>
  <c r="S63" i="22"/>
  <c r="M63" i="22"/>
  <c r="E63" i="22"/>
  <c r="S62" i="22"/>
  <c r="M62" i="22"/>
  <c r="E62" i="22"/>
  <c r="S61" i="22"/>
  <c r="M61" i="22"/>
  <c r="E61" i="22"/>
  <c r="S60" i="22"/>
  <c r="M60" i="22"/>
  <c r="E60" i="22"/>
  <c r="S59" i="22"/>
  <c r="M59" i="22"/>
  <c r="E59" i="22"/>
  <c r="S58" i="22"/>
  <c r="M58" i="22"/>
  <c r="E58" i="22"/>
  <c r="S57" i="22"/>
  <c r="M57" i="22"/>
  <c r="E57" i="22"/>
  <c r="S56" i="22"/>
  <c r="M56" i="22"/>
  <c r="E56" i="22"/>
  <c r="M55" i="22"/>
  <c r="M54" i="22"/>
  <c r="R53" i="22"/>
  <c r="S53" i="22" s="1"/>
  <c r="M53" i="22"/>
  <c r="E53" i="22"/>
  <c r="M52" i="22"/>
  <c r="R52" i="22"/>
  <c r="S52" i="22" s="1"/>
  <c r="M51" i="22"/>
  <c r="R50" i="22"/>
  <c r="S50" i="22" s="1"/>
  <c r="M50" i="22"/>
  <c r="E50" i="22"/>
  <c r="R49" i="22"/>
  <c r="S49" i="22" s="1"/>
  <c r="M49" i="22"/>
  <c r="E49" i="22"/>
  <c r="R48" i="22"/>
  <c r="S48" i="22" s="1"/>
  <c r="M48" i="22"/>
  <c r="E48" i="22"/>
  <c r="R47" i="22"/>
  <c r="S47" i="22" s="1"/>
  <c r="M47" i="22"/>
  <c r="E47" i="22"/>
  <c r="R46" i="22"/>
  <c r="S46" i="22" s="1"/>
  <c r="M46" i="22"/>
  <c r="E46" i="22"/>
  <c r="R45" i="22"/>
  <c r="S45" i="22" s="1"/>
  <c r="M45" i="22"/>
  <c r="E45" i="22"/>
  <c r="M44" i="22"/>
  <c r="AN43" i="22"/>
  <c r="R43" i="22"/>
  <c r="S43" i="22" s="1"/>
  <c r="M43" i="22"/>
  <c r="E43" i="22"/>
  <c r="AN42" i="22"/>
  <c r="R42" i="22"/>
  <c r="S42" i="22" s="1"/>
  <c r="M42" i="22"/>
  <c r="E42" i="22"/>
  <c r="R41" i="22"/>
  <c r="S41" i="22" s="1"/>
  <c r="M41" i="22"/>
  <c r="E41" i="22"/>
  <c r="M40" i="22"/>
  <c r="E40" i="22"/>
  <c r="R40" i="22"/>
  <c r="S40" i="22" s="1"/>
  <c r="M39" i="22"/>
  <c r="E39" i="22"/>
  <c r="M38" i="22"/>
  <c r="M37" i="22"/>
  <c r="E37" i="22"/>
  <c r="R37" i="22"/>
  <c r="S37" i="22" s="1"/>
  <c r="R36" i="22"/>
  <c r="S36" i="22" s="1"/>
  <c r="M36" i="22"/>
  <c r="E36" i="22"/>
  <c r="R35" i="22"/>
  <c r="S35" i="22" s="1"/>
  <c r="M35" i="22"/>
  <c r="E35" i="22"/>
  <c r="R34" i="22"/>
  <c r="S34" i="22" s="1"/>
  <c r="M34" i="22"/>
  <c r="E34" i="22"/>
  <c r="AN33" i="22"/>
  <c r="M33" i="22"/>
  <c r="AN32" i="22"/>
  <c r="M32" i="22"/>
  <c r="R31" i="22"/>
  <c r="S31" i="22" s="1"/>
  <c r="M31" i="22"/>
  <c r="E31" i="22"/>
  <c r="M30" i="22"/>
  <c r="M29" i="22"/>
  <c r="M28" i="22"/>
  <c r="E28" i="22"/>
  <c r="R28" i="22"/>
  <c r="S28" i="22" s="1"/>
  <c r="R27" i="22"/>
  <c r="S27" i="22" s="1"/>
  <c r="M27" i="22"/>
  <c r="E27" i="22"/>
  <c r="M26" i="22"/>
  <c r="E26" i="22"/>
  <c r="R26" i="22"/>
  <c r="S26" i="22" s="1"/>
  <c r="R25" i="22"/>
  <c r="S25" i="22" s="1"/>
  <c r="M25" i="22"/>
  <c r="E25" i="22"/>
  <c r="M24" i="22"/>
  <c r="AN23" i="22"/>
  <c r="Z23" i="22"/>
  <c r="Z26" i="22" s="1"/>
  <c r="R23" i="22"/>
  <c r="S23" i="22" s="1"/>
  <c r="M23" i="22"/>
  <c r="E23" i="22"/>
  <c r="AN22" i="22"/>
  <c r="Z22" i="22"/>
  <c r="M22" i="22"/>
  <c r="E22" i="22"/>
  <c r="R22" i="22"/>
  <c r="S22" i="22" s="1"/>
  <c r="M21" i="22"/>
  <c r="E21" i="22"/>
  <c r="R21" i="22"/>
  <c r="S21" i="22" s="1"/>
  <c r="M20" i="22"/>
  <c r="R20" i="22"/>
  <c r="S20" i="22" s="1"/>
  <c r="R19" i="22"/>
  <c r="S19" i="22" s="1"/>
  <c r="M19" i="22"/>
  <c r="E19" i="22"/>
  <c r="M18" i="22"/>
  <c r="E18" i="22"/>
  <c r="M17" i="22"/>
  <c r="E17" i="22"/>
  <c r="R17" i="22"/>
  <c r="S17" i="22" s="1"/>
  <c r="R16" i="22"/>
  <c r="S16" i="22" s="1"/>
  <c r="M16" i="22"/>
  <c r="E16" i="22"/>
  <c r="M15" i="22"/>
  <c r="R14" i="22"/>
  <c r="S14" i="22" s="1"/>
  <c r="M14" i="22"/>
  <c r="E14" i="22"/>
  <c r="M13" i="22"/>
  <c r="R13" i="22"/>
  <c r="S13" i="22" s="1"/>
  <c r="M12" i="22"/>
  <c r="C12" i="22"/>
  <c r="C13" i="22" s="1"/>
  <c r="M11" i="22"/>
  <c r="C11" i="22"/>
  <c r="R10" i="22"/>
  <c r="S10" i="22" s="1"/>
  <c r="M10" i="22"/>
  <c r="E10" i="22"/>
  <c r="C10" i="22"/>
  <c r="R9" i="22"/>
  <c r="S9" i="22" s="1"/>
  <c r="M9" i="22"/>
  <c r="E9" i="22"/>
  <c r="C9" i="22"/>
  <c r="M8" i="22"/>
  <c r="H8" i="23" l="1"/>
  <c r="J8" i="23" s="1"/>
  <c r="G8" i="23"/>
  <c r="S8" i="23"/>
  <c r="W53" i="23"/>
  <c r="X53" i="23" s="1"/>
  <c r="W41" i="23"/>
  <c r="X41" i="23" s="1"/>
  <c r="W10" i="23"/>
  <c r="X10" i="23" s="1"/>
  <c r="W18" i="23"/>
  <c r="X18" i="23" s="1"/>
  <c r="W14" i="23"/>
  <c r="X14" i="23" s="1"/>
  <c r="W12" i="23"/>
  <c r="X12" i="23" s="1"/>
  <c r="W29" i="23"/>
  <c r="X29" i="23" s="1"/>
  <c r="W46" i="23"/>
  <c r="X46" i="23" s="1"/>
  <c r="W25" i="23"/>
  <c r="X25" i="23" s="1"/>
  <c r="I19" i="22"/>
  <c r="E44" i="22"/>
  <c r="F19" i="23"/>
  <c r="V19" i="23"/>
  <c r="W20" i="23" s="1"/>
  <c r="X20" i="23" s="1"/>
  <c r="V32" i="23"/>
  <c r="X54" i="23"/>
  <c r="V44" i="23"/>
  <c r="W45" i="23" s="1"/>
  <c r="X45" i="23" s="1"/>
  <c r="W52" i="23"/>
  <c r="X52" i="23" s="1"/>
  <c r="W38" i="23"/>
  <c r="X38" i="23" s="1"/>
  <c r="W42" i="23"/>
  <c r="X42" i="23" s="1"/>
  <c r="X55" i="23"/>
  <c r="W9" i="23"/>
  <c r="X9" i="23" s="1"/>
  <c r="AA9" i="23"/>
  <c r="W30" i="23"/>
  <c r="X30" i="23" s="1"/>
  <c r="W28" i="23"/>
  <c r="X28" i="23" s="1"/>
  <c r="W11" i="23"/>
  <c r="X11" i="23" s="1"/>
  <c r="V16" i="23"/>
  <c r="W17" i="23" s="1"/>
  <c r="X17" i="23" s="1"/>
  <c r="F17" i="23"/>
  <c r="W22" i="23"/>
  <c r="X22" i="23" s="1"/>
  <c r="F16" i="23"/>
  <c r="F27" i="23"/>
  <c r="F29" i="23"/>
  <c r="F30" i="23"/>
  <c r="F31" i="23"/>
  <c r="V31" i="23"/>
  <c r="V15" i="23"/>
  <c r="F20" i="23"/>
  <c r="V26" i="23"/>
  <c r="W27" i="23" s="1"/>
  <c r="X27" i="23" s="1"/>
  <c r="F28" i="23"/>
  <c r="F37" i="23"/>
  <c r="V43" i="23"/>
  <c r="F44" i="23"/>
  <c r="I52" i="22"/>
  <c r="V23" i="23"/>
  <c r="W24" i="23" s="1"/>
  <c r="X24" i="23" s="1"/>
  <c r="AF24" i="23"/>
  <c r="AF27" i="23" s="1"/>
  <c r="F43" i="23"/>
  <c r="E9" i="23"/>
  <c r="C10" i="23"/>
  <c r="V33" i="23"/>
  <c r="W34" i="23" s="1"/>
  <c r="X34" i="23" s="1"/>
  <c r="V35" i="23"/>
  <c r="W36" i="23" s="1"/>
  <c r="X36" i="23" s="1"/>
  <c r="F36" i="23"/>
  <c r="F21" i="23"/>
  <c r="F35" i="23"/>
  <c r="V47" i="23"/>
  <c r="W48" i="23" s="1"/>
  <c r="X48" i="23" s="1"/>
  <c r="F48" i="23"/>
  <c r="W49" i="23"/>
  <c r="X49" i="23" s="1"/>
  <c r="I10" i="22"/>
  <c r="F25" i="23"/>
  <c r="F47" i="23"/>
  <c r="I27" i="22"/>
  <c r="V39" i="23"/>
  <c r="W40" i="23" s="1"/>
  <c r="X40" i="23" s="1"/>
  <c r="F40" i="23"/>
  <c r="V50" i="23"/>
  <c r="W51" i="23" s="1"/>
  <c r="X51" i="23" s="1"/>
  <c r="F55" i="23"/>
  <c r="F52" i="23"/>
  <c r="O8" i="22"/>
  <c r="F8" i="22"/>
  <c r="G8" i="22" s="1"/>
  <c r="I11" i="22"/>
  <c r="I14" i="22"/>
  <c r="O11" i="22"/>
  <c r="U10" i="22"/>
  <c r="I8" i="22"/>
  <c r="U9" i="22"/>
  <c r="I15" i="22"/>
  <c r="C14" i="22"/>
  <c r="U13" i="22"/>
  <c r="R18" i="22"/>
  <c r="S18" i="22" s="1"/>
  <c r="E24" i="22"/>
  <c r="R24" i="22"/>
  <c r="S24" i="22" s="1"/>
  <c r="R15" i="22"/>
  <c r="S15" i="22" s="1"/>
  <c r="E15" i="22"/>
  <c r="O9" i="22"/>
  <c r="E29" i="22"/>
  <c r="R29" i="22"/>
  <c r="S29" i="22" s="1"/>
  <c r="R12" i="22"/>
  <c r="S12" i="22" s="1"/>
  <c r="E12" i="22"/>
  <c r="R11" i="22"/>
  <c r="S11" i="22" s="1"/>
  <c r="E11" i="22"/>
  <c r="Z45" i="22"/>
  <c r="Z48" i="22" s="1"/>
  <c r="Z11" i="22"/>
  <c r="Z12" i="22"/>
  <c r="Z15" i="22" s="1"/>
  <c r="R8" i="22"/>
  <c r="E8" i="22"/>
  <c r="Z44" i="22"/>
  <c r="I55" i="22"/>
  <c r="I13" i="22"/>
  <c r="I20" i="22"/>
  <c r="I26" i="22"/>
  <c r="I28" i="22"/>
  <c r="E32" i="22"/>
  <c r="I38" i="22"/>
  <c r="R39" i="22"/>
  <c r="S39" i="22" s="1"/>
  <c r="I41" i="22"/>
  <c r="I48" i="22"/>
  <c r="I44" i="22"/>
  <c r="I49" i="22"/>
  <c r="I39" i="22"/>
  <c r="I29" i="22"/>
  <c r="I24" i="22"/>
  <c r="I53" i="22"/>
  <c r="I78" i="22"/>
  <c r="I77" i="22"/>
  <c r="I76" i="22"/>
  <c r="I75" i="22"/>
  <c r="I74" i="22"/>
  <c r="I73" i="22"/>
  <c r="I72" i="22"/>
  <c r="I71" i="22"/>
  <c r="I70" i="22"/>
  <c r="I69" i="22"/>
  <c r="I68" i="22"/>
  <c r="I67" i="22"/>
  <c r="I66" i="22"/>
  <c r="I65" i="22"/>
  <c r="I64" i="22"/>
  <c r="I63" i="22"/>
  <c r="I62" i="22"/>
  <c r="I61" i="22"/>
  <c r="I60" i="22"/>
  <c r="I59" i="22"/>
  <c r="I58" i="22"/>
  <c r="I57" i="22"/>
  <c r="I56" i="22"/>
  <c r="I50" i="22"/>
  <c r="I54" i="22"/>
  <c r="I51" i="22"/>
  <c r="I47" i="22"/>
  <c r="I42" i="22"/>
  <c r="I37" i="22"/>
  <c r="I21" i="22"/>
  <c r="I17" i="22"/>
  <c r="I23" i="22"/>
  <c r="I30" i="22"/>
  <c r="R51" i="22"/>
  <c r="S51" i="22" s="1"/>
  <c r="E51" i="22"/>
  <c r="I12" i="22"/>
  <c r="I32" i="22"/>
  <c r="I34" i="22"/>
  <c r="I36" i="22"/>
  <c r="I16" i="22"/>
  <c r="I22" i="22"/>
  <c r="I46" i="22"/>
  <c r="I25" i="22"/>
  <c r="R33" i="22"/>
  <c r="S33" i="22" s="1"/>
  <c r="E33" i="22"/>
  <c r="I45" i="22"/>
  <c r="S54" i="22"/>
  <c r="E54" i="22"/>
  <c r="I18" i="22"/>
  <c r="I31" i="22"/>
  <c r="E13" i="22"/>
  <c r="I33" i="22"/>
  <c r="R30" i="22"/>
  <c r="S30" i="22" s="1"/>
  <c r="E30" i="22"/>
  <c r="I35" i="22"/>
  <c r="R38" i="22"/>
  <c r="S38" i="22" s="1"/>
  <c r="E38" i="22"/>
  <c r="I40" i="22"/>
  <c r="I43" i="22"/>
  <c r="E52" i="22"/>
  <c r="E55" i="22"/>
  <c r="G9" i="23" l="1"/>
  <c r="W44" i="23"/>
  <c r="X44" i="23" s="1"/>
  <c r="W19" i="23"/>
  <c r="X19" i="23" s="1"/>
  <c r="W32" i="23"/>
  <c r="X32" i="23" s="1"/>
  <c r="W16" i="23"/>
  <c r="X16" i="23" s="1"/>
  <c r="W43" i="23"/>
  <c r="X43" i="23" s="1"/>
  <c r="W33" i="23"/>
  <c r="X33" i="23" s="1"/>
  <c r="W50" i="23"/>
  <c r="X50" i="23" s="1"/>
  <c r="W26" i="23"/>
  <c r="X26" i="23" s="1"/>
  <c r="W39" i="23"/>
  <c r="X39" i="23" s="1"/>
  <c r="W47" i="23"/>
  <c r="X47" i="23" s="1"/>
  <c r="Z46" i="22" a="1"/>
  <c r="Z46" i="22" s="1"/>
  <c r="Z49" i="22" s="1"/>
  <c r="K10" i="23"/>
  <c r="AA10" i="23"/>
  <c r="C11" i="23"/>
  <c r="W23" i="23"/>
  <c r="X23" i="23" s="1"/>
  <c r="H9" i="23"/>
  <c r="S9" i="23"/>
  <c r="W31" i="23"/>
  <c r="X31" i="23" s="1"/>
  <c r="AF48" i="23"/>
  <c r="AF51" i="23" s="1"/>
  <c r="AF12" i="23"/>
  <c r="AF15" i="23" s="1"/>
  <c r="F9" i="23"/>
  <c r="AF47" i="23"/>
  <c r="K9" i="23"/>
  <c r="Z47" i="22" a="1"/>
  <c r="Z47" i="22" s="1"/>
  <c r="AN38" i="22" s="1"/>
  <c r="W15" i="23"/>
  <c r="W35" i="23"/>
  <c r="X35" i="23" s="1"/>
  <c r="F11" i="22"/>
  <c r="G11" i="22" s="1"/>
  <c r="F9" i="22"/>
  <c r="G9" i="22" s="1"/>
  <c r="O12" i="22"/>
  <c r="F12" i="22"/>
  <c r="G12" i="22" s="1"/>
  <c r="U12" i="22"/>
  <c r="O13" i="22"/>
  <c r="F13" i="22"/>
  <c r="G13" i="22" s="1"/>
  <c r="O14" i="22"/>
  <c r="F10" i="22"/>
  <c r="G10" i="22" s="1"/>
  <c r="O10" i="22"/>
  <c r="Z33" i="22"/>
  <c r="Z34" i="22"/>
  <c r="Z37" i="22" s="1"/>
  <c r="U8" i="22"/>
  <c r="S8" i="22"/>
  <c r="U11" i="22"/>
  <c r="U14" i="22"/>
  <c r="C15" i="22"/>
  <c r="G10" i="23" l="1"/>
  <c r="X15" i="23"/>
  <c r="AF36" i="23"/>
  <c r="AF39" i="23" s="1"/>
  <c r="H10" i="23"/>
  <c r="S10" i="23"/>
  <c r="C12" i="23"/>
  <c r="AA11" i="23"/>
  <c r="K11" i="23"/>
  <c r="AF35" i="23"/>
  <c r="J9" i="23"/>
  <c r="C16" i="22"/>
  <c r="U15" i="22"/>
  <c r="F14" i="22"/>
  <c r="G14" i="22" s="1"/>
  <c r="J10" i="23" l="1"/>
  <c r="H11" i="23"/>
  <c r="J11" i="23" s="1"/>
  <c r="S11" i="23"/>
  <c r="AA12" i="23"/>
  <c r="K12" i="23"/>
  <c r="C13" i="23"/>
  <c r="G11" i="23"/>
  <c r="F15" i="22"/>
  <c r="G15" i="22" s="1"/>
  <c r="O15" i="22"/>
  <c r="C17" i="22"/>
  <c r="U16" i="22"/>
  <c r="H12" i="23" l="1"/>
  <c r="S12" i="23"/>
  <c r="AA13" i="23"/>
  <c r="K13" i="23"/>
  <c r="C14" i="23"/>
  <c r="G12" i="23"/>
  <c r="C18" i="22"/>
  <c r="U17" i="22"/>
  <c r="F16" i="22"/>
  <c r="G16" i="22" s="1"/>
  <c r="O16" i="22"/>
  <c r="J12" i="23" l="1"/>
  <c r="G13" i="23"/>
  <c r="H13" i="23"/>
  <c r="J13" i="23" s="1"/>
  <c r="S13" i="23"/>
  <c r="K14" i="23"/>
  <c r="C15" i="23"/>
  <c r="AA14" i="23"/>
  <c r="O17" i="22"/>
  <c r="F17" i="22"/>
  <c r="G17" i="22" s="1"/>
  <c r="U18" i="22"/>
  <c r="C19" i="22"/>
  <c r="G14" i="23" l="1"/>
  <c r="H14" i="23"/>
  <c r="S14" i="23"/>
  <c r="C16" i="23"/>
  <c r="AA15" i="23"/>
  <c r="K15" i="23"/>
  <c r="F18" i="22"/>
  <c r="G18" i="22" s="1"/>
  <c r="O18" i="22"/>
  <c r="C20" i="22"/>
  <c r="U19" i="22"/>
  <c r="J14" i="23" l="1"/>
  <c r="G15" i="23"/>
  <c r="S15" i="23"/>
  <c r="H15" i="23"/>
  <c r="J15" i="23" s="1"/>
  <c r="AA16" i="23"/>
  <c r="K16" i="23"/>
  <c r="C17" i="23"/>
  <c r="O19" i="22"/>
  <c r="F19" i="22"/>
  <c r="G19" i="22" s="1"/>
  <c r="U20" i="22"/>
  <c r="C21" i="22"/>
  <c r="G16" i="23" l="1"/>
  <c r="H16" i="23"/>
  <c r="J16" i="23" s="1"/>
  <c r="S16" i="23"/>
  <c r="K17" i="23"/>
  <c r="C18" i="23"/>
  <c r="AA17" i="23"/>
  <c r="F20" i="22"/>
  <c r="G20" i="22" s="1"/>
  <c r="O20" i="22"/>
  <c r="C22" i="22"/>
  <c r="U21" i="22"/>
  <c r="H17" i="23" l="1"/>
  <c r="J17" i="23" s="1"/>
  <c r="S17" i="23"/>
  <c r="G17" i="23"/>
  <c r="K18" i="23"/>
  <c r="C19" i="23"/>
  <c r="AA18" i="23"/>
  <c r="O21" i="22"/>
  <c r="F21" i="22"/>
  <c r="G21" i="22" s="1"/>
  <c r="C23" i="22"/>
  <c r="U22" i="22"/>
  <c r="AA19" i="23" l="1"/>
  <c r="K19" i="23"/>
  <c r="C20" i="23"/>
  <c r="G18" i="23"/>
  <c r="H18" i="23"/>
  <c r="J18" i="23" s="1"/>
  <c r="S18" i="23"/>
  <c r="C24" i="22"/>
  <c r="U23" i="22"/>
  <c r="O22" i="22"/>
  <c r="F22" i="22"/>
  <c r="G22" i="22" s="1"/>
  <c r="G19" i="23" l="1"/>
  <c r="H19" i="23"/>
  <c r="J19" i="23" s="1"/>
  <c r="S19" i="23"/>
  <c r="AA20" i="23"/>
  <c r="K20" i="23"/>
  <c r="C21" i="23"/>
  <c r="U24" i="22"/>
  <c r="C25" i="22"/>
  <c r="F23" i="22"/>
  <c r="G23" i="22" s="1"/>
  <c r="O23" i="22"/>
  <c r="G20" i="23" l="1"/>
  <c r="H20" i="23"/>
  <c r="J20" i="23" s="1"/>
  <c r="S20" i="23"/>
  <c r="K21" i="23"/>
  <c r="C22" i="23"/>
  <c r="AA21" i="23"/>
  <c r="C26" i="22"/>
  <c r="U25" i="22"/>
  <c r="O24" i="22"/>
  <c r="F24" i="22"/>
  <c r="G24" i="22" s="1"/>
  <c r="H21" i="23" l="1"/>
  <c r="J21" i="23" s="1"/>
  <c r="S21" i="23"/>
  <c r="G21" i="23"/>
  <c r="C23" i="23"/>
  <c r="AA22" i="23"/>
  <c r="K22" i="23"/>
  <c r="O25" i="22"/>
  <c r="F25" i="22"/>
  <c r="G25" i="22" s="1"/>
  <c r="C27" i="22"/>
  <c r="U26" i="22"/>
  <c r="H22" i="23" l="1"/>
  <c r="J22" i="23" s="1"/>
  <c r="S22" i="23"/>
  <c r="G22" i="23"/>
  <c r="AA23" i="23"/>
  <c r="K23" i="23"/>
  <c r="C24" i="23"/>
  <c r="C28" i="22"/>
  <c r="U27" i="22"/>
  <c r="F26" i="22"/>
  <c r="G26" i="22" s="1"/>
  <c r="O26" i="22"/>
  <c r="AA24" i="23" l="1"/>
  <c r="K24" i="23"/>
  <c r="C25" i="23"/>
  <c r="G23" i="23"/>
  <c r="H23" i="23"/>
  <c r="J23" i="23" s="1"/>
  <c r="S23" i="23"/>
  <c r="F27" i="22"/>
  <c r="G27" i="22" s="1"/>
  <c r="O27" i="22"/>
  <c r="U28" i="22"/>
  <c r="C29" i="22"/>
  <c r="G24" i="23" l="1"/>
  <c r="H24" i="23"/>
  <c r="J24" i="23" s="1"/>
  <c r="S24" i="23"/>
  <c r="K25" i="23"/>
  <c r="C26" i="23"/>
  <c r="AA25" i="23"/>
  <c r="F28" i="22"/>
  <c r="G28" i="22" s="1"/>
  <c r="O28" i="22"/>
  <c r="C30" i="22"/>
  <c r="U29" i="22"/>
  <c r="G25" i="23" l="1"/>
  <c r="H25" i="23"/>
  <c r="J25" i="23" s="1"/>
  <c r="S25" i="23"/>
  <c r="C27" i="23"/>
  <c r="AA26" i="23"/>
  <c r="K26" i="23"/>
  <c r="O29" i="22"/>
  <c r="F29" i="22"/>
  <c r="G29" i="22" s="1"/>
  <c r="U30" i="22"/>
  <c r="C31" i="22"/>
  <c r="G26" i="23" l="1"/>
  <c r="S26" i="23"/>
  <c r="H26" i="23"/>
  <c r="J26" i="23" s="1"/>
  <c r="AA27" i="23"/>
  <c r="K27" i="23"/>
  <c r="C28" i="23"/>
  <c r="C32" i="22"/>
  <c r="U31" i="22"/>
  <c r="O30" i="22"/>
  <c r="F30" i="22"/>
  <c r="G30" i="22" s="1"/>
  <c r="C29" i="23" l="1"/>
  <c r="AA28" i="23"/>
  <c r="K28" i="23"/>
  <c r="H27" i="23"/>
  <c r="J27" i="23" s="1"/>
  <c r="S27" i="23"/>
  <c r="G27" i="23"/>
  <c r="O31" i="22"/>
  <c r="F31" i="22"/>
  <c r="G31" i="22" s="1"/>
  <c r="C33" i="22"/>
  <c r="U32" i="22"/>
  <c r="G28" i="23" l="1"/>
  <c r="H28" i="23"/>
  <c r="J28" i="23" s="1"/>
  <c r="S28" i="23"/>
  <c r="C30" i="23"/>
  <c r="AA29" i="23"/>
  <c r="K29" i="23"/>
  <c r="O32" i="22"/>
  <c r="F32" i="22"/>
  <c r="G32" i="22" s="1"/>
  <c r="U33" i="22"/>
  <c r="C34" i="22"/>
  <c r="H29" i="23" l="1"/>
  <c r="J29" i="23" s="1"/>
  <c r="S29" i="23"/>
  <c r="C31" i="23"/>
  <c r="AA30" i="23"/>
  <c r="K30" i="23"/>
  <c r="G29" i="23"/>
  <c r="O33" i="22"/>
  <c r="F33" i="22"/>
  <c r="G33" i="22" s="1"/>
  <c r="C35" i="22"/>
  <c r="U34" i="22"/>
  <c r="AA31" i="23" l="1"/>
  <c r="C32" i="23"/>
  <c r="K31" i="23"/>
  <c r="G30" i="23"/>
  <c r="H30" i="23"/>
  <c r="J30" i="23" s="1"/>
  <c r="S30" i="23"/>
  <c r="O34" i="22"/>
  <c r="F34" i="22"/>
  <c r="G34" i="22" s="1"/>
  <c r="U35" i="22"/>
  <c r="C36" i="22"/>
  <c r="AA32" i="23" l="1"/>
  <c r="C33" i="23"/>
  <c r="K32" i="23"/>
  <c r="G31" i="23"/>
  <c r="H31" i="23"/>
  <c r="J31" i="23" s="1"/>
  <c r="S31" i="23"/>
  <c r="F35" i="22"/>
  <c r="G35" i="22" s="1"/>
  <c r="O35" i="22"/>
  <c r="C37" i="22"/>
  <c r="U36" i="22"/>
  <c r="H32" i="23" l="1"/>
  <c r="J32" i="23" s="1"/>
  <c r="S32" i="23"/>
  <c r="AA33" i="23"/>
  <c r="C34" i="23"/>
  <c r="K33" i="23"/>
  <c r="G33" i="23"/>
  <c r="G32" i="23"/>
  <c r="C38" i="22"/>
  <c r="U37" i="22"/>
  <c r="F36" i="22"/>
  <c r="G36" i="22" s="1"/>
  <c r="O36" i="22"/>
  <c r="K34" i="23" l="1"/>
  <c r="C35" i="23"/>
  <c r="AA34" i="23"/>
  <c r="H33" i="23"/>
  <c r="J33" i="23" s="1"/>
  <c r="S33" i="23"/>
  <c r="O37" i="22"/>
  <c r="F37" i="22"/>
  <c r="G37" i="22" s="1"/>
  <c r="U38" i="22"/>
  <c r="C39" i="22"/>
  <c r="K35" i="23" l="1"/>
  <c r="C36" i="23"/>
  <c r="AA35" i="23"/>
  <c r="S34" i="23"/>
  <c r="H34" i="23"/>
  <c r="J34" i="23" s="1"/>
  <c r="G34" i="23"/>
  <c r="C40" i="22"/>
  <c r="U39" i="22"/>
  <c r="F38" i="22"/>
  <c r="G38" i="22" s="1"/>
  <c r="O38" i="22"/>
  <c r="G35" i="23" l="1"/>
  <c r="K36" i="23"/>
  <c r="C37" i="23"/>
  <c r="AA36" i="23"/>
  <c r="H35" i="23"/>
  <c r="J35" i="23" s="1"/>
  <c r="S35" i="23"/>
  <c r="O39" i="22"/>
  <c r="F39" i="22"/>
  <c r="G39" i="22" s="1"/>
  <c r="C41" i="22"/>
  <c r="U40" i="22"/>
  <c r="G36" i="23" l="1"/>
  <c r="S36" i="23"/>
  <c r="H36" i="23"/>
  <c r="J36" i="23" s="1"/>
  <c r="C38" i="23"/>
  <c r="K37" i="23"/>
  <c r="AA37" i="23"/>
  <c r="F40" i="22"/>
  <c r="G40" i="22" s="1"/>
  <c r="O40" i="22"/>
  <c r="C42" i="22"/>
  <c r="U41" i="22"/>
  <c r="H37" i="23" l="1"/>
  <c r="J37" i="23" s="1"/>
  <c r="S37" i="23"/>
  <c r="G37" i="23"/>
  <c r="AA38" i="23"/>
  <c r="K38" i="23"/>
  <c r="C39" i="23"/>
  <c r="O41" i="22"/>
  <c r="F41" i="22"/>
  <c r="G41" i="22" s="1"/>
  <c r="C43" i="22"/>
  <c r="U42" i="22"/>
  <c r="G38" i="23" l="1"/>
  <c r="AA39" i="23"/>
  <c r="K39" i="23"/>
  <c r="C40" i="23"/>
  <c r="H38" i="23"/>
  <c r="J38" i="23" s="1"/>
  <c r="S38" i="23"/>
  <c r="O42" i="22"/>
  <c r="F42" i="22"/>
  <c r="G42" i="22" s="1"/>
  <c r="U43" i="22"/>
  <c r="C44" i="22"/>
  <c r="G39" i="23" l="1"/>
  <c r="K40" i="23"/>
  <c r="C41" i="23"/>
  <c r="AA40" i="23"/>
  <c r="H39" i="23"/>
  <c r="J39" i="23" s="1"/>
  <c r="S39" i="23"/>
  <c r="F43" i="22"/>
  <c r="G43" i="22" s="1"/>
  <c r="O43" i="22"/>
  <c r="C45" i="22"/>
  <c r="U44" i="22"/>
  <c r="G40" i="23" l="1"/>
  <c r="H40" i="23"/>
  <c r="J40" i="23" s="1"/>
  <c r="S40" i="23"/>
  <c r="C42" i="23"/>
  <c r="AA41" i="23"/>
  <c r="K41" i="23"/>
  <c r="F44" i="22"/>
  <c r="G44" i="22" s="1"/>
  <c r="O44" i="22"/>
  <c r="C46" i="22"/>
  <c r="U45" i="22"/>
  <c r="S41" i="23" l="1"/>
  <c r="H41" i="23"/>
  <c r="J41" i="23" s="1"/>
  <c r="G41" i="23"/>
  <c r="AA42" i="23"/>
  <c r="K42" i="23"/>
  <c r="C43" i="23"/>
  <c r="O45" i="22"/>
  <c r="F45" i="22"/>
  <c r="G45" i="22" s="1"/>
  <c r="C47" i="22"/>
  <c r="U46" i="22"/>
  <c r="G42" i="23" l="1"/>
  <c r="S42" i="23"/>
  <c r="H42" i="23"/>
  <c r="J42" i="23" s="1"/>
  <c r="AA43" i="23"/>
  <c r="K43" i="23"/>
  <c r="C44" i="23"/>
  <c r="O46" i="22"/>
  <c r="F46" i="22"/>
  <c r="G46" i="22" s="1"/>
  <c r="C48" i="22"/>
  <c r="U47" i="22"/>
  <c r="G43" i="23" l="1"/>
  <c r="H43" i="23"/>
  <c r="J43" i="23" s="1"/>
  <c r="S43" i="23"/>
  <c r="K44" i="23"/>
  <c r="C45" i="23"/>
  <c r="AA44" i="23"/>
  <c r="F47" i="22"/>
  <c r="G47" i="22" s="1"/>
  <c r="O47" i="22"/>
  <c r="C49" i="22"/>
  <c r="U48" i="22"/>
  <c r="H44" i="23" l="1"/>
  <c r="J44" i="23" s="1"/>
  <c r="S44" i="23"/>
  <c r="C46" i="23"/>
  <c r="AA45" i="23"/>
  <c r="K45" i="23"/>
  <c r="G44" i="23"/>
  <c r="F48" i="22"/>
  <c r="G48" i="22" s="1"/>
  <c r="O48" i="22"/>
  <c r="C50" i="22"/>
  <c r="U49" i="22"/>
  <c r="G45" i="23" l="1"/>
  <c r="H45" i="23"/>
  <c r="J45" i="23" s="1"/>
  <c r="S45" i="23"/>
  <c r="AA46" i="23"/>
  <c r="K46" i="23"/>
  <c r="C47" i="23"/>
  <c r="F49" i="22"/>
  <c r="G49" i="22" s="1"/>
  <c r="O49" i="22"/>
  <c r="C51" i="22"/>
  <c r="U50" i="22"/>
  <c r="G46" i="23" l="1"/>
  <c r="H46" i="23"/>
  <c r="J46" i="23" s="1"/>
  <c r="S46" i="23"/>
  <c r="AA47" i="23"/>
  <c r="K47" i="23"/>
  <c r="C48" i="23"/>
  <c r="O50" i="22"/>
  <c r="F50" i="22"/>
  <c r="G50" i="22" s="1"/>
  <c r="C52" i="22"/>
  <c r="U51" i="22"/>
  <c r="G47" i="23" l="1"/>
  <c r="K48" i="23"/>
  <c r="C49" i="23"/>
  <c r="AA48" i="23"/>
  <c r="H47" i="23"/>
  <c r="J47" i="23" s="1"/>
  <c r="S47" i="23"/>
  <c r="O51" i="22"/>
  <c r="F51" i="22"/>
  <c r="G51" i="22" s="1"/>
  <c r="C53" i="22"/>
  <c r="U52" i="22"/>
  <c r="H48" i="23" l="1"/>
  <c r="J48" i="23" s="1"/>
  <c r="S48" i="23"/>
  <c r="G48" i="23"/>
  <c r="C50" i="23"/>
  <c r="AA49" i="23"/>
  <c r="K49" i="23"/>
  <c r="F52" i="22"/>
  <c r="G52" i="22" s="1"/>
  <c r="O52" i="22"/>
  <c r="C54" i="22"/>
  <c r="U53" i="22"/>
  <c r="AA50" i="23" l="1"/>
  <c r="K50" i="23"/>
  <c r="C51" i="23"/>
  <c r="G49" i="23"/>
  <c r="H49" i="23"/>
  <c r="J49" i="23" s="1"/>
  <c r="S49" i="23"/>
  <c r="O53" i="22"/>
  <c r="F53" i="22"/>
  <c r="G53" i="22" s="1"/>
  <c r="C55" i="22"/>
  <c r="U54" i="22"/>
  <c r="AA51" i="23" l="1"/>
  <c r="K51" i="23"/>
  <c r="C52" i="23"/>
  <c r="G50" i="23"/>
  <c r="H50" i="23"/>
  <c r="J50" i="23" s="1"/>
  <c r="S50" i="23"/>
  <c r="C56" i="22"/>
  <c r="U55" i="22"/>
  <c r="F54" i="22"/>
  <c r="G54" i="22" s="1"/>
  <c r="O54" i="22"/>
  <c r="G51" i="23" l="1"/>
  <c r="H51" i="23"/>
  <c r="J51" i="23" s="1"/>
  <c r="S51" i="23"/>
  <c r="K52" i="23"/>
  <c r="C53" i="23"/>
  <c r="AA52" i="23"/>
  <c r="F55" i="22"/>
  <c r="G55" i="22" s="1"/>
  <c r="O55" i="22"/>
  <c r="C57" i="22"/>
  <c r="U56" i="22"/>
  <c r="G52" i="23" l="1"/>
  <c r="H52" i="23"/>
  <c r="J52" i="23" s="1"/>
  <c r="S52" i="23"/>
  <c r="C54" i="23"/>
  <c r="AA53" i="23"/>
  <c r="K53" i="23"/>
  <c r="O56" i="22"/>
  <c r="F56" i="22"/>
  <c r="C58" i="22"/>
  <c r="U57" i="22"/>
  <c r="G56" i="22" l="1"/>
  <c r="G53" i="23"/>
  <c r="S53" i="23"/>
  <c r="H53" i="23"/>
  <c r="J53" i="23" s="1"/>
  <c r="AA54" i="23"/>
  <c r="K54" i="23"/>
  <c r="C55" i="23"/>
  <c r="O57" i="22"/>
  <c r="F57" i="22"/>
  <c r="G57" i="22" s="1"/>
  <c r="C59" i="22"/>
  <c r="U58" i="22"/>
  <c r="H54" i="23" l="1"/>
  <c r="J54" i="23" s="1"/>
  <c r="S54" i="23"/>
  <c r="AA55" i="23"/>
  <c r="K55" i="23"/>
  <c r="C56" i="23"/>
  <c r="G54" i="23"/>
  <c r="O58" i="22"/>
  <c r="F58" i="22"/>
  <c r="G58" i="22" s="1"/>
  <c r="C60" i="22"/>
  <c r="U59" i="22"/>
  <c r="G55" i="23" l="1"/>
  <c r="K56" i="23"/>
  <c r="C57" i="23"/>
  <c r="H55" i="23"/>
  <c r="S55" i="23"/>
  <c r="O59" i="22"/>
  <c r="F59" i="22"/>
  <c r="G59" i="22" s="1"/>
  <c r="C61" i="22"/>
  <c r="U60" i="22"/>
  <c r="AA56" i="23" l="1"/>
  <c r="J55" i="23"/>
  <c r="H56" i="23"/>
  <c r="S56" i="23"/>
  <c r="K57" i="23"/>
  <c r="C58" i="23"/>
  <c r="AA57" i="23"/>
  <c r="G56" i="23"/>
  <c r="O60" i="22"/>
  <c r="F60" i="22"/>
  <c r="G60" i="22" s="1"/>
  <c r="C62" i="22"/>
  <c r="U61" i="22"/>
  <c r="G57" i="23" l="1"/>
  <c r="J56" i="23"/>
  <c r="H57" i="23"/>
  <c r="J57" i="23" s="1"/>
  <c r="S57" i="23"/>
  <c r="AA58" i="23"/>
  <c r="C59" i="23"/>
  <c r="K58" i="23"/>
  <c r="O61" i="22"/>
  <c r="F61" i="22"/>
  <c r="G61" i="22" s="1"/>
  <c r="C63" i="22"/>
  <c r="U62" i="22"/>
  <c r="G58" i="23" l="1"/>
  <c r="S58" i="23"/>
  <c r="H58" i="23"/>
  <c r="J58" i="23" s="1"/>
  <c r="K59" i="23"/>
  <c r="C60" i="23"/>
  <c r="AA59" i="23"/>
  <c r="O62" i="22"/>
  <c r="F62" i="22"/>
  <c r="G62" i="22" s="1"/>
  <c r="C64" i="22"/>
  <c r="U63" i="22"/>
  <c r="K60" i="23" l="1"/>
  <c r="C61" i="23"/>
  <c r="AA60" i="23"/>
  <c r="S59" i="23"/>
  <c r="H59" i="23"/>
  <c r="J59" i="23" s="1"/>
  <c r="G59" i="23"/>
  <c r="O63" i="22"/>
  <c r="F63" i="22"/>
  <c r="G63" i="22" s="1"/>
  <c r="C65" i="22"/>
  <c r="U64" i="22"/>
  <c r="H60" i="23" l="1"/>
  <c r="J60" i="23" s="1"/>
  <c r="S60" i="23"/>
  <c r="K61" i="23"/>
  <c r="C62" i="23"/>
  <c r="AA61" i="23"/>
  <c r="G60" i="23"/>
  <c r="C66" i="22"/>
  <c r="U65" i="22"/>
  <c r="O64" i="22"/>
  <c r="F64" i="22"/>
  <c r="G64" i="22" s="1"/>
  <c r="G61" i="23" l="1"/>
  <c r="H61" i="23"/>
  <c r="J61" i="23" s="1"/>
  <c r="S61" i="23"/>
  <c r="AA62" i="23"/>
  <c r="C63" i="23"/>
  <c r="K62" i="23"/>
  <c r="O65" i="22"/>
  <c r="F65" i="22"/>
  <c r="G65" i="22" s="1"/>
  <c r="C67" i="22"/>
  <c r="U66" i="22"/>
  <c r="G62" i="23" l="1"/>
  <c r="S62" i="23"/>
  <c r="H62" i="23"/>
  <c r="J62" i="23" s="1"/>
  <c r="K63" i="23"/>
  <c r="C64" i="23"/>
  <c r="AA63" i="23"/>
  <c r="O66" i="22"/>
  <c r="F66" i="22"/>
  <c r="G66" i="22" s="1"/>
  <c r="C68" i="22"/>
  <c r="U67" i="22"/>
  <c r="G63" i="23" l="1"/>
  <c r="S63" i="23"/>
  <c r="H63" i="23"/>
  <c r="J63" i="23" s="1"/>
  <c r="K64" i="23"/>
  <c r="C65" i="23"/>
  <c r="AA64" i="23"/>
  <c r="O67" i="22"/>
  <c r="F67" i="22"/>
  <c r="G67" i="22" s="1"/>
  <c r="C69" i="22"/>
  <c r="U68" i="22"/>
  <c r="H64" i="23" l="1"/>
  <c r="J64" i="23" s="1"/>
  <c r="S64" i="23"/>
  <c r="G64" i="23"/>
  <c r="K65" i="23"/>
  <c r="C66" i="23"/>
  <c r="AA65" i="23"/>
  <c r="O68" i="22"/>
  <c r="F68" i="22"/>
  <c r="G68" i="22" s="1"/>
  <c r="C70" i="22"/>
  <c r="U69" i="22"/>
  <c r="G65" i="23" l="1"/>
  <c r="H65" i="23"/>
  <c r="J65" i="23" s="1"/>
  <c r="S65" i="23"/>
  <c r="AA66" i="23"/>
  <c r="K66" i="23"/>
  <c r="C67" i="23"/>
  <c r="O69" i="22"/>
  <c r="F69" i="22"/>
  <c r="G69" i="22" s="1"/>
  <c r="C71" i="22"/>
  <c r="U70" i="22"/>
  <c r="G66" i="23" l="1"/>
  <c r="K67" i="23"/>
  <c r="C68" i="23"/>
  <c r="AA67" i="23"/>
  <c r="S66" i="23"/>
  <c r="H66" i="23"/>
  <c r="J66" i="23" s="1"/>
  <c r="O70" i="22"/>
  <c r="F70" i="22"/>
  <c r="G70" i="22" s="1"/>
  <c r="C72" i="22"/>
  <c r="U71" i="22"/>
  <c r="K68" i="23" l="1"/>
  <c r="C69" i="23"/>
  <c r="AA68" i="23"/>
  <c r="G67" i="23"/>
  <c r="S67" i="23"/>
  <c r="H67" i="23"/>
  <c r="J67" i="23" s="1"/>
  <c r="O71" i="22"/>
  <c r="F71" i="22"/>
  <c r="G71" i="22" s="1"/>
  <c r="C73" i="22"/>
  <c r="U72" i="22"/>
  <c r="H68" i="23" l="1"/>
  <c r="J68" i="23" s="1"/>
  <c r="S68" i="23"/>
  <c r="K69" i="23"/>
  <c r="C70" i="23"/>
  <c r="AA69" i="23"/>
  <c r="G68" i="23"/>
  <c r="O72" i="22"/>
  <c r="F72" i="22"/>
  <c r="G72" i="22" s="1"/>
  <c r="C74" i="22"/>
  <c r="U73" i="22"/>
  <c r="H69" i="23" l="1"/>
  <c r="J69" i="23" s="1"/>
  <c r="S69" i="23"/>
  <c r="AA70" i="23"/>
  <c r="C71" i="23"/>
  <c r="K70" i="23"/>
  <c r="G69" i="23"/>
  <c r="C75" i="22"/>
  <c r="U74" i="22"/>
  <c r="O73" i="22"/>
  <c r="F73" i="22"/>
  <c r="G73" i="22" s="1"/>
  <c r="G70" i="23" l="1"/>
  <c r="K71" i="23"/>
  <c r="C72" i="23"/>
  <c r="AA71" i="23"/>
  <c r="S70" i="23"/>
  <c r="H70" i="23"/>
  <c r="J70" i="23" s="1"/>
  <c r="O74" i="22"/>
  <c r="F74" i="22"/>
  <c r="G74" i="22" s="1"/>
  <c r="C76" i="22"/>
  <c r="U75" i="22"/>
  <c r="K72" i="23" l="1"/>
  <c r="C73" i="23"/>
  <c r="AA72" i="23"/>
  <c r="G71" i="23"/>
  <c r="S71" i="23"/>
  <c r="H71" i="23"/>
  <c r="J71" i="23" s="1"/>
  <c r="O75" i="22"/>
  <c r="F75" i="22"/>
  <c r="G75" i="22" s="1"/>
  <c r="C77" i="22"/>
  <c r="U76" i="22"/>
  <c r="H72" i="23" l="1"/>
  <c r="J72" i="23" s="1"/>
  <c r="S72" i="23"/>
  <c r="K73" i="23"/>
  <c r="C74" i="23"/>
  <c r="AA73" i="23"/>
  <c r="G72" i="23"/>
  <c r="O76" i="22"/>
  <c r="F76" i="22"/>
  <c r="G76" i="22" s="1"/>
  <c r="C78" i="22"/>
  <c r="U77" i="22"/>
  <c r="G73" i="23" l="1"/>
  <c r="H73" i="23"/>
  <c r="J73" i="23" s="1"/>
  <c r="S73" i="23"/>
  <c r="AA74" i="23"/>
  <c r="C75" i="23"/>
  <c r="K74" i="23"/>
  <c r="O77" i="22"/>
  <c r="F77" i="22"/>
  <c r="G77" i="22" s="1"/>
  <c r="U78" i="22"/>
  <c r="K75" i="23" l="1"/>
  <c r="C76" i="23"/>
  <c r="AA75" i="23"/>
  <c r="S74" i="23"/>
  <c r="H74" i="23"/>
  <c r="J74" i="23" s="1"/>
  <c r="G74" i="23"/>
  <c r="O78" i="22"/>
  <c r="F78" i="22"/>
  <c r="G78" i="22" s="1"/>
  <c r="Z35" i="22" a="1"/>
  <c r="Z35" i="22" s="1"/>
  <c r="Z38" i="22" s="1"/>
  <c r="Z36" i="22" a="1"/>
  <c r="Z36" i="22" s="1"/>
  <c r="AN28" i="22" s="1"/>
  <c r="V56" i="22" l="1"/>
  <c r="W56" i="22"/>
  <c r="K76" i="23"/>
  <c r="C77" i="23"/>
  <c r="AA76" i="23"/>
  <c r="G75" i="23"/>
  <c r="S75" i="23"/>
  <c r="H75" i="23"/>
  <c r="J75" i="23" s="1"/>
  <c r="Z13" i="22" a="1"/>
  <c r="Z13" i="22" s="1"/>
  <c r="Z16" i="22" s="1"/>
  <c r="Z14" i="22" a="1"/>
  <c r="Z14" i="22" s="1"/>
  <c r="W55" i="22"/>
  <c r="W52" i="22"/>
  <c r="V55" i="22"/>
  <c r="V52" i="22"/>
  <c r="V49" i="22"/>
  <c r="W53" i="22"/>
  <c r="W45" i="22"/>
  <c r="W40" i="22"/>
  <c r="V53" i="22"/>
  <c r="W50" i="22"/>
  <c r="V45" i="22"/>
  <c r="V40" i="22"/>
  <c r="W35" i="22"/>
  <c r="W25" i="22"/>
  <c r="V50" i="22"/>
  <c r="W54" i="22"/>
  <c r="W51" i="22"/>
  <c r="V54" i="22"/>
  <c r="V47" i="22"/>
  <c r="W48" i="22"/>
  <c r="W43" i="22"/>
  <c r="V32" i="22"/>
  <c r="V27" i="22"/>
  <c r="W22" i="22"/>
  <c r="W17" i="22"/>
  <c r="V41" i="22"/>
  <c r="V38" i="22"/>
  <c r="W24" i="22"/>
  <c r="W15" i="22"/>
  <c r="V43" i="22"/>
  <c r="V35" i="22"/>
  <c r="W33" i="22"/>
  <c r="V24" i="22"/>
  <c r="W21" i="22"/>
  <c r="W18" i="22"/>
  <c r="V15" i="22"/>
  <c r="V51" i="22"/>
  <c r="V48" i="22"/>
  <c r="V33" i="22"/>
  <c r="W31" i="22"/>
  <c r="V18" i="22"/>
  <c r="W8" i="22"/>
  <c r="V21" i="22"/>
  <c r="W11" i="22"/>
  <c r="V37" i="22"/>
  <c r="V29" i="22"/>
  <c r="W27" i="22"/>
  <c r="W16" i="22"/>
  <c r="V25" i="22"/>
  <c r="V22" i="22"/>
  <c r="W19" i="22"/>
  <c r="V16" i="22"/>
  <c r="W12" i="22"/>
  <c r="W49" i="22"/>
  <c r="W42" i="22"/>
  <c r="W39" i="22"/>
  <c r="W36" i="22"/>
  <c r="W34" i="22"/>
  <c r="W23" i="22"/>
  <c r="V9" i="22"/>
  <c r="V42" i="22"/>
  <c r="V39" i="22"/>
  <c r="V36" i="22"/>
  <c r="V34" i="22"/>
  <c r="W32" i="22"/>
  <c r="V23" i="22"/>
  <c r="W46" i="22"/>
  <c r="V46" i="22"/>
  <c r="W30" i="22"/>
  <c r="W28" i="22"/>
  <c r="W26" i="22"/>
  <c r="W20" i="22"/>
  <c r="V17" i="22"/>
  <c r="V13" i="22"/>
  <c r="W44" i="22"/>
  <c r="V30" i="22"/>
  <c r="V28" i="22"/>
  <c r="V26" i="22"/>
  <c r="V20" i="22"/>
  <c r="W14" i="22"/>
  <c r="W10" i="22"/>
  <c r="W47" i="22"/>
  <c r="V44" i="22"/>
  <c r="W41" i="22"/>
  <c r="W38" i="22"/>
  <c r="W9" i="22"/>
  <c r="V8" i="22"/>
  <c r="V10" i="22"/>
  <c r="W37" i="22"/>
  <c r="V11" i="22"/>
  <c r="V19" i="22"/>
  <c r="W13" i="22"/>
  <c r="V31" i="22"/>
  <c r="W29" i="22"/>
  <c r="V14" i="22"/>
  <c r="V12" i="22"/>
  <c r="Z24" i="22" a="1"/>
  <c r="Z24" i="22" s="1"/>
  <c r="Z27" i="22" s="1"/>
  <c r="Z25" i="22" a="1"/>
  <c r="Z25" i="22" s="1"/>
  <c r="AN18" i="22" s="1"/>
  <c r="P56" i="22" l="1"/>
  <c r="Q56" i="22"/>
  <c r="K56" i="22"/>
  <c r="J56" i="22"/>
  <c r="H76" i="23"/>
  <c r="J76" i="23" s="1"/>
  <c r="S76" i="23"/>
  <c r="K77" i="23"/>
  <c r="C78" i="23"/>
  <c r="AA77" i="23"/>
  <c r="G76" i="23"/>
  <c r="Q46" i="22"/>
  <c r="P54" i="22"/>
  <c r="P51" i="22"/>
  <c r="Q47" i="22"/>
  <c r="Q42" i="22"/>
  <c r="P47" i="22"/>
  <c r="P42" i="22"/>
  <c r="P37" i="22"/>
  <c r="Q48" i="22"/>
  <c r="Q43" i="22"/>
  <c r="P32" i="22"/>
  <c r="P27" i="22"/>
  <c r="Q55" i="22"/>
  <c r="Q52" i="22"/>
  <c r="P48" i="22"/>
  <c r="P55" i="22"/>
  <c r="P52" i="22"/>
  <c r="Q49" i="22"/>
  <c r="Q53" i="22"/>
  <c r="Q45" i="22"/>
  <c r="P53" i="22"/>
  <c r="Q50" i="22"/>
  <c r="P45" i="22"/>
  <c r="P40" i="22"/>
  <c r="Q35" i="22"/>
  <c r="Q25" i="22"/>
  <c r="Q19" i="22"/>
  <c r="P46" i="22"/>
  <c r="P39" i="22"/>
  <c r="Q36" i="22"/>
  <c r="Q34" i="22"/>
  <c r="Q54" i="22"/>
  <c r="Q44" i="22"/>
  <c r="P36" i="22"/>
  <c r="P34" i="22"/>
  <c r="Q32" i="22"/>
  <c r="Q23" i="22"/>
  <c r="P9" i="22"/>
  <c r="P44" i="22"/>
  <c r="Q30" i="22"/>
  <c r="Q28" i="22"/>
  <c r="Q26" i="22"/>
  <c r="Q17" i="22"/>
  <c r="P23" i="22"/>
  <c r="Q20" i="22"/>
  <c r="Q13" i="22"/>
  <c r="Q51" i="22"/>
  <c r="Q41" i="22"/>
  <c r="P38" i="22"/>
  <c r="Q14" i="22"/>
  <c r="P41" i="22"/>
  <c r="Q24" i="22"/>
  <c r="P14" i="22"/>
  <c r="P10" i="22"/>
  <c r="P43" i="22"/>
  <c r="P35" i="22"/>
  <c r="Q33" i="22"/>
  <c r="P33" i="22"/>
  <c r="Q31" i="22"/>
  <c r="P21" i="22"/>
  <c r="Q18" i="22"/>
  <c r="P15" i="22"/>
  <c r="Q40" i="22"/>
  <c r="P31" i="22"/>
  <c r="Q29" i="22"/>
  <c r="P18" i="22"/>
  <c r="P49" i="22"/>
  <c r="Q37" i="22"/>
  <c r="P29" i="22"/>
  <c r="Q27" i="22"/>
  <c r="Q16" i="22"/>
  <c r="P11" i="22"/>
  <c r="P8" i="22"/>
  <c r="P22" i="22"/>
  <c r="P25" i="22"/>
  <c r="Q22" i="22"/>
  <c r="P16" i="22"/>
  <c r="P50" i="22"/>
  <c r="Q39" i="22"/>
  <c r="P19" i="22"/>
  <c r="P13" i="22"/>
  <c r="P20" i="22"/>
  <c r="P17" i="22"/>
  <c r="P28" i="22"/>
  <c r="Q21" i="22"/>
  <c r="Q12" i="22"/>
  <c r="P12" i="22"/>
  <c r="Q38" i="22"/>
  <c r="P26" i="22"/>
  <c r="P24" i="22"/>
  <c r="Q15" i="22"/>
  <c r="Q11" i="22"/>
  <c r="P30" i="22"/>
  <c r="Q10" i="22"/>
  <c r="Q9" i="22"/>
  <c r="Q8" i="22"/>
  <c r="J55" i="22"/>
  <c r="K49" i="22"/>
  <c r="K53" i="22"/>
  <c r="K45" i="22"/>
  <c r="K40" i="22"/>
  <c r="J53" i="22"/>
  <c r="K50" i="22"/>
  <c r="J45" i="22"/>
  <c r="J40" i="22"/>
  <c r="J50" i="22"/>
  <c r="J35" i="22"/>
  <c r="K30" i="22"/>
  <c r="J25" i="22"/>
  <c r="K54" i="22"/>
  <c r="K51" i="22"/>
  <c r="J54" i="22"/>
  <c r="J51" i="22"/>
  <c r="K48" i="22"/>
  <c r="K55" i="22"/>
  <c r="K52" i="22"/>
  <c r="J48" i="22"/>
  <c r="J43" i="22"/>
  <c r="K38" i="22"/>
  <c r="K33" i="22"/>
  <c r="J22" i="22"/>
  <c r="J17" i="22"/>
  <c r="J37" i="22"/>
  <c r="J31" i="22"/>
  <c r="K29" i="22"/>
  <c r="J21" i="22"/>
  <c r="J18" i="22"/>
  <c r="J15" i="22"/>
  <c r="J29" i="22"/>
  <c r="K27" i="22"/>
  <c r="K11" i="22"/>
  <c r="K8" i="22"/>
  <c r="K46" i="22"/>
  <c r="K42" i="22"/>
  <c r="K16" i="22"/>
  <c r="J27" i="22"/>
  <c r="K25" i="22"/>
  <c r="J11" i="22"/>
  <c r="J8" i="22"/>
  <c r="K47" i="22"/>
  <c r="J46" i="22"/>
  <c r="J42" i="22"/>
  <c r="K39" i="22"/>
  <c r="J47" i="22"/>
  <c r="J39" i="22"/>
  <c r="K36" i="22"/>
  <c r="K34" i="22"/>
  <c r="J19" i="22"/>
  <c r="K44" i="22"/>
  <c r="J36" i="22"/>
  <c r="J34" i="22"/>
  <c r="K32" i="22"/>
  <c r="J12" i="22"/>
  <c r="K9" i="22"/>
  <c r="J32" i="22"/>
  <c r="J44" i="22"/>
  <c r="K41" i="22"/>
  <c r="J30" i="22"/>
  <c r="K28" i="22"/>
  <c r="K26" i="22"/>
  <c r="J23" i="22"/>
  <c r="K20" i="22"/>
  <c r="K17" i="22"/>
  <c r="K13" i="22"/>
  <c r="J41" i="22"/>
  <c r="J38" i="22"/>
  <c r="J28" i="22"/>
  <c r="J26" i="22"/>
  <c r="J20" i="22"/>
  <c r="K24" i="22"/>
  <c r="K14" i="22"/>
  <c r="K10" i="22"/>
  <c r="J49" i="22"/>
  <c r="K43" i="22"/>
  <c r="K35" i="22"/>
  <c r="J24" i="22"/>
  <c r="J14" i="22"/>
  <c r="J10" i="22"/>
  <c r="J52" i="22"/>
  <c r="K37" i="22"/>
  <c r="J33" i="22"/>
  <c r="K31" i="22"/>
  <c r="J16" i="22"/>
  <c r="K23" i="22"/>
  <c r="K19" i="22"/>
  <c r="J13" i="22"/>
  <c r="K21" i="22"/>
  <c r="J9" i="22"/>
  <c r="K22" i="22"/>
  <c r="K18" i="22"/>
  <c r="K12" i="22"/>
  <c r="K15" i="22"/>
  <c r="G77" i="23" l="1"/>
  <c r="H77" i="23"/>
  <c r="J77" i="23" s="1"/>
  <c r="S77" i="23"/>
  <c r="AA78" i="23"/>
  <c r="AF37" i="23" s="1" a="1"/>
  <c r="AF37" i="23" s="1"/>
  <c r="K78" i="23"/>
  <c r="AF49" i="23" s="1" a="1"/>
  <c r="AF49" i="23" s="1"/>
  <c r="G78" i="23" l="1"/>
  <c r="AF50" i="23" a="1"/>
  <c r="AF50" i="23" s="1"/>
  <c r="AS43" i="23" s="1"/>
  <c r="AF52" i="23"/>
  <c r="AF40" i="23"/>
  <c r="AF38" i="23" a="1"/>
  <c r="AF38" i="23" s="1"/>
  <c r="AS28" i="23" s="1"/>
  <c r="S78" i="23"/>
  <c r="AF25" i="23" s="1" a="1"/>
  <c r="AF25" i="23" s="1"/>
  <c r="H78" i="23"/>
  <c r="AF17" i="23" s="1"/>
  <c r="AC56" i="23" l="1"/>
  <c r="AB56" i="23"/>
  <c r="J78" i="23"/>
  <c r="AF13" i="23" s="1" a="1"/>
  <c r="AF13" i="23" s="1"/>
  <c r="AF18" i="23"/>
  <c r="AF26" i="23" a="1"/>
  <c r="AF26" i="23" s="1"/>
  <c r="AS18" i="23" s="1"/>
  <c r="AF28" i="23"/>
  <c r="AC54" i="23"/>
  <c r="AB54" i="23"/>
  <c r="AC50" i="23"/>
  <c r="AB50" i="23"/>
  <c r="AC46" i="23"/>
  <c r="AC42" i="23"/>
  <c r="AC53" i="23"/>
  <c r="AB46" i="23"/>
  <c r="AB42" i="23"/>
  <c r="AC38" i="23"/>
  <c r="AC34" i="23"/>
  <c r="AB53" i="23"/>
  <c r="AB38" i="23"/>
  <c r="AC49" i="23"/>
  <c r="AC45" i="23"/>
  <c r="AC41" i="23"/>
  <c r="AC52" i="23"/>
  <c r="AB49" i="23"/>
  <c r="AB45" i="23"/>
  <c r="AB41" i="23"/>
  <c r="AB52" i="23"/>
  <c r="AC37" i="23"/>
  <c r="AB33" i="23"/>
  <c r="AC48" i="23"/>
  <c r="AC44" i="23"/>
  <c r="AC40" i="23"/>
  <c r="AB37" i="23"/>
  <c r="AC29" i="23"/>
  <c r="AC55" i="23"/>
  <c r="AC51" i="23"/>
  <c r="AB48" i="23"/>
  <c r="AB44" i="23"/>
  <c r="AB40" i="23"/>
  <c r="AC32" i="23"/>
  <c r="AB29" i="23"/>
  <c r="AB47" i="23"/>
  <c r="AB36" i="23"/>
  <c r="AB16" i="23"/>
  <c r="AC27" i="23"/>
  <c r="AC23" i="23"/>
  <c r="AC19" i="23"/>
  <c r="AC12" i="23"/>
  <c r="AB51" i="23"/>
  <c r="AC43" i="23"/>
  <c r="AC28" i="23"/>
  <c r="AB27" i="23"/>
  <c r="AB23" i="23"/>
  <c r="AB19" i="23"/>
  <c r="AC15" i="23"/>
  <c r="AB12" i="23"/>
  <c r="AB43" i="23"/>
  <c r="AC33" i="23"/>
  <c r="AC30" i="23"/>
  <c r="AB28" i="23"/>
  <c r="AC26" i="23"/>
  <c r="AB15" i="23"/>
  <c r="AC36" i="23"/>
  <c r="AC35" i="23"/>
  <c r="AB30" i="23"/>
  <c r="AB26" i="23"/>
  <c r="AC22" i="23"/>
  <c r="AC11" i="23"/>
  <c r="AB35" i="23"/>
  <c r="AC31" i="23"/>
  <c r="AB22" i="23"/>
  <c r="AC18" i="23"/>
  <c r="AB11" i="23"/>
  <c r="AB55" i="23"/>
  <c r="AB31" i="23"/>
  <c r="AC25" i="23"/>
  <c r="AB18" i="23"/>
  <c r="AC14" i="23"/>
  <c r="AC10" i="23"/>
  <c r="AB25" i="23"/>
  <c r="AC21" i="23"/>
  <c r="AB14" i="23"/>
  <c r="AB10" i="23"/>
  <c r="AB9" i="23"/>
  <c r="AC39" i="23"/>
  <c r="AB21" i="23"/>
  <c r="AC17" i="23"/>
  <c r="AC9" i="23"/>
  <c r="AB39" i="23"/>
  <c r="AB34" i="23"/>
  <c r="AC24" i="23"/>
  <c r="AB17" i="23"/>
  <c r="AB32" i="23"/>
  <c r="AB24" i="23"/>
  <c r="AC20" i="23"/>
  <c r="AC13" i="23"/>
  <c r="AC8" i="23"/>
  <c r="AC47" i="23"/>
  <c r="AC16" i="23"/>
  <c r="AB20" i="23"/>
  <c r="AB8" i="23"/>
  <c r="AB13" i="23"/>
  <c r="T56" i="23" l="1"/>
  <c r="U56" i="23"/>
  <c r="T53" i="23"/>
  <c r="U49" i="23"/>
  <c r="U45" i="23"/>
  <c r="U52" i="23"/>
  <c r="T49" i="23"/>
  <c r="T45" i="23"/>
  <c r="T41" i="23"/>
  <c r="T52" i="23"/>
  <c r="U37" i="23"/>
  <c r="T33" i="23"/>
  <c r="U48" i="23"/>
  <c r="U44" i="23"/>
  <c r="U40" i="23"/>
  <c r="U55" i="23"/>
  <c r="U51" i="23"/>
  <c r="T48" i="23"/>
  <c r="T44" i="23"/>
  <c r="T40" i="23"/>
  <c r="U32" i="23"/>
  <c r="T55" i="23"/>
  <c r="T51" i="23"/>
  <c r="U47" i="23"/>
  <c r="U43" i="23"/>
  <c r="U39" i="23"/>
  <c r="T36" i="23"/>
  <c r="U54" i="23"/>
  <c r="T47" i="23"/>
  <c r="T43" i="23"/>
  <c r="T39" i="23"/>
  <c r="U31" i="23"/>
  <c r="U28" i="23"/>
  <c r="T54" i="23"/>
  <c r="U50" i="23"/>
  <c r="U35" i="23"/>
  <c r="T31" i="23"/>
  <c r="T28" i="23"/>
  <c r="T42" i="23"/>
  <c r="U34" i="23"/>
  <c r="U22" i="23"/>
  <c r="U11" i="23"/>
  <c r="U41" i="23"/>
  <c r="T37" i="23"/>
  <c r="T34" i="23"/>
  <c r="T22" i="23"/>
  <c r="U18" i="23"/>
  <c r="T11" i="23"/>
  <c r="U10" i="23"/>
  <c r="U25" i="23"/>
  <c r="T18" i="23"/>
  <c r="U14" i="23"/>
  <c r="T25" i="23"/>
  <c r="U21" i="23"/>
  <c r="T14" i="23"/>
  <c r="T10" i="23"/>
  <c r="T32" i="23"/>
  <c r="T21" i="23"/>
  <c r="U17" i="23"/>
  <c r="U9" i="23"/>
  <c r="U36" i="23"/>
  <c r="U24" i="23"/>
  <c r="T17" i="23"/>
  <c r="T9" i="23"/>
  <c r="U8" i="23"/>
  <c r="T24" i="23"/>
  <c r="U20" i="23"/>
  <c r="U13" i="23"/>
  <c r="T8" i="23"/>
  <c r="T20" i="23"/>
  <c r="U16" i="23"/>
  <c r="T13" i="23"/>
  <c r="U38" i="23"/>
  <c r="T35" i="23"/>
  <c r="U33" i="23"/>
  <c r="U27" i="23"/>
  <c r="T16" i="23"/>
  <c r="T50" i="23"/>
  <c r="U46" i="23"/>
  <c r="T38" i="23"/>
  <c r="U30" i="23"/>
  <c r="U29" i="23"/>
  <c r="T27" i="23"/>
  <c r="U23" i="23"/>
  <c r="U19" i="23"/>
  <c r="U12" i="23"/>
  <c r="T46" i="23"/>
  <c r="T30" i="23"/>
  <c r="T29" i="23"/>
  <c r="U26" i="23"/>
  <c r="T23" i="23"/>
  <c r="T19" i="23"/>
  <c r="U15" i="23"/>
  <c r="T12" i="23"/>
  <c r="U53" i="23"/>
  <c r="U42" i="23"/>
  <c r="T26" i="23"/>
  <c r="T15" i="23"/>
  <c r="AF14" i="23" a="1"/>
  <c r="AF14" i="23" s="1"/>
  <c r="AF16" i="23"/>
  <c r="L55" i="23" l="1"/>
  <c r="M55" i="23"/>
  <c r="M56" i="23"/>
  <c r="L56" i="23"/>
  <c r="M51" i="23"/>
  <c r="L51" i="23"/>
  <c r="M47" i="23"/>
  <c r="M43" i="23"/>
  <c r="M39" i="23"/>
  <c r="M54" i="23"/>
  <c r="L47" i="23"/>
  <c r="L43" i="23"/>
  <c r="L39" i="23"/>
  <c r="L54" i="23"/>
  <c r="M50" i="23"/>
  <c r="L50" i="23"/>
  <c r="M46" i="23"/>
  <c r="M42" i="23"/>
  <c r="L35" i="23"/>
  <c r="M53" i="23"/>
  <c r="L46" i="23"/>
  <c r="L42" i="23"/>
  <c r="M38" i="23"/>
  <c r="L53" i="23"/>
  <c r="L38" i="23"/>
  <c r="L34" i="23"/>
  <c r="M49" i="23"/>
  <c r="M45" i="23"/>
  <c r="M41" i="23"/>
  <c r="L30" i="23"/>
  <c r="M52" i="23"/>
  <c r="L49" i="23"/>
  <c r="L45" i="23"/>
  <c r="L41" i="23"/>
  <c r="M33" i="23"/>
  <c r="M24" i="23"/>
  <c r="L17" i="23"/>
  <c r="L9" i="23"/>
  <c r="L8" i="23"/>
  <c r="L33" i="23"/>
  <c r="L24" i="23"/>
  <c r="M20" i="23"/>
  <c r="M13" i="23"/>
  <c r="M35" i="23"/>
  <c r="M29" i="23"/>
  <c r="L20" i="23"/>
  <c r="M16" i="23"/>
  <c r="L13" i="23"/>
  <c r="M40" i="23"/>
  <c r="M37" i="23"/>
  <c r="L29" i="23"/>
  <c r="M28" i="23"/>
  <c r="M27" i="23"/>
  <c r="L16" i="23"/>
  <c r="L40" i="23"/>
  <c r="L37" i="23"/>
  <c r="M31" i="23"/>
  <c r="M30" i="23"/>
  <c r="L28" i="23"/>
  <c r="L27" i="23"/>
  <c r="M23" i="23"/>
  <c r="M19" i="23"/>
  <c r="M12" i="23"/>
  <c r="L31" i="23"/>
  <c r="M26" i="23"/>
  <c r="L23" i="23"/>
  <c r="L19" i="23"/>
  <c r="M15" i="23"/>
  <c r="L12" i="23"/>
  <c r="M34" i="23"/>
  <c r="L26" i="23"/>
  <c r="L15" i="23"/>
  <c r="M10" i="23"/>
  <c r="M48" i="23"/>
  <c r="M22" i="23"/>
  <c r="M11" i="23"/>
  <c r="L48" i="23"/>
  <c r="M32" i="23"/>
  <c r="L22" i="23"/>
  <c r="M18" i="23"/>
  <c r="L11" i="23"/>
  <c r="M36" i="23"/>
  <c r="L32" i="23"/>
  <c r="M25" i="23"/>
  <c r="L18" i="23"/>
  <c r="M14" i="23"/>
  <c r="M44" i="23"/>
  <c r="L36" i="23"/>
  <c r="L25" i="23"/>
  <c r="M21" i="23"/>
  <c r="L14" i="23"/>
  <c r="L10" i="23"/>
  <c r="L52" i="23"/>
  <c r="L44" i="23"/>
  <c r="M17" i="23"/>
  <c r="M8" i="23"/>
  <c r="M9" i="23"/>
  <c r="L2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tc={9245F79D-0A65-47DF-94F6-E3B4785505E5}</author>
    <author>tc={508682D8-E4CA-4254-BC8F-0BEE1BE81BAD}</author>
    <author>tc={060E0141-247F-4A90-AA8B-0CA71CEA93DC}</author>
    <author>tc={0621FDE1-092F-4B0A-B6B9-713897DF0CC5}</author>
    <author>tc={6744EB57-859E-42EA-B4F2-F10942B49A22}</author>
    <author>tc={33530D03-226A-4358-A568-CF8D6E16063E}</author>
    <author>tc={DEE131DF-B99E-49E5-B71E-E8FA46139EA4}</author>
    <author>tc={D7D1BB5E-BF21-4496-ACA8-360768C57861}</author>
    <author>tc={A4FE517B-52ED-47DC-A9CE-D59F3913061A}</author>
    <author>tc={C9ADCFB2-7E30-41ED-B43B-6911BE354135}</author>
  </authors>
  <commentList>
    <comment ref="AA3" authorId="0" shapeId="0" xr:uid="{9245F79D-0A65-47DF-94F6-E3B4785505E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Saturation value or carrying capalcity</t>
      </text>
    </comment>
    <comment ref="AA4" authorId="1" shapeId="0" xr:uid="{508682D8-E4CA-4254-BC8F-0BEE1BE81BA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Point of inflection</t>
      </text>
    </comment>
    <comment ref="AA5" authorId="2" shapeId="0" xr:uid="{060E0141-247F-4A90-AA8B-0CA71CEA93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Slope or decay time</t>
      </text>
    </comment>
    <comment ref="B8" authorId="3" shapeId="0" xr:uid="{0621FDE1-092F-4B0A-B6B9-713897DF0CC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first red zones (north)</t>
      </text>
    </comment>
    <comment ref="B14" authorId="4" shapeId="0" xr:uid="{6744EB57-859E-42EA-B4F2-F10942B49A2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8" authorId="5" shapeId="0" xr:uid="{33530D03-226A-4358-A568-CF8D6E16063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1" authorId="6" shapeId="0" xr:uid="{DEE131DF-B99E-49E5-B71E-E8FA46139EA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full lockdown (northern Italy)</t>
      </text>
    </comment>
    <comment ref="B23" authorId="7" shapeId="0" xr:uid="{D7D1BB5E-BF21-4496-ACA8-360768C5786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5" authorId="8" shapeId="0" xr:uid="{A4FE517B-52ED-47DC-A9CE-D59F3913061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full lockdown (Italy)</t>
      </text>
    </comment>
    <comment ref="B36" authorId="9" shapeId="0" xr:uid="{C9ADCFB2-7E30-41ED-B43B-6911BE35413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tc={722BC269-F91C-4139-8BC1-B2D7CFD655D1}</author>
    <author>tc={545E94EF-1517-4064-88E6-2D9228EF509C}</author>
    <author>tc={9F0F1623-7128-476E-B1C6-D2F247C712B8}</author>
    <author>tc={55BA04F6-DD5C-404D-9143-067D1A800A3A}</author>
    <author>tc={BDDA7B4B-B1F4-44B2-A550-3674E961B52E}</author>
    <author>tc={4CDB76F3-57CC-4212-B53F-F8F165375B94}</author>
    <author>tc={CE65C50C-3F83-4631-A90E-C07B7C5721E9}</author>
    <author>tc={92B8577E-1708-4B0F-85FD-31A0291F718A}</author>
    <author>tc={67CE4491-269D-478E-850E-4FD0904AA888}</author>
    <author>tc={12A51D8D-BC18-4F3B-A122-CB2A491B9543}</author>
  </authors>
  <commentList>
    <comment ref="AG3" authorId="0" shapeId="0" xr:uid="{722BC269-F91C-4139-8BC1-B2D7CFD655D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Saturation value or carrying capalcity</t>
      </text>
    </comment>
    <comment ref="AG4" authorId="1" shapeId="0" xr:uid="{545E94EF-1517-4064-88E6-2D9228EF509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Point of inflection</t>
      </text>
    </comment>
    <comment ref="AG5" authorId="2" shapeId="0" xr:uid="{9F0F1623-7128-476E-B1C6-D2F247C712B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Slope or decay time</t>
      </text>
    </comment>
    <comment ref="B8" authorId="3" shapeId="0" xr:uid="{55BA04F6-DD5C-404D-9143-067D1A800A3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first red zones (north)</t>
      </text>
    </comment>
    <comment ref="B14" authorId="4" shapeId="0" xr:uid="{BDDA7B4B-B1F4-44B2-A550-3674E961B52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8" authorId="5" shapeId="0" xr:uid="{4CDB76F3-57CC-4212-B53F-F8F165375B9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1" authorId="6" shapeId="0" xr:uid="{CE65C50C-3F83-4631-A90E-C07B7C5721E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full lockdown (northern Italy)</t>
      </text>
    </comment>
    <comment ref="B23" authorId="7" shapeId="0" xr:uid="{92B8577E-1708-4B0F-85FD-31A0291F718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5" authorId="8" shapeId="0" xr:uid="{67CE4491-269D-478E-850E-4FD0904AA88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full lockdown (Italy)</t>
      </text>
    </comment>
    <comment ref="B36" authorId="9" shapeId="0" xr:uid="{12A51D8D-BC18-4F3B-A122-CB2A491B954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7CD08-FC61-4FE4-AB7F-5BD4BDD5E72A}"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600A235F-1026-4113-A353-F496C5298061}"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34ADFF1E-043C-4677-B979-DBE7398C19BF}"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0A0BBF4F-D2A7-4A62-A8DD-1FCF29187A2E}"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5198AC09-F82A-476C-B5AC-29C3DDF427F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0CDB0A75-ABD7-426A-87B7-2465E15FBDF3}"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33750D60-6E02-4074-A863-BEA5FD4335F3}"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6D24FD6D-E97C-47AA-8BA3-4DE573F0DB36}" keepAlive="1" name="Query - dpc-covid19-ita-andamento-nazionale (8)" description="Connessione alla query 'dpc-covid19-ita-andamento-nazionale (8)' nella cartella di lavoro." type="5" refreshedVersion="6" background="1" saveData="1">
    <dbPr connection="Provider=Microsoft.Mashup.OleDb.1;Data Source=$Workbook$;Location=&quot;dpc-covid19-ita-andamento-nazionale (8)&quot;;Extended Properties=&quot;&quot;" command="SELECT * FROM [dpc-covid19-ita-andamento-nazionale (8)]"/>
  </connection>
  <connection id="9" xr16:uid="{09B9BECC-52F0-443E-85DF-E1447200184C}" keepAlive="1" name="Query - dpc-covid19-ita-andamento-nazionale (9)" description="Connessione alla query 'dpc-covid19-ita-andamento-nazionale (9)' nella cartella di lavoro." type="5" refreshedVersion="6" background="1" saveData="1">
    <dbPr connection="Provider=Microsoft.Mashup.OleDb.1;Data Source=$Workbook$;Location=&quot;dpc-covid19-ita-andamento-nazionale (9)&quot;;Extended Properties=&quot;&quot;" command="SELECT * FROM [dpc-covid19-ita-andamento-nazionale (9)]"/>
  </connection>
  <connection id="10" xr16:uid="{D9C35F96-02C9-490F-87B0-9FE8BEB6F2D3}"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11" xr16:uid="{7B5BDFD5-A01D-4A93-9334-AF9EAE70351E}"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 id="12" xr16:uid="{78D4B2F2-C57B-4E13-890E-FD5C70175E5E}" keepAlive="1" name="Query - dpc-covid19-ita-regioni (3)" description="Connessione alla query 'dpc-covid19-ita-regioni (3)' nella cartella di lavoro." type="5" refreshedVersion="6" background="1" saveData="1">
    <dbPr connection="Provider=Microsoft.Mashup.OleDb.1;Data Source=$Workbook$;Location=&quot;dpc-covid19-ita-regioni (3)&quot;;Extended Properties=&quot;&quot;" command="SELECT * FROM [dpc-covid19-ita-regioni (3)]"/>
  </connection>
  <connection id="13" xr16:uid="{0E1B982F-57E9-4809-885F-F9AC207D6541}" keepAlive="1" name="Query - dpc-covid19-ita-regioni (4)" description="Connessione alla query 'dpc-covid19-ita-regioni (4)' nella cartella di lavoro." type="5" refreshedVersion="6" background="1" saveData="1">
    <dbPr connection="Provider=Microsoft.Mashup.OleDb.1;Data Source=$Workbook$;Location=&quot;dpc-covid19-ita-regioni (4)&quot;;Extended Properties=&quot;&quot;" command="SELECT * FROM [dpc-covid19-ita-regioni (4)]"/>
  </connection>
  <connection id="14" xr16:uid="{35EC220A-A28A-4804-A7E9-6B59E3FB97E2}" keepAlive="1" name="Query - Tabella1" description="Connessione alla query 'Tabella1' nella cartella di lavoro." type="5" refreshedVersion="6" background="1" saveData="1">
    <dbPr connection="Provider=Microsoft.Mashup.OleDb.1;Data Source=$Workbook$;Location=Tabella1;Extended Properties=&quot;&quot;" command="SELECT * FROM [Tabella1]"/>
  </connection>
  <connection id="15" xr16:uid="{32D9E78D-2352-4A60-B92C-007831B03845}" keepAlive="1" name="ThisWorkbookDataModel" description="Modello di dati"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6" xr16:uid="{D40C31B4-445A-4A48-8814-96FBC01F01BB}" name="WorksheetConnection_COVID-19 Italy cases trend - B fit.xlsx!dpc_covid19_ita_andamento_nazionale" type="102" refreshedVersion="6" minRefreshableVersion="5">
    <extLst>
      <ext xmlns:x15="http://schemas.microsoft.com/office/spreadsheetml/2010/11/main" uri="{DE250136-89BD-433C-8126-D09CA5730AF9}">
        <x15:connection id="dpc_covid19_ita_andamento_nazionale" autoDelete="1">
          <x15:rangePr sourceName="_xlcn.WorksheetConnection_COVID19ItalycasestrendBfit.xlsxdpc_covid19_ita_andamento_naziona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<sst xmlns="http://schemas.openxmlformats.org/spreadsheetml/2006/main" count="4459" uniqueCount="151">
  <si>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</si>
  <si>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</si>
  <si>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</si>
  <si>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</si>
  <si>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</si>
  <si>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</si>
  <si>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</si>
  <si>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</si>
  <si>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</si>
  <si>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</si>
  <si>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</si>
  <si>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</si>
  <si>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</si>
  <si>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data</t>
  </si>
  <si>
    <t>stato</t>
  </si>
  <si>
    <t>ricoverati_con_sintomi</t>
  </si>
  <si>
    <t>terapia_intensiva</t>
  </si>
  <si>
    <t>totale_ospedalizzati</t>
  </si>
  <si>
    <t>isolamento_domiciliare</t>
  </si>
  <si>
    <t>dimessi_guariti</t>
  </si>
  <si>
    <t>deceduti</t>
  </si>
  <si>
    <t>totale_casi</t>
  </si>
  <si>
    <t>tamponi</t>
  </si>
  <si>
    <t>ITA</t>
  </si>
  <si>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</si>
  <si>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</si>
  <si>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</si>
  <si>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</si>
  <si>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</si>
  <si>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</si>
  <si>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</si>
  <si>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</si>
  <si>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</si>
  <si>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</si>
  <si>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</si>
  <si>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</si>
  <si>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</si>
  <si>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</si>
  <si>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</si>
  <si>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</si>
  <si>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</si>
  <si>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</si>
  <si>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</si>
  <si>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</si>
  <si>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Abruzzo</t>
  </si>
  <si>
    <t>Basilicata</t>
  </si>
  <si>
    <t>P.A. Bolzano</t>
  </si>
  <si>
    <t>Calabria</t>
  </si>
  <si>
    <t>Campania</t>
  </si>
  <si>
    <t>Friuli Venezia Giulia</t>
  </si>
  <si>
    <t>Lazio</t>
  </si>
  <si>
    <t>Liguria</t>
  </si>
  <si>
    <t>Lombardia</t>
  </si>
  <si>
    <t>Marche</t>
  </si>
  <si>
    <t>Molise</t>
  </si>
  <si>
    <t>Piemonte</t>
  </si>
  <si>
    <t>Puglia</t>
  </si>
  <si>
    <t>Sardegna</t>
  </si>
  <si>
    <t>Sicilia</t>
  </si>
  <si>
    <t>Toscana</t>
  </si>
  <si>
    <t>P.A. Trento</t>
  </si>
  <si>
    <t>Umbria</t>
  </si>
  <si>
    <t>Valle d'Aosta</t>
  </si>
  <si>
    <t>Veneto</t>
  </si>
  <si>
    <t>pd-IT-0002</t>
  </si>
  <si>
    <t>pd-EN-0002</t>
  </si>
  <si>
    <t>pd-IT-0004</t>
  </si>
  <si>
    <t>pd-EN-0004</t>
  </si>
  <si>
    <t>nd-IT-0001</t>
  </si>
  <si>
    <t>nd-EN-0001</t>
  </si>
  <si>
    <t>nd-IT-0005</t>
  </si>
  <si>
    <t>nd-EN-0005</t>
  </si>
  <si>
    <t>nd-IT-0003</t>
  </si>
  <si>
    <t>nd-EN-0003</t>
  </si>
  <si>
    <t>nd-IT-0008</t>
  </si>
  <si>
    <t>nd-EN-0008</t>
  </si>
  <si>
    <t>nd-IT-0013</t>
  </si>
  <si>
    <t>nd-EN-0013</t>
  </si>
  <si>
    <t>nd-IT-0011</t>
  </si>
  <si>
    <t>nd-EN-0011</t>
  </si>
  <si>
    <t>region</t>
  </si>
  <si>
    <t>r. Upper CI</t>
  </si>
  <si>
    <t>r. Lower CI</t>
  </si>
  <si>
    <t>o.r. Upper CI</t>
  </si>
  <si>
    <t>o.r. Lower CI</t>
  </si>
  <si>
    <t>outside</t>
  </si>
  <si>
    <t>Lombardy</t>
  </si>
  <si>
    <t>Italy cumulative</t>
  </si>
  <si>
    <t>Italy fit</t>
  </si>
  <si>
    <t>pd-IT-0007</t>
  </si>
  <si>
    <t>pd-EN-0007</t>
  </si>
  <si>
    <t>pd-IT-0006</t>
  </si>
  <si>
    <t>pd-EN-0006</t>
  </si>
  <si>
    <t>totale_positivi</t>
  </si>
  <si>
    <t>variazione_totale_positivi</t>
  </si>
  <si>
    <t>nuovi_positivi</t>
  </si>
  <si>
    <t>pd-IT-0009</t>
  </si>
  <si>
    <t>pd-EN-0009</t>
  </si>
  <si>
    <t>Emilia-Romagna</t>
  </si>
  <si>
    <t>pd-IT-0008</t>
  </si>
  <si>
    <t>pd-EN-0008</t>
  </si>
  <si>
    <t>Cum_D_fit</t>
  </si>
  <si>
    <t>Cum_Italy</t>
  </si>
  <si>
    <t>Wh_c_Upper CI</t>
  </si>
  <si>
    <t>Wh_c_Lower CI</t>
  </si>
  <si>
    <t>Cum_Lom</t>
  </si>
  <si>
    <t>Cum_L_fit</t>
  </si>
  <si>
    <t>Cum_o</t>
  </si>
  <si>
    <t>Cum_o_fit</t>
  </si>
  <si>
    <t>o_r_Upper CI</t>
  </si>
  <si>
    <t>o_r_Lower CI</t>
  </si>
  <si>
    <t>r_Upper CI</t>
  </si>
  <si>
    <t>r_Lower CI</t>
  </si>
  <si>
    <t>Peak value</t>
  </si>
  <si>
    <t>SOLVER models</t>
  </si>
  <si>
    <t>Colonna1</t>
  </si>
  <si>
    <t>Colonna2</t>
  </si>
  <si>
    <t>Colonna3</t>
  </si>
  <si>
    <t>Colonna4</t>
  </si>
  <si>
    <t>Colonna5</t>
  </si>
  <si>
    <t>Colonna6</t>
  </si>
  <si>
    <t>Colonna7</t>
  </si>
  <si>
    <t>pd-IT-0011</t>
  </si>
  <si>
    <t>pd-EN-0011</t>
  </si>
  <si>
    <t>dc-IT-0003</t>
  </si>
  <si>
    <t>dc-EN-0003</t>
  </si>
  <si>
    <t>pd-IT-0010</t>
  </si>
  <si>
    <t>pd-EN-0010</t>
  </si>
  <si>
    <t>dc-IT-0002</t>
  </si>
  <si>
    <t>dc-EN-0002</t>
  </si>
  <si>
    <t>fitting parameter - constraint (none)</t>
  </si>
  <si>
    <t>t0=</t>
  </si>
  <si>
    <t>Italy sum</t>
  </si>
  <si>
    <t>Lombardy fit</t>
  </si>
  <si>
    <t xml:space="preserve">rest of Italy </t>
  </si>
  <si>
    <t>rest of Italy fit</t>
  </si>
  <si>
    <t>Whole country sum</t>
  </si>
  <si>
    <r>
      <t>R</t>
    </r>
    <r>
      <rPr>
        <vertAlign val="superscript"/>
        <sz val="11"/>
        <color theme="3"/>
        <rFont val="Calibri"/>
        <family val="2"/>
        <scheme val="minor"/>
      </rPr>
      <t>2</t>
    </r>
  </si>
  <si>
    <t>rest of Italy</t>
  </si>
  <si>
    <t>Whole country fit</t>
  </si>
  <si>
    <t>Italy</t>
  </si>
  <si>
    <t>Colonna22</t>
  </si>
  <si>
    <t>Colonna32</t>
  </si>
  <si>
    <t>Colonna33</t>
  </si>
  <si>
    <t>Colonna322</t>
  </si>
  <si>
    <t>t-Peak</t>
  </si>
  <si>
    <t>Whole contry fit</t>
  </si>
  <si>
    <t>Saturation value</t>
  </si>
  <si>
    <t>DO NOT EXECUTE</t>
  </si>
  <si>
    <t>Modeling function: Gompertz</t>
  </si>
  <si>
    <t>Solver method: GRG2 non linear engine - option: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</si>
</sst>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409]mmmm\ d\,\ yyyy;@"/>
  </numFmts>
  <fonts count="23"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14"/>
      <color theme="1"/>
      <name val="Calibri"/>
      <family val="2"/>
      <scheme val="minor"/>
    </font>
    <font>
      <sz val="24"/>
      <color theme="1"/>
      <name val="Calibri"/>
      <family val="2"/>
      <scheme val="minor"/>
    </font>
    <font>
      <sz val="11"/>
      <color theme="1"/>
      <name val="Calibri"/>
      <family val="2"/>
      <scheme val="minor"/>
    </font>
    <font>
      <i/>
      <sz val="14"/>
      <color theme="1"/>
      <name val="Calibri"/>
      <family val="2"/>
      <scheme val="minor"/>
    </font>
    <font>
      <i/>
      <sz val="11"/>
      <color theme="1"/>
      <name val="Calibri"/>
      <family val="2"/>
      <scheme val="minor"/>
    </font>
    <font>
      <i/>
      <vertAlign val="subscript"/>
      <sz val="11"/>
      <color theme="1"/>
      <name val="Calibri"/>
      <family val="2"/>
      <scheme val="minor"/>
    </font>
    <font>
      <sz val="11"/>
      <color rgb="FF0070C0"/>
      <name val="Calibri"/>
      <family val="2"/>
      <scheme val="minor"/>
    </font>
    <font>
      <b/>
      <sz val="11"/>
      <color rgb="FF0070C0"/>
      <name val="Calibri"/>
      <family val="2"/>
      <scheme val="minor"/>
    </font>
    <font>
      <b/>
      <sz val="11"/>
      <color rgb="FFFF000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5700"/>
      <name val="Calibri"/>
      <family val="2"/>
      <scheme val="minor"/>
    </font>
    <font>
      <sz val="11"/>
      <color theme="3"/>
      <name val="Calibri"/>
      <family val="2"/>
      <scheme val="minor"/>
    </font>
    <font>
      <i/>
      <sz val="11"/>
      <color theme="3"/>
      <name val="Calibri"/>
      <family val="2"/>
      <scheme val="minor"/>
    </font>
    <font>
      <vertAlign val="superscript"/>
      <sz val="11"/>
      <color theme="3"/>
      <name val="Calibri"/>
      <family val="2"/>
      <scheme val="minor"/>
    </font>
    <font>
      <sz val="11"/>
      <color rgb="FF00B050"/>
      <name val="Calibri"/>
      <family val="2"/>
      <scheme val="minor"/>
    </font>
    <font>
      <b/>
      <sz val="11"/>
      <color rgb="FF00B050"/>
      <name val="Calibri"/>
      <family val="2"/>
      <scheme val="minor"/>
    </font>
    <font>
      <sz val="9"/>
      <color indexed="81"/>
      <name val="Tahoma"/>
      <family val="2"/>
    </font>
  </fonts>
  <fills count="6">
    <fill>
      <patternFill patternType="none"/>
    </fill>
    <fill>
      <patternFill patternType="gray125"/>
    </fill>
    <fill>
      <patternFill patternType="solid">
        <fgColor rgb="FFFFC000"/>
        <bgColor indexed="64"/>
      </patternFill>
    </fill>
    <fill>
      <patternFill patternType="solid">
        <fgColor rgb="FFFFFFCC"/>
      </patternFill>
    </fill>
    <fill>
      <patternFill patternType="solid">
        <fgColor rgb="FFFFEB9C"/>
      </patternFill>
    </fill>
    <fill>
      <patternFill patternType="gray0625"/>
    </fill>
  </fills>
  <borders count="13">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medium">
        <color theme="4" tint="0.39997558519241921"/>
      </top>
      <bottom style="medium">
        <color theme="4" tint="0.39997558519241921"/>
      </bottom>
      <diagonal/>
    </border>
    <border>
      <left style="medium">
        <color indexed="64"/>
      </left>
      <right style="medium">
        <color indexed="64"/>
      </right>
      <top style="medium">
        <color indexed="64"/>
      </top>
      <bottom/>
      <diagonal/>
    </border>
  </borders>
  <cellStyleXfs count="7">
    <xf numFmtId="0" fontId="0" fillId="0" borderId="0"/>
    <xf numFmtId="0" fontId="5" fillId="3" borderId="1" applyNumberFormat="0" applyFont="0" applyAlignment="0" applyProtection="0"/>
    <xf numFmtId="0" fontId="12" fillId="0" borderId="0" applyNumberFormat="0" applyFill="0" applyBorder="0" applyAlignment="0" applyProtection="0"/>
    <xf numFmtId="0" fontId="13" fillId="0" borderId="8"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6" fillId="4" borderId="0" applyNumberFormat="0" applyBorder="0" applyAlignment="0" applyProtection="0"/>
  </cellStyleXfs>
  <cellXfs count="97">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0" fillId="0" borderId="0" xfId="0" applyAlignment="1">
      <alignment horizontal="left" vertical="center"/>
    </xf>
    <xf numFmtId="0" fontId="0" fillId="0" borderId="0" xfId="0" applyNumberFormat="1"/>
    <xf numFmtId="22" fontId="0" fillId="0" borderId="0" xfId="0" applyNumberFormat="1"/>
    <xf numFmtId="0" fontId="3" fillId="0" borderId="0" xfId="0" applyFont="1" applyAlignment="1">
      <alignment horizontal="left" vertical="center"/>
    </xf>
    <xf numFmtId="0" fontId="6" fillId="0" borderId="0" xfId="0" applyFont="1" applyAlignment="1">
      <alignment horizontal="left" vertical="center"/>
    </xf>
    <xf numFmtId="0" fontId="7" fillId="2" borderId="0" xfId="0" applyFont="1" applyFill="1"/>
    <xf numFmtId="16" fontId="0" fillId="3" borderId="1" xfId="1" applyNumberFormat="1" applyFont="1" applyAlignment="1">
      <alignment horizontal="center"/>
    </xf>
    <xf numFmtId="0" fontId="3" fillId="0" borderId="0" xfId="0" applyFont="1"/>
    <xf numFmtId="0" fontId="9"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horizontal="center" wrapText="1"/>
    </xf>
    <xf numFmtId="0" fontId="11" fillId="0" borderId="0" xfId="0" applyFont="1"/>
    <xf numFmtId="1" fontId="11" fillId="0" borderId="0" xfId="0" applyNumberFormat="1" applyFont="1"/>
    <xf numFmtId="0" fontId="15" fillId="0" borderId="10" xfId="5" applyAlignment="1">
      <alignment horizontal="left" vertical="center"/>
    </xf>
    <xf numFmtId="0" fontId="17" fillId="0" borderId="0" xfId="0" applyFont="1" applyAlignment="1">
      <alignment horizontal="center" wrapText="1"/>
    </xf>
    <xf numFmtId="0" fontId="17" fillId="0" borderId="0" xfId="0" applyFont="1" applyAlignment="1">
      <alignment wrapText="1"/>
    </xf>
    <xf numFmtId="1" fontId="0" fillId="0" borderId="0" xfId="0" applyNumberFormat="1" applyAlignment="1">
      <alignment horizontal="center" wrapText="1"/>
    </xf>
    <xf numFmtId="0" fontId="18" fillId="2" borderId="0" xfId="0" applyFont="1" applyFill="1"/>
    <xf numFmtId="1" fontId="17" fillId="2" borderId="0" xfId="0" applyNumberFormat="1" applyFont="1" applyFill="1"/>
    <xf numFmtId="0" fontId="17" fillId="0" borderId="0" xfId="0" applyFont="1"/>
    <xf numFmtId="1" fontId="17" fillId="0" borderId="0" xfId="0" applyNumberFormat="1" applyFont="1"/>
    <xf numFmtId="2" fontId="17" fillId="0" borderId="0" xfId="0" applyNumberFormat="1" applyFont="1"/>
    <xf numFmtId="164" fontId="17" fillId="0" borderId="0" xfId="0" applyNumberFormat="1" applyFont="1"/>
    <xf numFmtId="0" fontId="1" fillId="0" borderId="0" xfId="0" applyFont="1" applyAlignment="1">
      <alignment horizontal="center"/>
    </xf>
    <xf numFmtId="2" fontId="0" fillId="2" borderId="0" xfId="0" applyNumberFormat="1" applyFill="1"/>
    <xf numFmtId="1" fontId="1" fillId="0" borderId="0" xfId="0" applyNumberFormat="1" applyFont="1"/>
    <xf numFmtId="0" fontId="20" fillId="0" borderId="0" xfId="0" applyFont="1" applyAlignment="1">
      <alignment horizontal="center"/>
    </xf>
    <xf numFmtId="0" fontId="20" fillId="0" borderId="0" xfId="0" applyFont="1"/>
    <xf numFmtId="1" fontId="20" fillId="0" borderId="0" xfId="0" applyNumberFormat="1" applyFont="1"/>
    <xf numFmtId="0" fontId="9" fillId="0" borderId="0" xfId="0" applyFont="1"/>
    <xf numFmtId="1" fontId="9" fillId="0" borderId="0" xfId="0" applyNumberFormat="1" applyFont="1"/>
    <xf numFmtId="0" fontId="14" fillId="0" borderId="9" xfId="4"/>
    <xf numFmtId="0" fontId="15" fillId="0" borderId="0" xfId="0" applyFont="1" applyAlignment="1">
      <alignment wrapText="1"/>
    </xf>
    <xf numFmtId="1" fontId="16" fillId="4" borderId="0" xfId="6" applyNumberFormat="1" applyAlignment="1">
      <alignment horizontal="center"/>
    </xf>
    <xf numFmtId="165" fontId="17" fillId="2" borderId="0" xfId="0" applyNumberFormat="1" applyFont="1" applyFill="1"/>
    <xf numFmtId="0" fontId="15" fillId="0" borderId="0" xfId="0" applyFont="1"/>
    <xf numFmtId="1" fontId="15" fillId="0" borderId="0" xfId="0" applyNumberFormat="1" applyFont="1"/>
    <xf numFmtId="166" fontId="15" fillId="0" borderId="0" xfId="0" applyNumberFormat="1" applyFont="1"/>
    <xf numFmtId="166" fontId="11" fillId="0" borderId="0" xfId="0" applyNumberFormat="1" applyFont="1"/>
    <xf numFmtId="0" fontId="21" fillId="0" borderId="0" xfId="0" applyFont="1" applyAlignment="1">
      <alignment horizontal="center" wrapText="1"/>
    </xf>
    <xf numFmtId="0" fontId="20" fillId="0" borderId="0" xfId="0" applyFont="1" applyAlignment="1">
      <alignment wrapText="1"/>
    </xf>
    <xf numFmtId="0" fontId="21" fillId="0" borderId="0" xfId="0" applyFont="1"/>
    <xf numFmtId="1" fontId="21" fillId="0" borderId="0" xfId="0" applyNumberFormat="1" applyFont="1"/>
    <xf numFmtId="166" fontId="21" fillId="0" borderId="0" xfId="0" applyNumberFormat="1" applyFont="1"/>
    <xf numFmtId="0" fontId="10" fillId="0" borderId="0" xfId="0" applyFont="1" applyAlignment="1">
      <alignment horizontal="center" wrapText="1"/>
    </xf>
    <xf numFmtId="0" fontId="0" fillId="0" borderId="2" xfId="0" applyFill="1" applyBorder="1" applyAlignment="1">
      <alignment wrapText="1"/>
    </xf>
    <xf numFmtId="164" fontId="1" fillId="0" borderId="3" xfId="0" applyNumberFormat="1" applyFont="1" applyFill="1" applyBorder="1"/>
    <xf numFmtId="0" fontId="1" fillId="0" borderId="3" xfId="0" applyFont="1" applyFill="1" applyBorder="1"/>
    <xf numFmtId="0" fontId="1" fillId="0" borderId="5" xfId="0" applyFont="1" applyFill="1" applyBorder="1"/>
    <xf numFmtId="0" fontId="0" fillId="0" borderId="6" xfId="0" applyFill="1" applyBorder="1"/>
    <xf numFmtId="0" fontId="0" fillId="0" borderId="3" xfId="0" applyFill="1" applyBorder="1"/>
    <xf numFmtId="0" fontId="0" fillId="0" borderId="4" xfId="0" applyFill="1" applyBorder="1"/>
    <xf numFmtId="164" fontId="20" fillId="0" borderId="3" xfId="0" applyNumberFormat="1" applyFont="1" applyFill="1" applyBorder="1"/>
    <xf numFmtId="0" fontId="20" fillId="0" borderId="3" xfId="0" applyFont="1" applyFill="1" applyBorder="1"/>
    <xf numFmtId="0" fontId="20" fillId="0" borderId="5" xfId="0" applyFont="1" applyFill="1" applyBorder="1"/>
    <xf numFmtId="164" fontId="9" fillId="0" borderId="3" xfId="0" applyNumberFormat="1" applyFont="1" applyFill="1" applyBorder="1"/>
    <xf numFmtId="0" fontId="9" fillId="0" borderId="3" xfId="0" applyFont="1" applyFill="1" applyBorder="1"/>
    <xf numFmtId="0" fontId="9" fillId="0" borderId="7" xfId="0" applyFont="1" applyFill="1" applyBorder="1"/>
    <xf numFmtId="164" fontId="9" fillId="0" borderId="3" xfId="0" applyNumberFormat="1" applyFont="1" applyFill="1" applyBorder="1" applyAlignment="1">
      <alignment horizontal="center" vertical="center" textRotation="255" wrapText="1"/>
    </xf>
    <xf numFmtId="0" fontId="0" fillId="5" borderId="2" xfId="0" applyFill="1" applyBorder="1" applyAlignment="1">
      <alignment wrapText="1"/>
    </xf>
    <xf numFmtId="164" fontId="1" fillId="5" borderId="3" xfId="0" applyNumberFormat="1" applyFont="1" applyFill="1" applyBorder="1"/>
    <xf numFmtId="0" fontId="1" fillId="5" borderId="3" xfId="0" applyFont="1" applyFill="1" applyBorder="1"/>
    <xf numFmtId="0" fontId="1" fillId="5" borderId="5" xfId="0" applyFont="1" applyFill="1" applyBorder="1"/>
    <xf numFmtId="0" fontId="0" fillId="5" borderId="6" xfId="0" applyFill="1" applyBorder="1"/>
    <xf numFmtId="0" fontId="0" fillId="5" borderId="3" xfId="0" applyFill="1" applyBorder="1"/>
    <xf numFmtId="0" fontId="0" fillId="5" borderId="4" xfId="0" applyFill="1" applyBorder="1"/>
    <xf numFmtId="164" fontId="20" fillId="5" borderId="3" xfId="0" applyNumberFormat="1" applyFont="1" applyFill="1" applyBorder="1"/>
    <xf numFmtId="0" fontId="20" fillId="5" borderId="3" xfId="0" applyFont="1" applyFill="1" applyBorder="1"/>
    <xf numFmtId="164" fontId="0" fillId="5" borderId="12" xfId="0" applyNumberFormat="1" applyFill="1" applyBorder="1"/>
    <xf numFmtId="164" fontId="9" fillId="5" borderId="3" xfId="0" applyNumberFormat="1" applyFont="1" applyFill="1" applyBorder="1"/>
    <xf numFmtId="0" fontId="9" fillId="5" borderId="3" xfId="0" applyFont="1" applyFill="1" applyBorder="1"/>
    <xf numFmtId="0" fontId="9" fillId="5" borderId="7" xfId="0" applyFont="1" applyFill="1" applyBorder="1"/>
    <xf numFmtId="0" fontId="15" fillId="0" borderId="10" xfId="5" applyAlignment="1">
      <alignment horizontal="left" vertical="center"/>
    </xf>
    <xf numFmtId="0" fontId="12" fillId="0" borderId="0" xfId="2"/>
    <xf numFmtId="0" fontId="0" fillId="0" borderId="0" xfId="0"/>
    <xf numFmtId="0" fontId="15" fillId="0" borderId="11" xfId="5" applyBorder="1" applyAlignment="1">
      <alignment horizontal="left" vertical="center"/>
    </xf>
    <xf numFmtId="0" fontId="13" fillId="0" borderId="8" xfId="3"/>
    <xf numFmtId="0" fontId="14" fillId="0" borderId="9" xfId="4"/>
    <xf numFmtId="0" fontId="15" fillId="0" borderId="10" xfId="5" applyAlignment="1">
      <alignment horizontal="left" vertical="center"/>
    </xf>
    <xf numFmtId="164" fontId="9" fillId="5" borderId="6" xfId="0" applyNumberFormat="1" applyFont="1" applyFill="1" applyBorder="1" applyAlignment="1">
      <alignment textRotation="255" wrapText="1"/>
    </xf>
    <xf numFmtId="164" fontId="9" fillId="5" borderId="3" xfId="0" applyNumberFormat="1" applyFont="1" applyFill="1" applyBorder="1" applyAlignment="1">
      <alignment textRotation="255" wrapText="1"/>
    </xf>
    <xf numFmtId="164" fontId="9" fillId="5" borderId="4" xfId="0" applyNumberFormat="1" applyFont="1" applyFill="1" applyBorder="1" applyAlignment="1">
      <alignment textRotation="255" wrapText="1"/>
    </xf>
    <xf numFmtId="0" fontId="0" fillId="0" borderId="6" xfId="0" applyBorder="1"/>
    <xf numFmtId="164" fontId="9" fillId="0" borderId="7" xfId="0" applyNumberFormat="1" applyFont="1" applyFill="1" applyBorder="1" applyAlignment="1">
      <alignment horizontal="center" vertical="center" textRotation="255" wrapText="1"/>
    </xf>
  </cellXfs>
  <cellStyles count="7">
    <cellStyle name="Neutrale" xfId="6" builtinId="28"/>
    <cellStyle name="Normale" xfId="0" builtinId="0"/>
    <cellStyle name="Nota" xfId="1" builtinId="10"/>
    <cellStyle name="Titolo" xfId="2" builtinId="15"/>
    <cellStyle name="Titolo 1" xfId="3" builtinId="16"/>
    <cellStyle name="Titolo 2" xfId="4" builtinId="17"/>
    <cellStyle name="Titolo 3" xfId="5" builtinId="18"/>
  </cellStyles>
  <dxfs count="57">
    <dxf>
      <font>
        <strike val="0"/>
        <outline val="0"/>
        <shadow val="0"/>
        <u val="none"/>
        <vertAlign val="baseline"/>
        <sz val="11"/>
        <color rgb="FF0070C0"/>
        <name val="Calibri"/>
        <family val="2"/>
        <scheme val="minor"/>
      </font>
    </dxf>
    <dxf>
      <font>
        <strike val="0"/>
        <outline val="0"/>
        <shadow val="0"/>
        <u val="none"/>
        <vertAlign val="baseline"/>
        <sz val="11"/>
        <color rgb="FF00B050"/>
        <name val="Calibri"/>
        <family val="2"/>
        <scheme val="minor"/>
      </font>
    </dxf>
    <dxf>
      <font>
        <strike val="0"/>
        <outline val="0"/>
        <shadow val="0"/>
        <u val="none"/>
        <sz val="11"/>
        <color theme="3"/>
        <name val="Calibri"/>
        <family val="2"/>
        <scheme val="minor"/>
      </font>
    </dxf>
    <dxf>
      <font>
        <strike val="0"/>
        <outline val="0"/>
        <shadow val="0"/>
        <u val="none"/>
        <sz val="11"/>
        <color theme="3"/>
        <name val="Calibri"/>
        <family val="2"/>
        <scheme val="minor"/>
      </font>
    </dxf>
    <dxf>
      <font>
        <strike val="0"/>
        <outline val="0"/>
        <shadow val="0"/>
        <u val="none"/>
        <sz val="11"/>
        <color theme="3"/>
        <name val="Calibri"/>
        <family val="2"/>
        <scheme val="minor"/>
      </font>
    </dxf>
    <dxf>
      <font>
        <strike val="0"/>
        <outline val="0"/>
        <shadow val="0"/>
        <u val="none"/>
        <sz val="11"/>
        <color theme="3"/>
        <name val="Calibri"/>
        <family val="2"/>
        <scheme val="minor"/>
      </font>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1"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1"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21" formatCode="dd\-mmm"/>
      <alignment horizontal="center" vertical="bottom" textRotation="0" wrapText="0" indent="0" justifyLastLine="0" shrinkToFit="0" readingOrder="0"/>
    </dxf>
    <dxf>
      <alignment horizontal="center"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rgb="FF00B050"/>
        <name val="Calibri"/>
        <family val="2"/>
        <scheme val="minor"/>
      </font>
    </dxf>
    <dxf>
      <fill>
        <patternFill patternType="none">
          <fgColor indexed="64"/>
          <bgColor indexed="65"/>
        </patternFill>
      </fill>
    </dxf>
    <dxf>
      <font>
        <strike val="0"/>
        <outline val="0"/>
        <shadow val="0"/>
        <u val="none"/>
        <sz val="11"/>
        <color theme="3"/>
        <name val="Calibri"/>
        <family val="2"/>
        <scheme val="minor"/>
      </font>
    </dxf>
    <dxf>
      <font>
        <strike val="0"/>
        <outline val="0"/>
        <shadow val="0"/>
        <u val="none"/>
        <sz val="11"/>
        <color theme="3"/>
        <name val="Calibri"/>
        <family val="2"/>
        <scheme val="minor"/>
      </font>
      <fill>
        <patternFill patternType="none">
          <fgColor indexed="64"/>
          <bgColor indexed="65"/>
        </patternFill>
      </fill>
    </dxf>
    <dxf>
      <font>
        <strike val="0"/>
        <outline val="0"/>
        <shadow val="0"/>
        <u val="none"/>
        <sz val="11"/>
        <color theme="3"/>
        <name val="Calibri"/>
        <family val="2"/>
        <scheme val="minor"/>
      </font>
    </dxf>
    <dxf>
      <font>
        <strike val="0"/>
        <outline val="0"/>
        <shadow val="0"/>
        <u val="none"/>
        <sz val="11"/>
        <color theme="3"/>
        <name val="Calibri"/>
        <family val="2"/>
        <scheme val="minor"/>
      </font>
    </dxf>
    <dxf>
      <numFmt numFmtId="1" formatCode="0"/>
      <alignment horizontal="center" vertical="bottom" textRotation="0" wrapText="1" indent="0" justifyLastLine="0" shrinkToFit="0" readingOrder="0"/>
    </dxf>
    <dxf>
      <numFmt numFmtId="1" formatCode="0"/>
      <alignment horizontal="center" vertical="bottom" textRotation="0" wrapText="1"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1" indent="0" justifyLastLine="0" shrinkToFit="0" readingOrder="0"/>
    </dxf>
    <dxf>
      <numFmt numFmtId="1" formatCode="0"/>
      <alignment horizontal="center" vertical="bottom" textRotation="0" wrapText="1"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1"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21" formatCode="dd\-mmm"/>
      <alignment horizontal="center" vertical="bottom" textRotation="0" wrapText="0" indent="0" justifyLastLine="0" shrinkToFit="0" readingOrder="0"/>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sz="1800" b="1" i="0" baseline="0">
                <a:effectLst/>
              </a:rPr>
              <a:t>COVID-19 Italy Confirmed Cases </a:t>
            </a:r>
            <a:endParaRPr lang="it-IT">
              <a:effectLst/>
            </a:endParaRPr>
          </a:p>
          <a:p>
            <a:pPr>
              <a:defRPr/>
            </a:pPr>
            <a:r>
              <a:rPr lang="it-IT" sz="1800" b="1" i="0" baseline="0">
                <a:effectLst/>
              </a:rPr>
              <a:t>Cumulative Deaths - Gompertz model</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manualLayout>
          <c:layoutTarget val="inner"/>
          <c:xMode val="edge"/>
          <c:yMode val="edge"/>
          <c:x val="0.10546164268848419"/>
          <c:y val="0.1523757215453829"/>
          <c:w val="0.67992425879723528"/>
          <c:h val="0.79451795610791842"/>
        </c:manualLayout>
      </c:layout>
      <c:scatterChart>
        <c:scatterStyle val="smoothMarker"/>
        <c:varyColors val="0"/>
        <c:ser>
          <c:idx val="1"/>
          <c:order val="1"/>
          <c:tx>
            <c:strRef>
              <c:f>'Cumul_deaths - Gompertz'!$F$7</c:f>
              <c:strCache>
                <c:ptCount val="1"/>
                <c:pt idx="0">
                  <c:v>Italy sum</c:v>
                </c:pt>
              </c:strCache>
            </c:strRef>
          </c:tx>
          <c:spPr>
            <a:ln w="9525" cap="rnd">
              <a:solidFill>
                <a:schemeClr val="tx1"/>
              </a:solidFill>
              <a:prstDash val="lgDash"/>
              <a:round/>
            </a:ln>
            <a:effectLst/>
          </c:spPr>
          <c:marker>
            <c:symbol val="none"/>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Gompertz'!$F$8:$F$78</c:f>
              <c:numCache>
                <c:formatCode>0</c:formatCode>
                <c:ptCount val="71"/>
                <c:pt idx="0">
                  <c:v>5.2638232508796755E-2</c:v>
                </c:pt>
                <c:pt idx="1">
                  <c:v>0.14311613765579281</c:v>
                </c:pt>
                <c:pt idx="2">
                  <c:v>0.36021622897722455</c:v>
                </c:pt>
                <c:pt idx="3">
                  <c:v>0.84436533416991399</c:v>
                </c:pt>
                <c:pt idx="4">
                  <c:v>1.8535248706888041</c:v>
                </c:pt>
                <c:pt idx="5">
                  <c:v>3.8299390879984276</c:v>
                </c:pt>
                <c:pt idx="6">
                  <c:v>7.4845173738673818</c:v>
                </c:pt>
                <c:pt idx="7">
                  <c:v>13.893377850749623</c:v>
                </c:pt>
                <c:pt idx="8">
                  <c:v>24.596295003735815</c:v>
                </c:pt>
                <c:pt idx="9">
                  <c:v>41.682904788721139</c:v>
                </c:pt>
                <c:pt idx="10">
                  <c:v>67.850733424393667</c:v>
                </c:pt>
                <c:pt idx="11">
                  <c:v>106.42020675641278</c:v>
                </c:pt>
                <c:pt idx="12">
                  <c:v>161.29584544454693</c:v>
                </c:pt>
                <c:pt idx="13">
                  <c:v>236.8692059911252</c:v>
                </c:pt>
                <c:pt idx="14">
                  <c:v>337.86659867552828</c:v>
                </c:pt>
                <c:pt idx="15">
                  <c:v>469.15180449915442</c:v>
                </c:pt>
                <c:pt idx="16">
                  <c:v>635.49967321224733</c:v>
                </c:pt>
                <c:pt idx="17">
                  <c:v>841.35977210422482</c:v>
                </c:pt>
                <c:pt idx="18">
                  <c:v>1090.6298602218505</c:v>
                </c:pt>
                <c:pt idx="19">
                  <c:v>1386.4570822278151</c:v>
                </c:pt>
                <c:pt idx="20">
                  <c:v>1731.0809856175497</c:v>
                </c:pt>
                <c:pt idx="21">
                  <c:v>2125.727539440381</c:v>
                </c:pt>
                <c:pt idx="22">
                  <c:v>2570.5580712362148</c:v>
                </c:pt>
                <c:pt idx="23">
                  <c:v>3064.6721292137704</c:v>
                </c:pt>
                <c:pt idx="24">
                  <c:v>3606.1592144406841</c:v>
                </c:pt>
                <c:pt idx="25">
                  <c:v>4192.1913908467732</c:v>
                </c:pt>
                <c:pt idx="26">
                  <c:v>4819.1470458266913</c:v>
                </c:pt>
                <c:pt idx="27">
                  <c:v>5482.7554595331057</c:v>
                </c:pt>
                <c:pt idx="28">
                  <c:v>6178.2521601857879</c:v>
                </c:pt>
                <c:pt idx="29">
                  <c:v>6900.5360568768165</c:v>
                </c:pt>
                <c:pt idx="30">
                  <c:v>7644.3208020007241</c:v>
                </c:pt>
                <c:pt idx="31">
                  <c:v>8404.2745156465517</c:v>
                </c:pt>
                <c:pt idx="32">
                  <c:v>9175.1437170550671</c:v>
                </c:pt>
                <c:pt idx="33">
                  <c:v>9951.858914252025</c:v>
                </c:pt>
                <c:pt idx="34">
                  <c:v>10729.620710341756</c:v>
                </c:pt>
                <c:pt idx="35">
                  <c:v>11503.966443828664</c:v>
                </c:pt>
                <c:pt idx="36">
                  <c:v>12270.818274764864</c:v>
                </c:pt>
                <c:pt idx="37">
                  <c:v>13026.514267496485</c:v>
                </c:pt>
                <c:pt idx="38">
                  <c:v>13767.824429802131</c:v>
                </c:pt>
                <c:pt idx="39">
                  <c:v>14491.953882069858</c:v>
                </c:pt>
                <c:pt idx="40">
                  <c:v>15196.535387231808</c:v>
                </c:pt>
                <c:pt idx="41">
                  <c:v>15879.613410354828</c:v>
                </c:pt>
                <c:pt idx="42">
                  <c:v>16539.62173076062</c:v>
                </c:pt>
                <c:pt idx="43">
                  <c:v>17175.356429287651</c:v>
                </c:pt>
                <c:pt idx="44">
                  <c:v>17785.945843417088</c:v>
                </c:pt>
                <c:pt idx="45">
                  <c:v>18370.818842709225</c:v>
                </c:pt>
                <c:pt idx="46">
                  <c:v>18929.672540614971</c:v>
                </c:pt>
                <c:pt idx="47">
                  <c:v>19462.440336187894</c:v>
                </c:pt>
                <c:pt idx="48">
                  <c:v>19969.260976872298</c:v>
                </c:pt>
                <c:pt idx="49">
                  <c:v>20450.449154863833</c:v>
                </c:pt>
                <c:pt idx="50">
                  <c:v>20906.467995828167</c:v>
                </c:pt>
                <c:pt idx="51">
                  <c:v>21337.903669738582</c:v>
                </c:pt>
                <c:pt idx="52">
                  <c:v>21745.442247889529</c:v>
                </c:pt>
                <c:pt idx="53">
                  <c:v>22129.848845721244</c:v>
                </c:pt>
                <c:pt idx="54">
                  <c:v>22491.949025545677</c:v>
                </c:pt>
                <c:pt idx="55">
                  <c:v>22832.612384058841</c:v>
                </c:pt>
                <c:pt idx="56">
                  <c:v>23152.738214154495</c:v>
                </c:pt>
                <c:pt idx="57">
                  <c:v>23453.243106652371</c:v>
                </c:pt>
                <c:pt idx="58">
                  <c:v>23735.050342965118</c:v>
                </c:pt>
                <c:pt idx="59">
                  <c:v>23999.080922535264</c:v>
                </c:pt>
                <c:pt idx="60">
                  <c:v>24246.246067416003</c:v>
                </c:pt>
                <c:pt idx="61">
                  <c:v>24477.441049234963</c:v>
                </c:pt>
                <c:pt idx="62">
                  <c:v>24693.540189790379</c:v>
                </c:pt>
                <c:pt idx="63">
                  <c:v>24895.39289471841</c:v>
                </c:pt>
                <c:pt idx="64">
                  <c:v>25083.820589263181</c:v>
                </c:pt>
                <c:pt idx="65">
                  <c:v>25259.614435563391</c:v>
                </c:pt>
                <c:pt idx="66">
                  <c:v>25423.533721568529</c:v>
                </c:pt>
                <c:pt idx="67">
                  <c:v>25576.304822355924</c:v>
                </c:pt>
                <c:pt idx="68">
                  <c:v>25718.620644976385</c:v>
                </c:pt>
                <c:pt idx="69">
                  <c:v>25851.140477827561</c:v>
                </c:pt>
                <c:pt idx="70">
                  <c:v>25974.490174818799</c:v>
                </c:pt>
              </c:numCache>
            </c:numRef>
          </c:yVal>
          <c:smooth val="1"/>
          <c:extLst>
            <c:ext xmlns:c16="http://schemas.microsoft.com/office/drawing/2014/chart" uri="{C3380CC4-5D6E-409C-BE32-E72D297353CC}">
              <c16:uniqueId val="{00000000-C697-44AA-A96B-8DCC64E76E94}"/>
            </c:ext>
          </c:extLst>
        </c:ser>
        <c:ser>
          <c:idx val="12"/>
          <c:order val="2"/>
          <c:tx>
            <c:strRef>
              <c:f>'Cumul_deaths - Gompertz'!$H$7</c:f>
              <c:strCache>
                <c:ptCount val="1"/>
                <c:pt idx="0">
                  <c:v>Italy fit</c:v>
                </c:pt>
              </c:strCache>
            </c:strRef>
          </c:tx>
          <c:spPr>
            <a:ln w="9525" cap="rnd">
              <a:solidFill>
                <a:srgbClr val="0070C0"/>
              </a:solidFill>
              <a:prstDash val="dash"/>
              <a:round/>
            </a:ln>
            <a:effectLst/>
          </c:spPr>
          <c:marker>
            <c:symbol val="none"/>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Gompertz'!$H$8:$H$78</c:f>
              <c:numCache>
                <c:formatCode>0</c:formatCode>
                <c:ptCount val="71"/>
                <c:pt idx="0">
                  <c:v>6.2963556191806172E-2</c:v>
                </c:pt>
                <c:pt idx="1">
                  <c:v>0.16543383275506249</c:v>
                </c:pt>
                <c:pt idx="2">
                  <c:v>0.40452485664261978</c:v>
                </c:pt>
                <c:pt idx="3">
                  <c:v>0.92549544963960084</c:v>
                </c:pt>
                <c:pt idx="4">
                  <c:v>1.9909537061316547</c:v>
                </c:pt>
                <c:pt idx="5">
                  <c:v>4.0457170437450047</c:v>
                </c:pt>
                <c:pt idx="6">
                  <c:v>7.7986414258185768</c:v>
                </c:pt>
                <c:pt idx="7">
                  <c:v>14.316475605506053</c:v>
                </c:pt>
                <c:pt idx="8">
                  <c:v>25.12029806219266</c:v>
                </c:pt>
                <c:pt idx="9">
                  <c:v>42.271276338722252</c:v>
                </c:pt>
                <c:pt idx="10">
                  <c:v>68.430478553050122</c:v>
                </c:pt>
                <c:pt idx="11">
                  <c:v>106.8780705448565</c:v>
                </c:pt>
                <c:pt idx="12">
                  <c:v>161.48066300553273</c:v>
                </c:pt>
                <c:pt idx="13">
                  <c:v>236.6013672606729</c:v>
                </c:pt>
                <c:pt idx="14">
                  <c:v>336.95425643422038</c:v>
                </c:pt>
                <c:pt idx="15">
                  <c:v>467.41210868093719</c:v>
                </c:pt>
                <c:pt idx="16">
                  <c:v>632.78227353520288</c:v>
                </c:pt>
                <c:pt idx="17">
                  <c:v>837.56931588314865</c:v>
                </c:pt>
                <c:pt idx="18">
                  <c:v>1085.7443024262623</c:v>
                </c:pt>
                <c:pt idx="19">
                  <c:v>1380.5392572968995</c:v>
                </c:pt>
                <c:pt idx="20">
                  <c:v>1724.2818964240855</c:v>
                </c:pt>
                <c:pt idx="21">
                  <c:v>2118.2809796551219</c:v>
                </c:pt>
                <c:pt idx="22">
                  <c:v>2562.7673008322872</c:v>
                </c:pt>
                <c:pt idx="23">
                  <c:v>3056.8902042670629</c:v>
                </c:pt>
                <c:pt idx="24">
                  <c:v>3598.7651358891271</c:v>
                </c:pt>
                <c:pt idx="25">
                  <c:v>4185.5644572116507</c:v>
                </c:pt>
                <c:pt idx="26">
                  <c:v>4813.6417048828889</c:v>
                </c:pt>
                <c:pt idx="27">
                  <c:v>5478.6786245249823</c:v>
                </c:pt>
                <c:pt idx="28">
                  <c:v>6175.8444755114824</c:v>
                </c:pt>
                <c:pt idx="29">
                  <c:v>6899.9580535427967</c:v>
                </c:pt>
                <c:pt idx="30">
                  <c:v>7645.6443487252254</c:v>
                </c:pt>
                <c:pt idx="31">
                  <c:v>8407.4795016051139</c:v>
                </c:pt>
                <c:pt idx="32">
                  <c:v>9180.1195298337261</c:v>
                </c:pt>
                <c:pt idx="33">
                  <c:v>9958.4100150686809</c:v>
                </c:pt>
                <c:pt idx="34">
                  <c:v>10737.475456047403</c:v>
                </c:pt>
                <c:pt idx="35">
                  <c:v>11512.788248989918</c:v>
                </c:pt>
                <c:pt idx="36">
                  <c:v>12280.218228582085</c:v>
                </c:pt>
                <c:pt idx="37">
                  <c:v>13036.064398534092</c:v>
                </c:pt>
                <c:pt idx="38">
                  <c:v>13777.070926233017</c:v>
                </c:pt>
                <c:pt idx="39">
                  <c:v>14500.42970856102</c:v>
                </c:pt>
                <c:pt idx="40">
                  <c:v>15203.771877345134</c:v>
                </c:pt>
                <c:pt idx="41">
                  <c:v>15885.150544731998</c:v>
                </c:pt>
                <c:pt idx="42">
                  <c:v>16543.016929247951</c:v>
                </c:pt>
                <c:pt idx="43">
                  <c:v>17176.19178542525</c:v>
                </c:pt>
                <c:pt idx="44">
                  <c:v>17783.833810700857</c:v>
                </c:pt>
                <c:pt idx="45">
                  <c:v>18365.406443888041</c:v>
                </c:pt>
                <c:pt idx="46">
                  <c:v>18920.644215406708</c:v>
                </c:pt>
                <c:pt idx="47">
                  <c:v>19449.519571336943</c:v>
                </c:pt>
                <c:pt idx="48">
                  <c:v>19952.210877943224</c:v>
                </c:pt>
                <c:pt idx="49">
                  <c:v>20429.072124159349</c:v>
                </c:pt>
                <c:pt idx="50">
                  <c:v>20880.604677802461</c:v>
                </c:pt>
                <c:pt idx="51">
                  <c:v>21307.431316466937</c:v>
                </c:pt>
                <c:pt idx="52">
                  <c:v>21710.27264446062</c:v>
                </c:pt>
                <c:pt idx="53">
                  <c:v>22089.925920412668</c:v>
                </c:pt>
                <c:pt idx="54">
                  <c:v>22447.246253575024</c:v>
                </c:pt>
                <c:pt idx="55">
                  <c:v>22783.130077522575</c:v>
                </c:pt>
                <c:pt idx="56">
                  <c:v>23098.50077516415</c:v>
                </c:pt>
                <c:pt idx="57">
                  <c:v>23394.296306123026</c:v>
                </c:pt>
                <c:pt idx="58">
                  <c:v>23671.458674295885</c:v>
                </c:pt>
                <c:pt idx="59">
                  <c:v>23930.925067698729</c:v>
                </c:pt>
                <c:pt idx="60">
                  <c:v>24173.620502789447</c:v>
                </c:pt>
                <c:pt idx="61">
                  <c:v>24400.451809831444</c:v>
                </c:pt>
                <c:pt idx="62">
                  <c:v>24612.302803299553</c:v>
                </c:pt>
                <c:pt idx="63">
                  <c:v>24810.030490830522</c:v>
                </c:pt>
                <c:pt idx="64">
                  <c:v>24994.462184989985</c:v>
                </c:pt>
                <c:pt idx="65">
                  <c:v>25166.393393546146</c:v>
                </c:pt>
                <c:pt idx="66">
                  <c:v>25326.586375534509</c:v>
                </c:pt>
                <c:pt idx="67">
                  <c:v>25475.769261816509</c:v>
                </c:pt>
                <c:pt idx="68">
                  <c:v>25614.635649827309</c:v>
                </c:pt>
                <c:pt idx="69">
                  <c:v>25743.844592601803</c:v>
                </c:pt>
                <c:pt idx="70">
                  <c:v>25864.020911855074</c:v>
                </c:pt>
              </c:numCache>
            </c:numRef>
          </c:yVal>
          <c:smooth val="1"/>
          <c:extLst>
            <c:ext xmlns:c16="http://schemas.microsoft.com/office/drawing/2014/chart" uri="{C3380CC4-5D6E-409C-BE32-E72D297353CC}">
              <c16:uniqueId val="{00000001-C697-44AA-A96B-8DCC64E76E94}"/>
            </c:ext>
          </c:extLst>
        </c:ser>
        <c:ser>
          <c:idx val="5"/>
          <c:order val="6"/>
          <c:tx>
            <c:strRef>
              <c:f>'Cumul_deaths - Gompertz'!$N$7</c:f>
              <c:strCache>
                <c:ptCount val="1"/>
                <c:pt idx="0">
                  <c:v>Lombardy fit</c:v>
                </c:pt>
              </c:strCache>
            </c:strRef>
          </c:tx>
          <c:spPr>
            <a:ln w="9525" cap="rnd">
              <a:solidFill>
                <a:srgbClr val="FF0000"/>
              </a:solidFill>
              <a:round/>
            </a:ln>
            <a:effectLst/>
          </c:spPr>
          <c:marker>
            <c:symbol val="none"/>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Gompertz'!$N$8:$N$78</c:f>
              <c:numCache>
                <c:formatCode>0</c:formatCode>
                <c:ptCount val="71"/>
                <c:pt idx="0">
                  <c:v>4.1937547951869318E-2</c:v>
                </c:pt>
                <c:pt idx="1">
                  <c:v>0.11391387560367425</c:v>
                </c:pt>
                <c:pt idx="2">
                  <c:v>0.28603294294396803</c:v>
                </c:pt>
                <c:pt idx="3">
                  <c:v>0.66804564188629179</c:v>
                </c:pt>
                <c:pt idx="4">
                  <c:v>1.4595551716583999</c:v>
                </c:pt>
                <c:pt idx="5">
                  <c:v>2.9987363169143402</c:v>
                </c:pt>
                <c:pt idx="6">
                  <c:v>5.8218263261705205</c:v>
                </c:pt>
                <c:pt idx="7">
                  <c:v>10.727982950929871</c:v>
                </c:pt>
                <c:pt idx="8">
                  <c:v>18.840709589875217</c:v>
                </c:pt>
                <c:pt idx="9">
                  <c:v>31.654763663909648</c:v>
                </c:pt>
                <c:pt idx="10">
                  <c:v>51.057159306112283</c:v>
                </c:pt>
                <c:pt idx="11">
                  <c:v>79.312944432239163</c:v>
                </c:pt>
                <c:pt idx="12">
                  <c:v>119.01064174449056</c:v>
                </c:pt>
                <c:pt idx="13">
                  <c:v>172.96779094601177</c:v>
                </c:pt>
                <c:pt idx="14">
                  <c:v>244.10278560129476</c:v>
                </c:pt>
                <c:pt idx="15">
                  <c:v>335.28402646061807</c:v>
                </c:pt>
                <c:pt idx="16">
                  <c:v>449.17045732287943</c:v>
                </c:pt>
                <c:pt idx="17">
                  <c:v>588.05840263096559</c:v>
                </c:pt>
                <c:pt idx="18">
                  <c:v>753.74835608304932</c:v>
                </c:pt>
                <c:pt idx="19">
                  <c:v>947.44242534147713</c:v>
                </c:pt>
                <c:pt idx="20">
                  <c:v>1169.6791866457431</c:v>
                </c:pt>
                <c:pt idx="21">
                  <c:v>1420.3084577190118</c:v>
                </c:pt>
                <c:pt idx="22">
                  <c:v>1698.5045765274699</c:v>
                </c:pt>
                <c:pt idx="23">
                  <c:v>2002.8136167542366</c:v>
                </c:pt>
                <c:pt idx="24">
                  <c:v>2331.22781059314</c:v>
                </c:pt>
                <c:pt idx="25">
                  <c:v>2681.2793279300881</c:v>
                </c:pt>
                <c:pt idx="26">
                  <c:v>3050.1453752576481</c:v>
                </c:pt>
                <c:pt idx="27">
                  <c:v>3434.757134860381</c:v>
                </c:pt>
                <c:pt idx="28">
                  <c:v>3831.9061342746418</c:v>
                </c:pt>
                <c:pt idx="29">
                  <c:v>4238.3429907956797</c:v>
                </c:pt>
                <c:pt idx="30">
                  <c:v>4650.8649201011085</c:v>
                </c:pt>
                <c:pt idx="31">
                  <c:v>5066.3897814860065</c:v>
                </c:pt>
                <c:pt idx="32">
                  <c:v>5482.0156531812745</c:v>
                </c:pt>
                <c:pt idx="33">
                  <c:v>5895.0659330381386</c:v>
                </c:pt>
                <c:pt idx="34">
                  <c:v>6303.1207225407306</c:v>
                </c:pt>
                <c:pt idx="35">
                  <c:v>6704.0357827615526</c:v>
                </c:pt>
                <c:pt idx="36">
                  <c:v>7095.9506742678732</c:v>
                </c:pt>
                <c:pt idx="37">
                  <c:v>7477.2878434680651</c:v>
                </c:pt>
                <c:pt idx="38">
                  <c:v>7846.7444331117022</c:v>
                </c:pt>
                <c:pt idx="39">
                  <c:v>8203.2785111753692</c:v>
                </c:pt>
                <c:pt idx="40">
                  <c:v>8546.0912628644237</c:v>
                </c:pt>
                <c:pt idx="41">
                  <c:v>8874.6065023394967</c:v>
                </c:pt>
                <c:pt idx="42">
                  <c:v>9188.4486557107939</c:v>
                </c:pt>
                <c:pt idx="43">
                  <c:v>9487.4201610035398</c:v>
                </c:pt>
                <c:pt idx="44">
                  <c:v>9771.4790354631077</c:v>
                </c:pt>
                <c:pt idx="45">
                  <c:v>10040.717182925689</c:v>
                </c:pt>
                <c:pt idx="46">
                  <c:v>10295.339857971596</c:v>
                </c:pt>
                <c:pt idx="47">
                  <c:v>10535.646570700603</c:v>
                </c:pt>
                <c:pt idx="48">
                  <c:v>10762.013605976434</c:v>
                </c:pt>
                <c:pt idx="49">
                  <c:v>10974.878242477649</c:v>
                </c:pt>
                <c:pt idx="50">
                  <c:v>11174.724687765691</c:v>
                </c:pt>
                <c:pt idx="51">
                  <c:v>11362.071693392834</c:v>
                </c:pt>
                <c:pt idx="52">
                  <c:v>11537.461776283641</c:v>
                </c:pt>
                <c:pt idx="53">
                  <c:v>11701.451946770456</c:v>
                </c:pt>
                <c:pt idx="54">
                  <c:v>11854.605827468647</c:v>
                </c:pt>
                <c:pt idx="55">
                  <c:v>11997.487038606978</c:v>
                </c:pt>
                <c:pt idx="56">
                  <c:v>12130.653722719679</c:v>
                </c:pt>
                <c:pt idx="57">
                  <c:v>12254.654083267334</c:v>
                </c:pt>
                <c:pt idx="58">
                  <c:v>12370.02281654951</c:v>
                </c:pt>
                <c:pt idx="59">
                  <c:v>12477.27832320302</c:v>
                </c:pt>
                <c:pt idx="60">
                  <c:v>12576.920593852701</c:v>
                </c:pt>
                <c:pt idx="61">
                  <c:v>12669.429672480675</c:v>
                </c:pt>
                <c:pt idx="62">
                  <c:v>12755.264610339418</c:v>
                </c:pt>
                <c:pt idx="63">
                  <c:v>12834.862832409937</c:v>
                </c:pt>
                <c:pt idx="64">
                  <c:v>12908.639847255872</c:v>
                </c:pt>
                <c:pt idx="65">
                  <c:v>12976.989239482826</c:v>
                </c:pt>
                <c:pt idx="66">
                  <c:v>13040.282891777269</c:v>
                </c:pt>
                <c:pt idx="67">
                  <c:v>13098.871390615606</c:v>
                </c:pt>
                <c:pt idx="68">
                  <c:v>13153.084576181323</c:v>
                </c:pt>
                <c:pt idx="69">
                  <c:v>13203.232202812262</c:v>
                </c:pt>
                <c:pt idx="70">
                  <c:v>13249.604681444273</c:v>
                </c:pt>
              </c:numCache>
            </c:numRef>
          </c:yVal>
          <c:smooth val="1"/>
          <c:extLst>
            <c:ext xmlns:c16="http://schemas.microsoft.com/office/drawing/2014/chart" uri="{C3380CC4-5D6E-409C-BE32-E72D297353CC}">
              <c16:uniqueId val="{00000002-C697-44AA-A96B-8DCC64E76E94}"/>
            </c:ext>
          </c:extLst>
        </c:ser>
        <c:ser>
          <c:idx val="9"/>
          <c:order val="10"/>
          <c:tx>
            <c:strRef>
              <c:f>'Cumul_deaths - Gompertz'!$T$7</c:f>
              <c:strCache>
                <c:ptCount val="1"/>
                <c:pt idx="0">
                  <c:v>rest of Italy fit</c:v>
                </c:pt>
              </c:strCache>
            </c:strRef>
          </c:tx>
          <c:spPr>
            <a:ln w="9525" cap="rnd">
              <a:solidFill>
                <a:srgbClr val="00B050"/>
              </a:solidFill>
              <a:round/>
            </a:ln>
            <a:effectLst/>
          </c:spPr>
          <c:marker>
            <c:symbol val="none"/>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Gompertz'!$T$8:$T$78</c:f>
              <c:numCache>
                <c:formatCode>0</c:formatCode>
                <c:ptCount val="71"/>
                <c:pt idx="0">
                  <c:v>1.0700684556927438E-2</c:v>
                </c:pt>
                <c:pt idx="1">
                  <c:v>2.9202262052118566E-2</c:v>
                </c:pt>
                <c:pt idx="2">
                  <c:v>7.4183286033256524E-2</c:v>
                </c:pt>
                <c:pt idx="3">
                  <c:v>0.17631969228362226</c:v>
                </c:pt>
                <c:pt idx="4">
                  <c:v>0.39396969903040424</c:v>
                </c:pt>
                <c:pt idx="5">
                  <c:v>0.83120277108408736</c:v>
                </c:pt>
                <c:pt idx="6">
                  <c:v>1.6626910476968617</c:v>
                </c:pt>
                <c:pt idx="7">
                  <c:v>3.165394899819753</c:v>
                </c:pt>
                <c:pt idx="8">
                  <c:v>5.7555854138605982</c:v>
                </c:pt>
                <c:pt idx="9">
                  <c:v>10.028141124811492</c:v>
                </c:pt>
                <c:pt idx="10">
                  <c:v>16.793574118281388</c:v>
                </c:pt>
                <c:pt idx="11">
                  <c:v>27.107262324173615</c:v>
                </c:pt>
                <c:pt idx="12">
                  <c:v>42.285203700056371</c:v>
                </c:pt>
                <c:pt idx="13">
                  <c:v>63.901415045113417</c:v>
                </c:pt>
                <c:pt idx="14">
                  <c:v>93.763813074233511</c:v>
                </c:pt>
                <c:pt idx="15">
                  <c:v>133.86777803853636</c:v>
                </c:pt>
                <c:pt idx="16">
                  <c:v>186.32921588936787</c:v>
                </c:pt>
                <c:pt idx="17">
                  <c:v>253.3013694732592</c:v>
                </c:pt>
                <c:pt idx="18">
                  <c:v>336.88150413880123</c:v>
                </c:pt>
                <c:pt idx="19">
                  <c:v>439.01465688633789</c:v>
                </c:pt>
                <c:pt idx="20">
                  <c:v>561.40179897180644</c:v>
                </c:pt>
                <c:pt idx="21">
                  <c:v>705.41908172136925</c:v>
                </c:pt>
                <c:pt idx="22">
                  <c:v>872.05349470874489</c:v>
                </c:pt>
                <c:pt idx="23">
                  <c:v>1061.8585124595338</c:v>
                </c:pt>
                <c:pt idx="24">
                  <c:v>1274.9314038475443</c:v>
                </c:pt>
                <c:pt idx="25">
                  <c:v>1510.912062916685</c:v>
                </c:pt>
                <c:pt idx="26">
                  <c:v>1769.001670569043</c:v>
                </c:pt>
                <c:pt idx="27">
                  <c:v>2047.9983246727247</c:v>
                </c:pt>
                <c:pt idx="28">
                  <c:v>2346.3460259111462</c:v>
                </c:pt>
                <c:pt idx="29">
                  <c:v>2662.1930660811367</c:v>
                </c:pt>
                <c:pt idx="30">
                  <c:v>2993.4558818996152</c:v>
                </c:pt>
                <c:pt idx="31">
                  <c:v>3337.8847341605456</c:v>
                </c:pt>
                <c:pt idx="32">
                  <c:v>3693.1280638737926</c:v>
                </c:pt>
                <c:pt idx="33">
                  <c:v>4056.7929812138855</c:v>
                </c:pt>
                <c:pt idx="34">
                  <c:v>4426.4999878010258</c:v>
                </c:pt>
                <c:pt idx="35">
                  <c:v>4799.930661067111</c:v>
                </c:pt>
                <c:pt idx="36">
                  <c:v>5174.8676004969921</c:v>
                </c:pt>
                <c:pt idx="37">
                  <c:v>5549.2264240284194</c:v>
                </c:pt>
                <c:pt idx="38">
                  <c:v>5921.0799966904278</c:v>
                </c:pt>
                <c:pt idx="39">
                  <c:v>6288.6753708944889</c:v>
                </c:pt>
                <c:pt idx="40">
                  <c:v>6650.4441243673837</c:v>
                </c:pt>
                <c:pt idx="41">
                  <c:v>7005.0069080153316</c:v>
                </c:pt>
                <c:pt idx="42">
                  <c:v>7351.1730750498245</c:v>
                </c:pt>
                <c:pt idx="43">
                  <c:v>7687.9362682841102</c:v>
                </c:pt>
                <c:pt idx="44">
                  <c:v>8014.4668079539788</c:v>
                </c:pt>
                <c:pt idx="45">
                  <c:v>8330.1016597835333</c:v>
                </c:pt>
                <c:pt idx="46">
                  <c:v>8634.3326826433768</c:v>
                </c:pt>
                <c:pt idx="47">
                  <c:v>8926.7937654872894</c:v>
                </c:pt>
                <c:pt idx="48">
                  <c:v>9207.2473708958623</c:v>
                </c:pt>
                <c:pt idx="49">
                  <c:v>9475.5709123861816</c:v>
                </c:pt>
                <c:pt idx="50">
                  <c:v>9731.743308062476</c:v>
                </c:pt>
                <c:pt idx="51">
                  <c:v>9975.8319763457494</c:v>
                </c:pt>
                <c:pt idx="52">
                  <c:v>10207.980471605888</c:v>
                </c:pt>
                <c:pt idx="53">
                  <c:v>10428.39689895079</c:v>
                </c:pt>
                <c:pt idx="54">
                  <c:v>10637.343198077027</c:v>
                </c:pt>
                <c:pt idx="55">
                  <c:v>10835.125345451863</c:v>
                </c:pt>
                <c:pt idx="56">
                  <c:v>11022.084491434818</c:v>
                </c:pt>
                <c:pt idx="57">
                  <c:v>11198.589023385039</c:v>
                </c:pt>
                <c:pt idx="58">
                  <c:v>11365.027526415608</c:v>
                </c:pt>
                <c:pt idx="59">
                  <c:v>11521.802599332244</c:v>
                </c:pt>
                <c:pt idx="60">
                  <c:v>11669.325473563302</c:v>
                </c:pt>
                <c:pt idx="61">
                  <c:v>11808.01137675429</c:v>
                </c:pt>
                <c:pt idx="62">
                  <c:v>11938.275579450963</c:v>
                </c:pt>
                <c:pt idx="63">
                  <c:v>12060.530062308475</c:v>
                </c:pt>
                <c:pt idx="64">
                  <c:v>12175.180742007309</c:v>
                </c:pt>
                <c:pt idx="65">
                  <c:v>12282.625196080566</c:v>
                </c:pt>
                <c:pt idx="66">
                  <c:v>12383.250829791259</c:v>
                </c:pt>
                <c:pt idx="67">
                  <c:v>12477.433431740315</c:v>
                </c:pt>
                <c:pt idx="68">
                  <c:v>12565.53606879506</c:v>
                </c:pt>
                <c:pt idx="69">
                  <c:v>12647.908275015299</c:v>
                </c:pt>
                <c:pt idx="70">
                  <c:v>12724.885493374528</c:v>
                </c:pt>
              </c:numCache>
            </c:numRef>
          </c:yVal>
          <c:smooth val="1"/>
          <c:extLst>
            <c:ext xmlns:c16="http://schemas.microsoft.com/office/drawing/2014/chart" uri="{C3380CC4-5D6E-409C-BE32-E72D297353CC}">
              <c16:uniqueId val="{00000003-C697-44AA-A96B-8DCC64E76E94}"/>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6"/>
                <c:order val="7"/>
                <c:tx>
                  <c:strRef>
                    <c:extLst>
                      <c:ext uri="{02D57815-91ED-43cb-92C2-25804820EDAC}">
                        <c15:formulaRef>
                          <c15:sqref>'Cumul_deaths - Gompertz'!$P$7</c15:sqref>
                        </c15:formulaRef>
                      </c:ext>
                    </c:extLst>
                    <c:strCache>
                      <c:ptCount val="1"/>
                      <c:pt idx="0">
                        <c:v>r. Upper CI</c:v>
                      </c:pt>
                    </c:strCache>
                  </c:strRef>
                </c:tx>
                <c:spPr>
                  <a:ln w="9525" cap="rnd">
                    <a:solidFill>
                      <a:schemeClr val="accent1">
                        <a:lumMod val="60000"/>
                      </a:schemeClr>
                    </a:solidFill>
                    <a:round/>
                  </a:ln>
                  <a:effectLst/>
                </c:spPr>
                <c:marker>
                  <c:symbol val="none"/>
                </c:marker>
                <c:xVal>
                  <c:numRef>
                    <c:extLst>
                      <c:ext uri="{02D57815-91ED-43cb-92C2-25804820EDAC}">
                        <c15:formulaRef>
                          <c15:sqref>'Cumul_deaths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c:ext uri="{02D57815-91ED-43cb-92C2-25804820EDAC}">
                        <c15:formulaRef>
                          <c15:sqref>'Cumul_deaths - Gompertz'!$P$8:$P$78</c15:sqref>
                        </c15:formulaRef>
                      </c:ext>
                    </c:extLst>
                    <c:numCache>
                      <c:formatCode>0</c:formatCode>
                      <c:ptCount val="71"/>
                      <c:pt idx="0">
                        <c:v>179.37815475522257</c:v>
                      </c:pt>
                      <c:pt idx="1">
                        <c:v>179.45013108287438</c:v>
                      </c:pt>
                      <c:pt idx="2">
                        <c:v>179.62225015021465</c:v>
                      </c:pt>
                      <c:pt idx="3">
                        <c:v>180.00426284915699</c:v>
                      </c:pt>
                      <c:pt idx="4">
                        <c:v>180.79577237892909</c:v>
                      </c:pt>
                      <c:pt idx="5">
                        <c:v>182.33495352418504</c:v>
                      </c:pt>
                      <c:pt idx="6">
                        <c:v>185.1580435334412</c:v>
                      </c:pt>
                      <c:pt idx="7">
                        <c:v>190.06420015820055</c:v>
                      </c:pt>
                      <c:pt idx="8">
                        <c:v>198.17692679714591</c:v>
                      </c:pt>
                      <c:pt idx="9">
                        <c:v>210.99098087118034</c:v>
                      </c:pt>
                      <c:pt idx="10">
                        <c:v>230.39337651338298</c:v>
                      </c:pt>
                      <c:pt idx="11">
                        <c:v>258.64916163950988</c:v>
                      </c:pt>
                      <c:pt idx="12">
                        <c:v>298.34685895176125</c:v>
                      </c:pt>
                      <c:pt idx="13">
                        <c:v>352.30400815328244</c:v>
                      </c:pt>
                      <c:pt idx="14">
                        <c:v>423.43900280856542</c:v>
                      </c:pt>
                      <c:pt idx="15">
                        <c:v>514.62024366788876</c:v>
                      </c:pt>
                      <c:pt idx="16">
                        <c:v>628.50667453015012</c:v>
                      </c:pt>
                      <c:pt idx="17">
                        <c:v>767.39461983823628</c:v>
                      </c:pt>
                      <c:pt idx="18">
                        <c:v>933.08457329032001</c:v>
                      </c:pt>
                      <c:pt idx="19">
                        <c:v>1126.7786425487479</c:v>
                      </c:pt>
                      <c:pt idx="20">
                        <c:v>1349.0154038530138</c:v>
                      </c:pt>
                      <c:pt idx="21">
                        <c:v>1599.6446749262825</c:v>
                      </c:pt>
                      <c:pt idx="22">
                        <c:v>1877.8407937347406</c:v>
                      </c:pt>
                      <c:pt idx="23">
                        <c:v>2182.1498339615073</c:v>
                      </c:pt>
                      <c:pt idx="24">
                        <c:v>2510.5640278004107</c:v>
                      </c:pt>
                      <c:pt idx="25">
                        <c:v>2860.6155451373588</c:v>
                      </c:pt>
                      <c:pt idx="26">
                        <c:v>3229.4815924649188</c:v>
                      </c:pt>
                      <c:pt idx="27">
                        <c:v>3614.0933520676517</c:v>
                      </c:pt>
                      <c:pt idx="28">
                        <c:v>4011.2423514819125</c:v>
                      </c:pt>
                      <c:pt idx="29">
                        <c:v>4417.67920800295</c:v>
                      </c:pt>
                      <c:pt idx="30">
                        <c:v>4830.2011373083787</c:v>
                      </c:pt>
                      <c:pt idx="31">
                        <c:v>5245.7259986932768</c:v>
                      </c:pt>
                      <c:pt idx="32">
                        <c:v>5661.3518703885456</c:v>
                      </c:pt>
                      <c:pt idx="33">
                        <c:v>6074.4021502454088</c:v>
                      </c:pt>
                      <c:pt idx="34">
                        <c:v>6482.4569397480009</c:v>
                      </c:pt>
                      <c:pt idx="35">
                        <c:v>6883.3719999688237</c:v>
                      </c:pt>
                      <c:pt idx="36">
                        <c:v>7275.2868914751434</c:v>
                      </c:pt>
                      <c:pt idx="37">
                        <c:v>7656.6240606753363</c:v>
                      </c:pt>
                      <c:pt idx="38">
                        <c:v>8026.0806503189724</c:v>
                      </c:pt>
                      <c:pt idx="39">
                        <c:v>8382.6147283826394</c:v>
                      </c:pt>
                      <c:pt idx="40">
                        <c:v>8725.4274800716939</c:v>
                      </c:pt>
                      <c:pt idx="41">
                        <c:v>9053.942719546767</c:v>
                      </c:pt>
                      <c:pt idx="42">
                        <c:v>9367.7848729180641</c:v>
                      </c:pt>
                      <c:pt idx="43">
                        <c:v>9666.75637821081</c:v>
                      </c:pt>
                      <c:pt idx="44">
                        <c:v>9950.815252670378</c:v>
                      </c:pt>
                      <c:pt idx="45">
                        <c:v>10220.05340013296</c:v>
                      </c:pt>
                      <c:pt idx="46">
                        <c:v>10474.676075178866</c:v>
                      </c:pt>
                      <c:pt idx="47">
                        <c:v>10714.982787907873</c:v>
                      </c:pt>
                      <c:pt idx="48">
                        <c:v>10941.349823183704</c:v>
                      </c:pt>
                    </c:numCache>
                  </c:numRef>
                </c:yVal>
                <c:smooth val="1"/>
                <c:extLst>
                  <c:ext xmlns:c16="http://schemas.microsoft.com/office/drawing/2014/chart" uri="{C3380CC4-5D6E-409C-BE32-E72D297353CC}">
                    <c16:uniqueId val="{00000009-C697-44AA-A96B-8DCC64E76E94}"/>
                  </c:ext>
                </c:extLst>
              </c15:ser>
            </c15:filteredScatterSeries>
            <c15:filteredScatterSeries>
              <c15:ser>
                <c:idx val="7"/>
                <c:order val="8"/>
                <c:tx>
                  <c:strRef>
                    <c:extLst xmlns:c15="http://schemas.microsoft.com/office/drawing/2012/chart">
                      <c:ext xmlns:c15="http://schemas.microsoft.com/office/drawing/2012/chart" uri="{02D57815-91ED-43cb-92C2-25804820EDAC}">
                        <c15:formulaRef>
                          <c15:sqref>'Cumul_deaths - Gompertz'!$Q$7</c15:sqref>
                        </c15:formulaRef>
                      </c:ext>
                    </c:extLst>
                    <c:strCache>
                      <c:ptCount val="1"/>
                      <c:pt idx="0">
                        <c:v>r. Lower CI</c:v>
                      </c:pt>
                    </c:strCache>
                  </c:strRef>
                </c:tx>
                <c:spPr>
                  <a:ln w="9525" cap="rnd">
                    <a:solidFill>
                      <a:schemeClr val="accent2">
                        <a:lumMod val="60000"/>
                      </a:schemeClr>
                    </a:solidFill>
                    <a:round/>
                  </a:ln>
                  <a:effectLst/>
                </c:spPr>
                <c:marker>
                  <c:symbol val="none"/>
                </c:marker>
                <c:xVal>
                  <c:numRef>
                    <c:extLst>
                      <c:ext xmlns:c15="http://schemas.microsoft.com/office/drawing/2012/chart" uri="{02D57815-91ED-43cb-92C2-25804820EDAC}">
                        <c15:formulaRef>
                          <c15:sqref>'Cumul_deaths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'Cumul_deaths - Gompertz'!$Q$8:$Q$78</c15:sqref>
                        </c15:formulaRef>
                      </c:ext>
                    </c:extLst>
                    <c:numCache>
                      <c:formatCode>0</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64.766568394024063</c:v>
                      </c:pt>
                      <c:pt idx="15">
                        <c:v>155.94780925334737</c:v>
                      </c:pt>
                      <c:pt idx="16">
                        <c:v>269.83424011560874</c:v>
                      </c:pt>
                      <c:pt idx="17">
                        <c:v>408.7221854236949</c:v>
                      </c:pt>
                      <c:pt idx="18">
                        <c:v>574.41213887577862</c:v>
                      </c:pt>
                      <c:pt idx="19">
                        <c:v>768.10620813420644</c:v>
                      </c:pt>
                      <c:pt idx="20">
                        <c:v>990.34296943847244</c:v>
                      </c:pt>
                      <c:pt idx="21">
                        <c:v>1240.9722405117411</c:v>
                      </c:pt>
                      <c:pt idx="22">
                        <c:v>1519.1683593201992</c:v>
                      </c:pt>
                      <c:pt idx="23">
                        <c:v>1823.4773995469659</c:v>
                      </c:pt>
                      <c:pt idx="24">
                        <c:v>2151.8915933858693</c:v>
                      </c:pt>
                      <c:pt idx="25">
                        <c:v>2501.9431107228174</c:v>
                      </c:pt>
                      <c:pt idx="26">
                        <c:v>2870.8091580503774</c:v>
                      </c:pt>
                      <c:pt idx="27">
                        <c:v>3255.4209176531103</c:v>
                      </c:pt>
                      <c:pt idx="28">
                        <c:v>3652.5699170673711</c:v>
                      </c:pt>
                      <c:pt idx="29">
                        <c:v>4059.006773588409</c:v>
                      </c:pt>
                      <c:pt idx="30">
                        <c:v>4471.5287028938383</c:v>
                      </c:pt>
                      <c:pt idx="31">
                        <c:v>4887.0535642787363</c:v>
                      </c:pt>
                      <c:pt idx="32">
                        <c:v>5302.6794359740034</c:v>
                      </c:pt>
                      <c:pt idx="33">
                        <c:v>5715.7297158308684</c:v>
                      </c:pt>
                      <c:pt idx="34">
                        <c:v>6123.7845053334604</c:v>
                      </c:pt>
                      <c:pt idx="35">
                        <c:v>6524.6995655542814</c:v>
                      </c:pt>
                      <c:pt idx="36">
                        <c:v>6916.6144570606029</c:v>
                      </c:pt>
                      <c:pt idx="37">
                        <c:v>7297.951626260794</c:v>
                      </c:pt>
                      <c:pt idx="38">
                        <c:v>7667.4082159044319</c:v>
                      </c:pt>
                      <c:pt idx="39">
                        <c:v>8023.942293968099</c:v>
                      </c:pt>
                      <c:pt idx="40">
                        <c:v>8366.7550456571535</c:v>
                      </c:pt>
                      <c:pt idx="41">
                        <c:v>8695.2702851322265</c:v>
                      </c:pt>
                      <c:pt idx="42">
                        <c:v>9009.1124385035237</c:v>
                      </c:pt>
                      <c:pt idx="43">
                        <c:v>9308.0839437962695</c:v>
                      </c:pt>
                      <c:pt idx="44">
                        <c:v>9592.1428182558375</c:v>
                      </c:pt>
                      <c:pt idx="45">
                        <c:v>9861.3809657184192</c:v>
                      </c:pt>
                      <c:pt idx="46">
                        <c:v>10116.003640764326</c:v>
                      </c:pt>
                      <c:pt idx="47">
                        <c:v>10356.310353493333</c:v>
                      </c:pt>
                      <c:pt idx="48">
                        <c:v>10582.677388769163</c:v>
                      </c:pt>
                    </c:numCache>
                  </c:numRef>
                </c:yVal>
                <c:smooth val="1"/>
                <c:extLst xmlns:c15="http://schemas.microsoft.com/office/drawing/2012/chart">
                  <c:ext xmlns:c16="http://schemas.microsoft.com/office/drawing/2014/chart" uri="{C3380CC4-5D6E-409C-BE32-E72D297353CC}">
                    <c16:uniqueId val="{0000000A-C697-44AA-A96B-8DCC64E76E94}"/>
                  </c:ext>
                </c:extLst>
              </c15:ser>
            </c15:filteredScatterSeries>
            <c15:filteredScatterSeries>
              <c15:ser>
                <c:idx val="10"/>
                <c:order val="11"/>
                <c:tx>
                  <c:strRef>
                    <c:extLst xmlns:c15="http://schemas.microsoft.com/office/drawing/2012/chart">
                      <c:ext xmlns:c15="http://schemas.microsoft.com/office/drawing/2012/chart" uri="{02D57815-91ED-43cb-92C2-25804820EDAC}">
                        <c15:formulaRef>
                          <c15:sqref>'Cumul_deaths - Gompertz'!$V$7</c15:sqref>
                        </c15:formulaRef>
                      </c:ext>
                    </c:extLst>
                    <c:strCache>
                      <c:ptCount val="1"/>
                      <c:pt idx="0">
                        <c:v>o.r. Upper CI</c:v>
                      </c:pt>
                    </c:strCache>
                  </c:strRef>
                </c:tx>
                <c:spPr>
                  <a:ln w="9525" cap="rnd">
                    <a:solidFill>
                      <a:schemeClr val="accent5">
                        <a:lumMod val="60000"/>
                      </a:schemeClr>
                    </a:solidFill>
                    <a:round/>
                  </a:ln>
                  <a:effectLst/>
                </c:spPr>
                <c:marker>
                  <c:symbol val="none"/>
                </c:marker>
                <c:xVal>
                  <c:numRef>
                    <c:extLst>
                      <c:ext xmlns:c15="http://schemas.microsoft.com/office/drawing/2012/chart" uri="{02D57815-91ED-43cb-92C2-25804820EDAC}">
                        <c15:formulaRef>
                          <c15:sqref>'Cumul_deaths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'Cumul_deaths - Gompertz'!$V$8:$V$78</c15:sqref>
                        </c15:formulaRef>
                      </c:ext>
                    </c:extLst>
                    <c:numCache>
                      <c:formatCode>0</c:formatCode>
                      <c:ptCount val="71"/>
                      <c:pt idx="0">
                        <c:v>73.761504505045679</c:v>
                      </c:pt>
                      <c:pt idx="1">
                        <c:v>73.780006082540879</c:v>
                      </c:pt>
                      <c:pt idx="2">
                        <c:v>73.824987106522016</c:v>
                      </c:pt>
                      <c:pt idx="3">
                        <c:v>73.927123512772383</c:v>
                      </c:pt>
                      <c:pt idx="4">
                        <c:v>74.144773519519163</c:v>
                      </c:pt>
                      <c:pt idx="5">
                        <c:v>74.582006591572849</c:v>
                      </c:pt>
                      <c:pt idx="6">
                        <c:v>75.413494868185623</c:v>
                      </c:pt>
                      <c:pt idx="7">
                        <c:v>76.916198720308515</c:v>
                      </c:pt>
                      <c:pt idx="8">
                        <c:v>79.506389234349356</c:v>
                      </c:pt>
                      <c:pt idx="9">
                        <c:v>83.778944945300253</c:v>
                      </c:pt>
                      <c:pt idx="10">
                        <c:v>90.54437793877014</c:v>
                      </c:pt>
                      <c:pt idx="11">
                        <c:v>100.85806614466237</c:v>
                      </c:pt>
                      <c:pt idx="12">
                        <c:v>116.03600752054513</c:v>
                      </c:pt>
                      <c:pt idx="13">
                        <c:v>137.65221886560218</c:v>
                      </c:pt>
                      <c:pt idx="14">
                        <c:v>167.51461689472228</c:v>
                      </c:pt>
                      <c:pt idx="15">
                        <c:v>207.61858185902511</c:v>
                      </c:pt>
                      <c:pt idx="16">
                        <c:v>260.08001970985663</c:v>
                      </c:pt>
                      <c:pt idx="17">
                        <c:v>327.05217329374796</c:v>
                      </c:pt>
                      <c:pt idx="18">
                        <c:v>410.63230795928996</c:v>
                      </c:pt>
                      <c:pt idx="19">
                        <c:v>512.76546070682662</c:v>
                      </c:pt>
                      <c:pt idx="20">
                        <c:v>635.15260279229517</c:v>
                      </c:pt>
                      <c:pt idx="21">
                        <c:v>779.16988554185798</c:v>
                      </c:pt>
                      <c:pt idx="22">
                        <c:v>945.80429852923362</c:v>
                      </c:pt>
                      <c:pt idx="23">
                        <c:v>1135.6093162800225</c:v>
                      </c:pt>
                      <c:pt idx="24">
                        <c:v>1348.682207668033</c:v>
                      </c:pt>
                      <c:pt idx="25">
                        <c:v>1584.6628667371738</c:v>
                      </c:pt>
                      <c:pt idx="26">
                        <c:v>1842.7524743895317</c:v>
                      </c:pt>
                      <c:pt idx="27">
                        <c:v>2121.7491284932134</c:v>
                      </c:pt>
                      <c:pt idx="28">
                        <c:v>2420.0968297316349</c:v>
                      </c:pt>
                      <c:pt idx="29">
                        <c:v>2735.9438699016255</c:v>
                      </c:pt>
                      <c:pt idx="30">
                        <c:v>3067.2066857201039</c:v>
                      </c:pt>
                      <c:pt idx="31">
                        <c:v>3411.6355379810343</c:v>
                      </c:pt>
                      <c:pt idx="32">
                        <c:v>3766.8788676942813</c:v>
                      </c:pt>
                      <c:pt idx="33">
                        <c:v>4130.5437850343742</c:v>
                      </c:pt>
                      <c:pt idx="34">
                        <c:v>4500.2507916215145</c:v>
                      </c:pt>
                      <c:pt idx="35">
                        <c:v>4873.6814648875998</c:v>
                      </c:pt>
                      <c:pt idx="36">
                        <c:v>5248.6184043174808</c:v>
                      </c:pt>
                      <c:pt idx="37">
                        <c:v>5622.9772278489081</c:v>
                      </c:pt>
                      <c:pt idx="38">
                        <c:v>5994.8308005109166</c:v>
                      </c:pt>
                      <c:pt idx="39">
                        <c:v>6362.4261747149776</c:v>
                      </c:pt>
                      <c:pt idx="40">
                        <c:v>6724.1949281878724</c:v>
                      </c:pt>
                      <c:pt idx="41">
                        <c:v>7078.7577118358204</c:v>
                      </c:pt>
                      <c:pt idx="42">
                        <c:v>7424.9238788703133</c:v>
                      </c:pt>
                      <c:pt idx="43">
                        <c:v>7761.6870721045989</c:v>
                      </c:pt>
                      <c:pt idx="44">
                        <c:v>8088.2176117744675</c:v>
                      </c:pt>
                      <c:pt idx="45">
                        <c:v>8403.852463604022</c:v>
                      </c:pt>
                      <c:pt idx="46">
                        <c:v>8708.0834864638655</c:v>
                      </c:pt>
                      <c:pt idx="47">
                        <c:v>9000.5445693077781</c:v>
                      </c:pt>
                      <c:pt idx="48">
                        <c:v>9280.9981747163511</c:v>
                      </c:pt>
                    </c:numCache>
                  </c:numRef>
                </c:yVal>
                <c:smooth val="1"/>
                <c:extLst xmlns:c15="http://schemas.microsoft.com/office/drawing/2012/chart">
                  <c:ext xmlns:c16="http://schemas.microsoft.com/office/drawing/2014/chart" uri="{C3380CC4-5D6E-409C-BE32-E72D297353CC}">
                    <c16:uniqueId val="{0000000B-C697-44AA-A96B-8DCC64E76E94}"/>
                  </c:ext>
                </c:extLst>
              </c15:ser>
            </c15:filteredScatterSeries>
            <c15:filteredScatterSeries>
              <c15:ser>
                <c:idx val="11"/>
                <c:order val="12"/>
                <c:tx>
                  <c:strRef>
                    <c:extLst xmlns:c15="http://schemas.microsoft.com/office/drawing/2012/chart">
                      <c:ext xmlns:c15="http://schemas.microsoft.com/office/drawing/2012/chart" uri="{02D57815-91ED-43cb-92C2-25804820EDAC}">
                        <c15:formulaRef>
                          <c15:sqref>'Cumul_deaths - Gompertz'!$W$7</c15:sqref>
                        </c15:formulaRef>
                      </c:ext>
                    </c:extLst>
                    <c:strCache>
                      <c:ptCount val="1"/>
                      <c:pt idx="0">
                        <c:v>o.r. Lower CI</c:v>
                      </c:pt>
                    </c:strCache>
                  </c:strRef>
                </c:tx>
                <c:spPr>
                  <a:ln w="9525" cap="rnd">
                    <a:solidFill>
                      <a:schemeClr val="accent6">
                        <a:lumMod val="60000"/>
                      </a:schemeClr>
                    </a:solidFill>
                    <a:round/>
                  </a:ln>
                  <a:effectLst/>
                </c:spPr>
                <c:marker>
                  <c:symbol val="none"/>
                </c:marker>
                <c:xVal>
                  <c:numRef>
                    <c:extLst>
                      <c:ext xmlns:c15="http://schemas.microsoft.com/office/drawing/2012/chart" uri="{02D57815-91ED-43cb-92C2-25804820EDAC}">
                        <c15:formulaRef>
                          <c15:sqref>'Cumul_deaths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'Cumul_deaths - Gompertz'!$W$8:$W$78</c15:sqref>
                        </c15:formulaRef>
                      </c:ext>
                    </c:extLst>
                    <c:numCache>
                      <c:formatCode>0</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20.013009253744755</c:v>
                      </c:pt>
                      <c:pt idx="15">
                        <c:v>60.116974218047602</c:v>
                      </c:pt>
                      <c:pt idx="16">
                        <c:v>112.57841206887912</c:v>
                      </c:pt>
                      <c:pt idx="17">
                        <c:v>179.55056565277044</c:v>
                      </c:pt>
                      <c:pt idx="18">
                        <c:v>263.13070031831251</c:v>
                      </c:pt>
                      <c:pt idx="19">
                        <c:v>365.26385306584916</c:v>
                      </c:pt>
                      <c:pt idx="20">
                        <c:v>487.65099515131772</c:v>
                      </c:pt>
                      <c:pt idx="21">
                        <c:v>631.66827790088053</c:v>
                      </c:pt>
                      <c:pt idx="22">
                        <c:v>798.30269088825617</c:v>
                      </c:pt>
                      <c:pt idx="23">
                        <c:v>988.10770863904509</c:v>
                      </c:pt>
                      <c:pt idx="24">
                        <c:v>1201.1806000270556</c:v>
                      </c:pt>
                      <c:pt idx="25">
                        <c:v>1437.1612590961963</c:v>
                      </c:pt>
                      <c:pt idx="26">
                        <c:v>1695.2508667485542</c:v>
                      </c:pt>
                      <c:pt idx="27">
                        <c:v>1974.247520852236</c:v>
                      </c:pt>
                      <c:pt idx="28">
                        <c:v>2272.5952220906574</c:v>
                      </c:pt>
                      <c:pt idx="29">
                        <c:v>2588.442262260648</c:v>
                      </c:pt>
                      <c:pt idx="30">
                        <c:v>2919.7050780791265</c:v>
                      </c:pt>
                      <c:pt idx="31">
                        <c:v>3264.1339303400568</c:v>
                      </c:pt>
                      <c:pt idx="32">
                        <c:v>3619.3772600533039</c:v>
                      </c:pt>
                      <c:pt idx="33">
                        <c:v>3983.0421773933967</c:v>
                      </c:pt>
                      <c:pt idx="34">
                        <c:v>4352.7491839805371</c:v>
                      </c:pt>
                      <c:pt idx="35">
                        <c:v>4726.1798572466223</c:v>
                      </c:pt>
                      <c:pt idx="36">
                        <c:v>5101.1167966765033</c:v>
                      </c:pt>
                      <c:pt idx="37">
                        <c:v>5475.4756202079307</c:v>
                      </c:pt>
                      <c:pt idx="38">
                        <c:v>5847.3291928699391</c:v>
                      </c:pt>
                      <c:pt idx="39">
                        <c:v>6214.9245670740002</c:v>
                      </c:pt>
                      <c:pt idx="40">
                        <c:v>6576.6933205468949</c:v>
                      </c:pt>
                      <c:pt idx="41">
                        <c:v>6931.2561041948429</c:v>
                      </c:pt>
                      <c:pt idx="42">
                        <c:v>7277.4222712293358</c:v>
                      </c:pt>
                      <c:pt idx="43">
                        <c:v>7614.1854644636214</c:v>
                      </c:pt>
                      <c:pt idx="44">
                        <c:v>7940.7160041334901</c:v>
                      </c:pt>
                      <c:pt idx="45">
                        <c:v>8256.3508559630445</c:v>
                      </c:pt>
                      <c:pt idx="46">
                        <c:v>8560.581878822888</c:v>
                      </c:pt>
                      <c:pt idx="47">
                        <c:v>8853.0429616668007</c:v>
                      </c:pt>
                      <c:pt idx="48">
                        <c:v>9133.4965670753736</c:v>
                      </c:pt>
                    </c:numCache>
                  </c:numRef>
                </c:yVal>
                <c:smooth val="1"/>
                <c:extLst xmlns:c15="http://schemas.microsoft.com/office/drawing/2012/chart">
                  <c:ext xmlns:c16="http://schemas.microsoft.com/office/drawing/2014/chart" uri="{C3380CC4-5D6E-409C-BE32-E72D297353CC}">
                    <c16:uniqueId val="{0000000C-C697-44AA-A96B-8DCC64E76E94}"/>
                  </c:ext>
                </c:extLst>
              </c15:ser>
            </c15:filteredScatterSeries>
          </c:ext>
        </c:extLst>
      </c:scatterChart>
      <c:scatterChart>
        <c:scatterStyle val="lineMarker"/>
        <c:varyColors val="0"/>
        <c:ser>
          <c:idx val="0"/>
          <c:order val="0"/>
          <c:tx>
            <c:strRef>
              <c:f>'Cumul_deaths - Gompertz'!$D$7</c:f>
              <c:strCache>
                <c:ptCount val="1"/>
                <c:pt idx="0">
                  <c:v>Italy cumulative</c:v>
                </c:pt>
              </c:strCache>
            </c:strRef>
          </c:tx>
          <c:spPr>
            <a:ln w="25400" cap="rnd">
              <a:noFill/>
              <a:round/>
            </a:ln>
            <a:effectLst/>
          </c:spPr>
          <c:marker>
            <c:symbol val="squar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Gompertz'!$D$8:$D$78</c:f>
              <c:numCache>
                <c:formatCode>0</c:formatCode>
                <c:ptCount val="71"/>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pt idx="33">
                  <c:v>10023</c:v>
                </c:pt>
                <c:pt idx="34">
                  <c:v>10779</c:v>
                </c:pt>
                <c:pt idx="35">
                  <c:v>11591</c:v>
                </c:pt>
                <c:pt idx="36">
                  <c:v>12428</c:v>
                </c:pt>
                <c:pt idx="37">
                  <c:v>13155</c:v>
                </c:pt>
                <c:pt idx="38">
                  <c:v>13915</c:v>
                </c:pt>
                <c:pt idx="39">
                  <c:v>14681</c:v>
                </c:pt>
                <c:pt idx="40">
                  <c:v>15362</c:v>
                </c:pt>
                <c:pt idx="41">
                  <c:v>15887</c:v>
                </c:pt>
                <c:pt idx="42">
                  <c:v>16523</c:v>
                </c:pt>
                <c:pt idx="43">
                  <c:v>17127</c:v>
                </c:pt>
                <c:pt idx="44">
                  <c:v>17669</c:v>
                </c:pt>
                <c:pt idx="45">
                  <c:v>18279</c:v>
                </c:pt>
                <c:pt idx="46">
                  <c:v>18849</c:v>
                </c:pt>
                <c:pt idx="47">
                  <c:v>19468</c:v>
                </c:pt>
                <c:pt idx="48">
                  <c:v>19899</c:v>
                </c:pt>
              </c:numCache>
            </c:numRef>
          </c:yVal>
          <c:smooth val="0"/>
          <c:extLst>
            <c:ext xmlns:c16="http://schemas.microsoft.com/office/drawing/2014/chart" uri="{C3380CC4-5D6E-409C-BE32-E72D297353CC}">
              <c16:uniqueId val="{00000004-C697-44AA-A96B-8DCC64E76E94}"/>
            </c:ext>
          </c:extLst>
        </c:ser>
        <c:ser>
          <c:idx val="4"/>
          <c:order val="5"/>
          <c:tx>
            <c:strRef>
              <c:f>'Cumul_deaths - Gompertz'!$L$7</c:f>
              <c:strCache>
                <c:ptCount val="1"/>
                <c:pt idx="0">
                  <c:v>Lombardy</c:v>
                </c:pt>
              </c:strCache>
            </c:strRef>
          </c:tx>
          <c:spPr>
            <a:ln w="25400" cap="rnd">
              <a:noFill/>
              <a:round/>
            </a:ln>
            <a:effectLst/>
          </c:spPr>
          <c:marker>
            <c:symbol val="triangle"/>
            <c:size val="5"/>
            <c:spPr>
              <a:solidFill>
                <a:srgbClr val="FF0000"/>
              </a:solidFill>
              <a:ln w="9525">
                <a:noFill/>
                <a:round/>
              </a:ln>
              <a:effectLst/>
            </c:spPr>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Gompertz'!$L$8:$L$78</c:f>
              <c:numCache>
                <c:formatCode>General</c:formatCode>
                <c:ptCount val="71"/>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pt idx="33">
                  <c:v>5944</c:v>
                </c:pt>
                <c:pt idx="34">
                  <c:v>6360</c:v>
                </c:pt>
                <c:pt idx="35">
                  <c:v>6818</c:v>
                </c:pt>
                <c:pt idx="36">
                  <c:v>7199</c:v>
                </c:pt>
                <c:pt idx="37">
                  <c:v>7593</c:v>
                </c:pt>
                <c:pt idx="38">
                  <c:v>7960</c:v>
                </c:pt>
                <c:pt idx="39">
                  <c:v>8311</c:v>
                </c:pt>
                <c:pt idx="40">
                  <c:v>8656</c:v>
                </c:pt>
                <c:pt idx="41">
                  <c:v>8905</c:v>
                </c:pt>
                <c:pt idx="42">
                  <c:v>9202</c:v>
                </c:pt>
                <c:pt idx="43">
                  <c:v>9484</c:v>
                </c:pt>
                <c:pt idx="44">
                  <c:v>9722</c:v>
                </c:pt>
                <c:pt idx="45">
                  <c:v>10022</c:v>
                </c:pt>
                <c:pt idx="46">
                  <c:v>10238</c:v>
                </c:pt>
                <c:pt idx="47">
                  <c:v>10511</c:v>
                </c:pt>
                <c:pt idx="48">
                  <c:v>10621</c:v>
                </c:pt>
              </c:numCache>
            </c:numRef>
          </c:yVal>
          <c:smooth val="0"/>
          <c:extLst>
            <c:ext xmlns:c16="http://schemas.microsoft.com/office/drawing/2014/chart" uri="{C3380CC4-5D6E-409C-BE32-E72D297353CC}">
              <c16:uniqueId val="{00000005-C697-44AA-A96B-8DCC64E76E94}"/>
            </c:ext>
          </c:extLst>
        </c:ser>
        <c:ser>
          <c:idx val="8"/>
          <c:order val="9"/>
          <c:tx>
            <c:strRef>
              <c:f>'Cumul_deaths - Gompertz'!$R$7</c:f>
              <c:strCache>
                <c:ptCount val="1"/>
                <c:pt idx="0">
                  <c:v>rest of Italy </c:v>
                </c:pt>
              </c:strCache>
            </c:strRef>
          </c:tx>
          <c:spPr>
            <a:ln w="25400" cap="rnd">
              <a:noFill/>
              <a:round/>
            </a:ln>
            <a:effectLst/>
          </c:spPr>
          <c:marker>
            <c:symbol val="circle"/>
            <c:size val="5"/>
            <c:spPr>
              <a:solidFill>
                <a:srgbClr val="00B050"/>
              </a:solidFill>
              <a:ln w="9525">
                <a:noFill/>
                <a:round/>
              </a:ln>
              <a:effectLst/>
            </c:spPr>
          </c:marker>
          <c:xVal>
            <c:numRef>
              <c:f>'Cumul_deaths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'Cumul_deaths - Gompertz'!$R$8:$R$78</c:f>
              <c:numCache>
                <c:formatCode>0</c:formatCode>
                <c:ptCount val="71"/>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pt idx="33">
                  <c:v>4079</c:v>
                </c:pt>
                <c:pt idx="34">
                  <c:v>4419</c:v>
                </c:pt>
                <c:pt idx="35">
                  <c:v>4773</c:v>
                </c:pt>
                <c:pt idx="36">
                  <c:v>5229</c:v>
                </c:pt>
                <c:pt idx="37">
                  <c:v>5562</c:v>
                </c:pt>
                <c:pt idx="38">
                  <c:v>5955</c:v>
                </c:pt>
                <c:pt idx="39">
                  <c:v>6370</c:v>
                </c:pt>
                <c:pt idx="40">
                  <c:v>6706</c:v>
                </c:pt>
                <c:pt idx="41">
                  <c:v>6982</c:v>
                </c:pt>
                <c:pt idx="42">
                  <c:v>7321</c:v>
                </c:pt>
                <c:pt idx="43">
                  <c:v>7643</c:v>
                </c:pt>
                <c:pt idx="44">
                  <c:v>7947</c:v>
                </c:pt>
                <c:pt idx="45">
                  <c:v>8257</c:v>
                </c:pt>
                <c:pt idx="46">
                  <c:v>8611</c:v>
                </c:pt>
                <c:pt idx="47">
                  <c:v>8957</c:v>
                </c:pt>
                <c:pt idx="48">
                  <c:v>9278</c:v>
                </c:pt>
              </c:numCache>
            </c:numRef>
          </c:yVal>
          <c:smooth val="0"/>
          <c:extLst>
            <c:ext xmlns:c16="http://schemas.microsoft.com/office/drawing/2014/chart" uri="{C3380CC4-5D6E-409C-BE32-E72D297353CC}">
              <c16:uniqueId val="{00000006-C697-44AA-A96B-8DCC64E76E94}"/>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2"/>
                <c:order val="3"/>
                <c:tx>
                  <c:strRef>
                    <c:extLst>
                      <c:ext uri="{02D57815-91ED-43cb-92C2-25804820EDAC}">
                        <c15:formulaRef>
                          <c15:sqref>'Cumul_deaths - Gompertz'!$J$7</c15:sqref>
                        </c15:formulaRef>
                      </c:ext>
                    </c:extLst>
                    <c:strCache>
                      <c:ptCount val="1"/>
                      <c:pt idx="0">
                        <c:v>Upper CI</c:v>
                      </c:pt>
                    </c:strCache>
                  </c:strRef>
                </c:tx>
                <c:spPr>
                  <a:ln w="9525" cap="rnd">
                    <a:solidFill>
                      <a:schemeClr val="accent3"/>
                    </a:solidFill>
                    <a:round/>
                  </a:ln>
                  <a:effectLst/>
                </c:spPr>
                <c:marker>
                  <c:symbol val="none"/>
                </c:marker>
                <c:xVal>
                  <c:numRef>
                    <c:extLst>
                      <c:ext uri="{02D57815-91ED-43cb-92C2-25804820EDAC}">
                        <c15:formulaRef>
                          <c15:sqref>'Cumul_deaths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c:ext uri="{02D57815-91ED-43cb-92C2-25804820EDAC}">
                        <c15:formulaRef>
                          <c15:sqref>'Cumul_deaths - Gompertz'!$J$8:$J$78</c15:sqref>
                        </c15:formulaRef>
                      </c:ext>
                    </c:extLst>
                    <c:numCache>
                      <c:formatCode>0</c:formatCode>
                      <c:ptCount val="71"/>
                      <c:pt idx="0">
                        <c:v>212.66617636655684</c:v>
                      </c:pt>
                      <c:pt idx="1">
                        <c:v>212.75665427170384</c:v>
                      </c:pt>
                      <c:pt idx="2">
                        <c:v>212.97375436302528</c:v>
                      </c:pt>
                      <c:pt idx="3">
                        <c:v>213.45790346821795</c:v>
                      </c:pt>
                      <c:pt idx="4">
                        <c:v>214.46706300473684</c:v>
                      </c:pt>
                      <c:pt idx="5">
                        <c:v>216.44347722204648</c:v>
                      </c:pt>
                      <c:pt idx="6">
                        <c:v>220.09805550791543</c:v>
                      </c:pt>
                      <c:pt idx="7">
                        <c:v>226.50691598479767</c:v>
                      </c:pt>
                      <c:pt idx="8">
                        <c:v>237.20983313778385</c:v>
                      </c:pt>
                      <c:pt idx="9">
                        <c:v>254.29644292276919</c:v>
                      </c:pt>
                      <c:pt idx="10">
                        <c:v>280.46427155844174</c:v>
                      </c:pt>
                      <c:pt idx="11">
                        <c:v>319.03374489046081</c:v>
                      </c:pt>
                      <c:pt idx="12">
                        <c:v>373.909383578595</c:v>
                      </c:pt>
                      <c:pt idx="13">
                        <c:v>449.48274412517321</c:v>
                      </c:pt>
                      <c:pt idx="14">
                        <c:v>550.48013680957638</c:v>
                      </c:pt>
                      <c:pt idx="15">
                        <c:v>681.76534263320241</c:v>
                      </c:pt>
                      <c:pt idx="16">
                        <c:v>848.11321134629543</c:v>
                      </c:pt>
                      <c:pt idx="17">
                        <c:v>1053.9733102382729</c:v>
                      </c:pt>
                      <c:pt idx="18">
                        <c:v>1303.2433983558985</c:v>
                      </c:pt>
                      <c:pt idx="19">
                        <c:v>1599.0706203618631</c:v>
                      </c:pt>
                      <c:pt idx="20">
                        <c:v>1943.6945237515977</c:v>
                      </c:pt>
                      <c:pt idx="21">
                        <c:v>2338.3410775744292</c:v>
                      </c:pt>
                      <c:pt idx="22">
                        <c:v>2783.171609370263</c:v>
                      </c:pt>
                      <c:pt idx="23">
                        <c:v>3277.2856673478186</c:v>
                      </c:pt>
                      <c:pt idx="24">
                        <c:v>3818.7727525747323</c:v>
                      </c:pt>
                      <c:pt idx="25">
                        <c:v>4404.8049289808214</c:v>
                      </c:pt>
                      <c:pt idx="26">
                        <c:v>5031.7605839607395</c:v>
                      </c:pt>
                      <c:pt idx="27">
                        <c:v>5695.368997667154</c:v>
                      </c:pt>
                      <c:pt idx="28">
                        <c:v>6390.8656983198362</c:v>
                      </c:pt>
                      <c:pt idx="29">
                        <c:v>7113.1495950108647</c:v>
                      </c:pt>
                      <c:pt idx="30">
                        <c:v>7856.9343401347724</c:v>
                      </c:pt>
                      <c:pt idx="31">
                        <c:v>8616.8880537805999</c:v>
                      </c:pt>
                      <c:pt idx="32">
                        <c:v>9387.7572551891153</c:v>
                      </c:pt>
                      <c:pt idx="33">
                        <c:v>10164.472452386073</c:v>
                      </c:pt>
                      <c:pt idx="34">
                        <c:v>10942.234248475805</c:v>
                      </c:pt>
                      <c:pt idx="35">
                        <c:v>11716.579981962712</c:v>
                      </c:pt>
                      <c:pt idx="36">
                        <c:v>12483.431812898913</c:v>
                      </c:pt>
                      <c:pt idx="37">
                        <c:v>13239.127805630533</c:v>
                      </c:pt>
                      <c:pt idx="38">
                        <c:v>13980.437967936179</c:v>
                      </c:pt>
                      <c:pt idx="39">
                        <c:v>14704.567420203906</c:v>
                      </c:pt>
                      <c:pt idx="40">
                        <c:v>15409.148925365856</c:v>
                      </c:pt>
                      <c:pt idx="41">
                        <c:v>16092.226948488877</c:v>
                      </c:pt>
                      <c:pt idx="42">
                        <c:v>16752.235268894667</c:v>
                      </c:pt>
                      <c:pt idx="43">
                        <c:v>17387.969967421697</c:v>
                      </c:pt>
                      <c:pt idx="44">
                        <c:v>17998.559381551135</c:v>
                      </c:pt>
                      <c:pt idx="45">
                        <c:v>18583.432380843271</c:v>
                      </c:pt>
                      <c:pt idx="46">
                        <c:v>19142.286078749017</c:v>
                      </c:pt>
                      <c:pt idx="47">
                        <c:v>19675.05387432194</c:v>
                      </c:pt>
                      <c:pt idx="48">
                        <c:v>20181.874515006344</c:v>
                      </c:pt>
                    </c:numCache>
                  </c:numRef>
                </c:yVal>
                <c:smooth val="0"/>
                <c:extLst>
                  <c:ext xmlns:c16="http://schemas.microsoft.com/office/drawing/2014/chart" uri="{C3380CC4-5D6E-409C-BE32-E72D297353CC}">
                    <c16:uniqueId val="{00000007-C697-44AA-A96B-8DCC64E76E94}"/>
                  </c:ext>
                </c:extLst>
              </c15:ser>
            </c15:filteredScatterSeries>
            <c15:filteredScatterSeries>
              <c15:ser>
                <c:idx val="3"/>
                <c:order val="4"/>
                <c:tx>
                  <c:strRef>
                    <c:extLst xmlns:c15="http://schemas.microsoft.com/office/drawing/2012/chart">
                      <c:ext xmlns:c15="http://schemas.microsoft.com/office/drawing/2012/chart" uri="{02D57815-91ED-43cb-92C2-25804820EDAC}">
                        <c15:formulaRef>
                          <c15:sqref>'Cumul_deaths - Gompertz'!$K$7</c15:sqref>
                        </c15:formulaRef>
                      </c:ext>
                    </c:extLst>
                    <c:strCache>
                      <c:ptCount val="1"/>
                      <c:pt idx="0">
                        <c:v>Lower CI</c:v>
                      </c:pt>
                    </c:strCache>
                  </c:strRef>
                </c:tx>
                <c:spPr>
                  <a:ln w="9525" cap="rnd">
                    <a:solidFill>
                      <a:schemeClr val="accent4"/>
                    </a:solidFill>
                    <a:round/>
                  </a:ln>
                  <a:effectLst/>
                </c:spPr>
                <c:marker>
                  <c:symbol val="none"/>
                </c:marker>
                <c:xVal>
                  <c:numRef>
                    <c:extLst>
                      <c:ext xmlns:c15="http://schemas.microsoft.com/office/drawing/2012/chart" uri="{02D57815-91ED-43cb-92C2-25804820EDAC}">
                        <c15:formulaRef>
                          <c15:sqref>'Cumul_deaths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'Cumul_deaths - Gompertz'!$K$8:$K$78</c15:sqref>
                        </c15:formulaRef>
                      </c:ext>
                    </c:extLst>
                    <c:numCache>
                      <c:formatCode>0</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24.255667857077157</c:v>
                      </c:pt>
                      <c:pt idx="14">
                        <c:v>125.25306054148024</c:v>
                      </c:pt>
                      <c:pt idx="15">
                        <c:v>256.53826636510638</c:v>
                      </c:pt>
                      <c:pt idx="16">
                        <c:v>422.88613507819929</c:v>
                      </c:pt>
                      <c:pt idx="17">
                        <c:v>628.74623397017672</c:v>
                      </c:pt>
                      <c:pt idx="18">
                        <c:v>878.01632208780256</c:v>
                      </c:pt>
                      <c:pt idx="19">
                        <c:v>1173.8435440937672</c:v>
                      </c:pt>
                      <c:pt idx="20">
                        <c:v>1518.4674474835017</c:v>
                      </c:pt>
                      <c:pt idx="21">
                        <c:v>1913.114001306333</c:v>
                      </c:pt>
                      <c:pt idx="22">
                        <c:v>2357.9445331021666</c:v>
                      </c:pt>
                      <c:pt idx="23">
                        <c:v>2852.0585910797222</c:v>
                      </c:pt>
                      <c:pt idx="24">
                        <c:v>3393.5456763066359</c:v>
                      </c:pt>
                      <c:pt idx="25">
                        <c:v>3979.577852712725</c:v>
                      </c:pt>
                      <c:pt idx="26">
                        <c:v>4606.5335076926431</c:v>
                      </c:pt>
                      <c:pt idx="27">
                        <c:v>5270.1419213990575</c:v>
                      </c:pt>
                      <c:pt idx="28">
                        <c:v>5965.6386220517397</c:v>
                      </c:pt>
                      <c:pt idx="29">
                        <c:v>6687.9225187427683</c:v>
                      </c:pt>
                      <c:pt idx="30">
                        <c:v>7431.7072638666759</c:v>
                      </c:pt>
                      <c:pt idx="31">
                        <c:v>8191.6609775125035</c:v>
                      </c:pt>
                      <c:pt idx="32">
                        <c:v>8962.5301789210189</c:v>
                      </c:pt>
                      <c:pt idx="33">
                        <c:v>9739.2453761179768</c:v>
                      </c:pt>
                      <c:pt idx="34">
                        <c:v>10517.007172207708</c:v>
                      </c:pt>
                      <c:pt idx="35">
                        <c:v>11291.352905694615</c:v>
                      </c:pt>
                      <c:pt idx="36">
                        <c:v>12058.204736630816</c:v>
                      </c:pt>
                      <c:pt idx="37">
                        <c:v>12813.900729362436</c:v>
                      </c:pt>
                      <c:pt idx="38">
                        <c:v>13555.210891668083</c:v>
                      </c:pt>
                      <c:pt idx="39">
                        <c:v>14279.34034393581</c:v>
                      </c:pt>
                      <c:pt idx="40">
                        <c:v>14983.92184909776</c:v>
                      </c:pt>
                      <c:pt idx="41">
                        <c:v>15666.99987222078</c:v>
                      </c:pt>
                      <c:pt idx="42">
                        <c:v>16327.008192626572</c:v>
                      </c:pt>
                      <c:pt idx="43">
                        <c:v>16962.742891153604</c:v>
                      </c:pt>
                      <c:pt idx="44">
                        <c:v>17573.332305283042</c:v>
                      </c:pt>
                      <c:pt idx="45">
                        <c:v>18158.205304575178</c:v>
                      </c:pt>
                      <c:pt idx="46">
                        <c:v>18717.059002480924</c:v>
                      </c:pt>
                      <c:pt idx="47">
                        <c:v>19249.826798053848</c:v>
                      </c:pt>
                      <c:pt idx="48">
                        <c:v>19756.647438738251</c:v>
                      </c:pt>
                    </c:numCache>
                  </c:numRef>
                </c:yVal>
                <c:smooth val="0"/>
                <c:extLst xmlns:c15="http://schemas.microsoft.com/office/drawing/2012/chart">
                  <c:ext xmlns:c16="http://schemas.microsoft.com/office/drawing/2014/chart" uri="{C3380CC4-5D6E-409C-BE32-E72D297353CC}">
                    <c16:uniqueId val="{00000008-C697-44AA-A96B-8DCC64E76E94}"/>
                  </c:ext>
                </c:extLst>
              </c15:ser>
            </c15:filteredScatterSeries>
          </c:ext>
        </c:extLst>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Days from</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it-IT"/>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it-IT"/>
                  <a:t>Cumulative</a:t>
                </a:r>
                <a:r>
                  <a:rPr lang="it-IT" baseline="0"/>
                  <a:t> deaths</a:t>
                </a:r>
                <a:endParaRPr lang="it-IT"/>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it-IT"/>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'Cumul_deaths - Gompertz'!$Y$47</c:f>
              <c:strCache>
                <c:ptCount val="1"/>
                <c:pt idx="0">
                  <c:v>R2</c:v>
                </c:pt>
              </c:strCache>
            </c:strRef>
          </c:tx>
          <c:spPr>
            <a:solidFill>
              <a:schemeClr val="accent1"/>
            </a:solidFill>
            <a:ln>
              <a:noFill/>
            </a:ln>
            <a:effectLst/>
          </c:spPr>
          <c:invertIfNegative val="0"/>
          <c:cat>
            <c:strLit>
              <c:ptCount val="1"/>
              <c:pt idx="0">
                <c:v>Italy fit</c:v>
              </c:pt>
            </c:strLit>
          </c:cat>
          <c:val>
            <c:numRef>
              <c:f>'Cumul_deaths - Gompertz'!$Z$47</c:f>
              <c:numCache>
                <c:formatCode>00,000</c:formatCode>
                <c:ptCount val="1"/>
                <c:pt idx="0">
                  <c:v>0.99983392682714722</c:v>
                </c:pt>
              </c:numCache>
            </c:numRef>
          </c:val>
          <c:extLst>
            <c:ext xmlns:c16="http://schemas.microsoft.com/office/drawing/2014/chart" uri="{C3380CC4-5D6E-409C-BE32-E72D297353CC}">
              <c16:uniqueId val="{00000000-9BDC-4955-90C7-28A2A72B4F8F}"/>
            </c:ext>
          </c:extLst>
        </c:ser>
        <c:ser>
          <c:idx val="1"/>
          <c:order val="1"/>
          <c:tx>
            <c:strRef>
              <c:f>'Cumul_deaths - Gompertz'!$Y$49</c:f>
              <c:strCache>
                <c:ptCount val="1"/>
                <c:pt idx="0">
                  <c:v>CI</c:v>
                </c:pt>
              </c:strCache>
            </c:strRef>
          </c:tx>
          <c:spPr>
            <a:solidFill>
              <a:schemeClr val="accent2"/>
            </a:solidFill>
            <a:ln>
              <a:noFill/>
            </a:ln>
            <a:effectLst/>
          </c:spPr>
          <c:invertIfNegative val="0"/>
          <c:cat>
            <c:strLit>
              <c:ptCount val="1"/>
              <c:pt idx="0">
                <c:v>Italy fit</c:v>
              </c:pt>
            </c:strLit>
          </c:cat>
          <c:val>
            <c:numRef>
              <c:f>'Cumul_deaths - Gompertz'!$Z$49</c:f>
              <c:numCache>
                <c:formatCode>0</c:formatCode>
                <c:ptCount val="1"/>
                <c:pt idx="0">
                  <c:v>215.87588746943919</c:v>
                </c:pt>
              </c:numCache>
            </c:numRef>
          </c:val>
          <c:extLst>
            <c:ext xmlns:c16="http://schemas.microsoft.com/office/drawing/2014/chart" uri="{C3380CC4-5D6E-409C-BE32-E72D297353CC}">
              <c16:uniqueId val="{00000001-9BDC-4955-90C7-28A2A72B4F8F}"/>
            </c:ext>
          </c:extLst>
        </c:ser>
        <c:ser>
          <c:idx val="2"/>
          <c:order val="2"/>
          <c:tx>
            <c:strRef>
              <c:f>'Cumul_deaths - Gompertz'!$Y$41</c:f>
              <c:strCache>
                <c:ptCount val="1"/>
                <c:pt idx="0">
                  <c:v>K=</c:v>
                </c:pt>
              </c:strCache>
            </c:strRef>
          </c:tx>
          <c:spPr>
            <a:solidFill>
              <a:schemeClr val="accent3"/>
            </a:solidFill>
            <a:ln>
              <a:noFill/>
            </a:ln>
            <a:effectLst/>
          </c:spPr>
          <c:invertIfNegative val="0"/>
          <c:cat>
            <c:strLit>
              <c:ptCount val="1"/>
              <c:pt idx="0">
                <c:v>Italy fit</c:v>
              </c:pt>
            </c:strLit>
          </c:cat>
          <c:val>
            <c:numRef>
              <c:f>'Cumul_deaths - Gompertz'!$Z$41</c:f>
              <c:numCache>
                <c:formatCode>0</c:formatCode>
                <c:ptCount val="1"/>
                <c:pt idx="0">
                  <c:v>27406.82370710903</c:v>
                </c:pt>
              </c:numCache>
            </c:numRef>
          </c:val>
          <c:extLst>
            <c:ext xmlns:c16="http://schemas.microsoft.com/office/drawing/2014/chart" uri="{C3380CC4-5D6E-409C-BE32-E72D297353CC}">
              <c16:uniqueId val="{00000002-9BDC-4955-90C7-28A2A72B4F8F}"/>
            </c:ext>
          </c:extLst>
        </c:ser>
        <c:dLbls>
          <c:showLegendKey val="0"/>
          <c:showVal val="0"/>
          <c:showCatName val="0"/>
          <c:showSerName val="0"/>
          <c:showPercent val="0"/>
          <c:showBubbleSize val="0"/>
        </c:dLbls>
        <c:gapWidth val="6"/>
        <c:overlap val="100"/>
        <c:axId val="1221258896"/>
        <c:axId val="1221258256"/>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0070C0"/>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1"/>
          <c:order val="0"/>
          <c:tx>
            <c:strRef>
              <c:f>'Cumul_deaths - Gompertz'!$Y$14</c:f>
              <c:strCache>
                <c:ptCount val="1"/>
                <c:pt idx="0">
                  <c:v>R2</c:v>
                </c:pt>
              </c:strCache>
            </c:strRef>
          </c:tx>
          <c:spPr>
            <a:solidFill>
              <a:schemeClr val="accent2"/>
            </a:solidFill>
            <a:ln>
              <a:noFill/>
            </a:ln>
            <a:effectLst/>
          </c:spPr>
          <c:invertIfNegative val="0"/>
          <c:cat>
            <c:strLit>
              <c:ptCount val="1"/>
              <c:pt idx="0">
                <c:v>Italy sum</c:v>
              </c:pt>
            </c:strLit>
          </c:cat>
          <c:val>
            <c:numRef>
              <c:f>'Cumul_deaths - Gompertz'!$Z$14</c:f>
              <c:numCache>
                <c:formatCode>00,000</c:formatCode>
                <c:ptCount val="1"/>
                <c:pt idx="0">
                  <c:v>0.99982783484877713</c:v>
                </c:pt>
              </c:numCache>
            </c:numRef>
          </c:val>
          <c:extLst>
            <c:ext xmlns:c16="http://schemas.microsoft.com/office/drawing/2014/chart" uri="{C3380CC4-5D6E-409C-BE32-E72D297353CC}">
              <c16:uniqueId val="{00000000-31D7-44A2-93CB-C7C5AE6406C5}"/>
            </c:ext>
          </c:extLst>
        </c:ser>
        <c:ser>
          <c:idx val="2"/>
          <c:order val="1"/>
          <c:tx>
            <c:strRef>
              <c:f>'Cumul_deaths - Gompertz'!$Y$16</c:f>
              <c:strCache>
                <c:ptCount val="1"/>
                <c:pt idx="0">
                  <c:v>CI</c:v>
                </c:pt>
              </c:strCache>
            </c:strRef>
          </c:tx>
          <c:spPr>
            <a:solidFill>
              <a:schemeClr val="accent3"/>
            </a:solidFill>
            <a:ln>
              <a:noFill/>
            </a:ln>
            <a:effectLst/>
          </c:spPr>
          <c:invertIfNegative val="0"/>
          <c:cat>
            <c:strLit>
              <c:ptCount val="1"/>
              <c:pt idx="0">
                <c:v>Italy sum</c:v>
              </c:pt>
            </c:strLit>
          </c:cat>
          <c:val>
            <c:numRef>
              <c:f>'Cumul_deaths - Gompertz'!$Z$16</c:f>
              <c:numCache>
                <c:formatCode>0</c:formatCode>
                <c:ptCount val="1"/>
                <c:pt idx="0">
                  <c:v>212.61353813404804</c:v>
                </c:pt>
              </c:numCache>
            </c:numRef>
          </c:val>
          <c:extLst>
            <c:ext xmlns:c16="http://schemas.microsoft.com/office/drawing/2014/chart" uri="{C3380CC4-5D6E-409C-BE32-E72D297353CC}">
              <c16:uniqueId val="{00000001-31D7-44A2-93CB-C7C5AE6406C5}"/>
            </c:ext>
          </c:extLst>
        </c:ser>
        <c:ser>
          <c:idx val="3"/>
          <c:order val="2"/>
          <c:tx>
            <c:strRef>
              <c:f>'Cumul_deaths - Gompertz'!$Y$17</c:f>
              <c:strCache>
                <c:ptCount val="1"/>
                <c:pt idx="0">
                  <c:v>Saturation value</c:v>
                </c:pt>
              </c:strCache>
            </c:strRef>
          </c:tx>
          <c:spPr>
            <a:solidFill>
              <a:schemeClr val="accent4"/>
            </a:solidFill>
            <a:ln>
              <a:noFill/>
            </a:ln>
            <a:effectLst/>
          </c:spPr>
          <c:invertIfNegative val="0"/>
          <c:cat>
            <c:strLit>
              <c:ptCount val="1"/>
              <c:pt idx="0">
                <c:v>Italy sum</c:v>
              </c:pt>
            </c:strLit>
          </c:cat>
          <c:val>
            <c:numRef>
              <c:f>'Cumul_deaths - Gompertz'!$Z$17</c:f>
              <c:numCache>
                <c:formatCode>0</c:formatCode>
                <c:ptCount val="1"/>
                <c:pt idx="0">
                  <c:v>27575.40683985097</c:v>
                </c:pt>
              </c:numCache>
            </c:numRef>
          </c:val>
          <c:extLst>
            <c:ext xmlns:c16="http://schemas.microsoft.com/office/drawing/2014/chart" uri="{C3380CC4-5D6E-409C-BE32-E72D297353CC}">
              <c16:uniqueId val="{00000002-31D7-44A2-93CB-C7C5AE6406C5}"/>
            </c:ext>
          </c:extLst>
        </c:ser>
        <c:dLbls>
          <c:showLegendKey val="0"/>
          <c:showVal val="0"/>
          <c:showCatName val="0"/>
          <c:showSerName val="0"/>
          <c:showPercent val="0"/>
          <c:showBubbleSize val="0"/>
        </c:dLbls>
        <c:gapWidth val="6"/>
        <c:overlap val="100"/>
        <c:axId val="1221258896"/>
        <c:axId val="1221258256"/>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chemeClr val="tx2"/>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1"/>
          <c:order val="0"/>
          <c:tx>
            <c:v>region</c:v>
          </c:tx>
          <c:spPr>
            <a:solidFill>
              <a:schemeClr val="accent2"/>
            </a:solidFill>
            <a:ln>
              <a:noFill/>
            </a:ln>
            <a:effectLst/>
          </c:spPr>
          <c:invertIfNegative val="0"/>
          <c:cat>
            <c:strLit>
              <c:ptCount val="1"/>
              <c:pt idx="0">
                <c:v>Lombardy fit</c:v>
              </c:pt>
            </c:strLit>
          </c:cat>
          <c:val>
            <c:numLit>
              <c:formatCode>General</c:formatCode>
              <c:ptCount val="1"/>
              <c:pt idx="0">
                <c:v>0</c:v>
              </c:pt>
            </c:numLit>
          </c:val>
          <c:extLst xmlns:c15="http://schemas.microsoft.com/office/drawing/2012/chart">
            <c:ext xmlns:c16="http://schemas.microsoft.com/office/drawing/2014/chart" uri="{C3380CC4-5D6E-409C-BE32-E72D297353CC}">
              <c16:uniqueId val="{00000003-3EB0-44ED-B123-0E8474071D67}"/>
            </c:ext>
          </c:extLst>
        </c:ser>
        <c:ser>
          <c:idx val="2"/>
          <c:order val="1"/>
          <c:tx>
            <c:strRef>
              <c:f>'Cumul_deaths - Gompertz'!$Y$25</c:f>
              <c:strCache>
                <c:ptCount val="1"/>
                <c:pt idx="0">
                  <c:v>R2</c:v>
                </c:pt>
              </c:strCache>
            </c:strRef>
          </c:tx>
          <c:spPr>
            <a:solidFill>
              <a:schemeClr val="accent3"/>
            </a:solidFill>
            <a:ln>
              <a:noFill/>
            </a:ln>
            <a:effectLst/>
          </c:spPr>
          <c:invertIfNegative val="0"/>
          <c:cat>
            <c:strLit>
              <c:ptCount val="1"/>
              <c:pt idx="0">
                <c:v>Lombardy fit</c:v>
              </c:pt>
            </c:strLit>
          </c:cat>
          <c:val>
            <c:numRef>
              <c:f>'Cumul_deaths - Gompertz'!$Z$25</c:f>
              <c:numCache>
                <c:formatCode>00,000</c:formatCode>
                <c:ptCount val="1"/>
                <c:pt idx="0">
                  <c:v>0.99963163082377915</c:v>
                </c:pt>
              </c:numCache>
            </c:numRef>
          </c:val>
          <c:extLst>
            <c:ext xmlns:c16="http://schemas.microsoft.com/office/drawing/2014/chart" uri="{C3380CC4-5D6E-409C-BE32-E72D297353CC}">
              <c16:uniqueId val="{00000000-3EB0-44ED-B123-0E8474071D67}"/>
            </c:ext>
          </c:extLst>
        </c:ser>
        <c:ser>
          <c:idx val="3"/>
          <c:order val="2"/>
          <c:tx>
            <c:strRef>
              <c:f>'Cumul_deaths - Gompertz'!$Y$27</c:f>
              <c:strCache>
                <c:ptCount val="1"/>
                <c:pt idx="0">
                  <c:v>CI</c:v>
                </c:pt>
              </c:strCache>
            </c:strRef>
          </c:tx>
          <c:spPr>
            <a:solidFill>
              <a:schemeClr val="accent4"/>
            </a:solidFill>
            <a:ln>
              <a:noFill/>
            </a:ln>
            <a:effectLst/>
          </c:spPr>
          <c:invertIfNegative val="0"/>
          <c:cat>
            <c:strLit>
              <c:ptCount val="1"/>
              <c:pt idx="0">
                <c:v>Lombardy fit</c:v>
              </c:pt>
            </c:strLit>
          </c:cat>
          <c:val>
            <c:numRef>
              <c:f>'Cumul_deaths - Gompertz'!$Z$27</c:f>
              <c:numCache>
                <c:formatCode>0</c:formatCode>
                <c:ptCount val="1"/>
                <c:pt idx="0">
                  <c:v>179.33621720727069</c:v>
                </c:pt>
              </c:numCache>
            </c:numRef>
          </c:val>
          <c:extLst>
            <c:ext xmlns:c16="http://schemas.microsoft.com/office/drawing/2014/chart" uri="{C3380CC4-5D6E-409C-BE32-E72D297353CC}">
              <c16:uniqueId val="{00000001-3EB0-44ED-B123-0E8474071D67}"/>
            </c:ext>
          </c:extLst>
        </c:ser>
        <c:ser>
          <c:idx val="4"/>
          <c:order val="3"/>
          <c:tx>
            <c:strRef>
              <c:f>'Cumul_deaths - Gompertz'!$Y$19</c:f>
              <c:strCache>
                <c:ptCount val="1"/>
                <c:pt idx="0">
                  <c:v>K=</c:v>
                </c:pt>
              </c:strCache>
            </c:strRef>
          </c:tx>
          <c:spPr>
            <a:solidFill>
              <a:schemeClr val="accent5"/>
            </a:solidFill>
            <a:ln>
              <a:noFill/>
            </a:ln>
            <a:effectLst/>
          </c:spPr>
          <c:invertIfNegative val="0"/>
          <c:cat>
            <c:strLit>
              <c:ptCount val="1"/>
              <c:pt idx="0">
                <c:v>Lombardy fit</c:v>
              </c:pt>
            </c:strLit>
          </c:cat>
          <c:val>
            <c:numRef>
              <c:f>'Cumul_deaths - Gompertz'!$Z$19</c:f>
              <c:numCache>
                <c:formatCode>0</c:formatCode>
                <c:ptCount val="1"/>
                <c:pt idx="0">
                  <c:v>13805.081935152721</c:v>
                </c:pt>
              </c:numCache>
            </c:numRef>
          </c:val>
          <c:extLst>
            <c:ext xmlns:c16="http://schemas.microsoft.com/office/drawing/2014/chart" uri="{C3380CC4-5D6E-409C-BE32-E72D297353CC}">
              <c16:uniqueId val="{00000002-3EB0-44ED-B123-0E8474071D67}"/>
            </c:ext>
          </c:extLst>
        </c:ser>
        <c:dLbls>
          <c:showLegendKey val="0"/>
          <c:showVal val="0"/>
          <c:showCatName val="0"/>
          <c:showSerName val="0"/>
          <c:showPercent val="0"/>
          <c:showBubbleSize val="0"/>
        </c:dLbls>
        <c:gapWidth val="6"/>
        <c:overlap val="100"/>
        <c:axId val="1221258896"/>
        <c:axId val="1221258256"/>
        <c:extLst/>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FF0000"/>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2"/>
          <c:order val="1"/>
          <c:tx>
            <c:strRef>
              <c:f>'Cumul_deaths - Gompertz'!$Y$36</c:f>
              <c:strCache>
                <c:ptCount val="1"/>
                <c:pt idx="0">
                  <c:v>R2</c:v>
                </c:pt>
              </c:strCache>
            </c:strRef>
          </c:tx>
          <c:spPr>
            <a:solidFill>
              <a:schemeClr val="accent3"/>
            </a:solidFill>
            <a:ln>
              <a:noFill/>
            </a:ln>
            <a:effectLst/>
          </c:spPr>
          <c:invertIfNegative val="0"/>
          <c:cat>
            <c:strLit>
              <c:ptCount val="1"/>
              <c:pt idx="0">
                <c:v>rest of Italy</c:v>
              </c:pt>
            </c:strLit>
          </c:cat>
          <c:val>
            <c:numRef>
              <c:f>'Cumul_deaths - Gompertz'!$Z$36</c:f>
              <c:numCache>
                <c:formatCode>0.0000</c:formatCode>
                <c:ptCount val="1"/>
                <c:pt idx="0">
                  <c:v>0.99990147991998624</c:v>
                </c:pt>
              </c:numCache>
            </c:numRef>
          </c:val>
          <c:extLst>
            <c:ext xmlns:c16="http://schemas.microsoft.com/office/drawing/2014/chart" uri="{C3380CC4-5D6E-409C-BE32-E72D297353CC}">
              <c16:uniqueId val="{00000000-447B-4E01-9349-76E014C47FA1}"/>
            </c:ext>
          </c:extLst>
        </c:ser>
        <c:ser>
          <c:idx val="3"/>
          <c:order val="2"/>
          <c:tx>
            <c:strRef>
              <c:f>'Cumul_deaths - Gompertz'!$Y$38</c:f>
              <c:strCache>
                <c:ptCount val="1"/>
                <c:pt idx="0">
                  <c:v>CI</c:v>
                </c:pt>
              </c:strCache>
            </c:strRef>
          </c:tx>
          <c:spPr>
            <a:solidFill>
              <a:schemeClr val="accent4"/>
            </a:solidFill>
            <a:ln>
              <a:noFill/>
            </a:ln>
            <a:effectLst/>
          </c:spPr>
          <c:invertIfNegative val="0"/>
          <c:cat>
            <c:strLit>
              <c:ptCount val="1"/>
              <c:pt idx="0">
                <c:v>rest of Italy</c:v>
              </c:pt>
            </c:strLit>
          </c:cat>
          <c:val>
            <c:numRef>
              <c:f>'Cumul_deaths - Gompertz'!$Z$38</c:f>
              <c:numCache>
                <c:formatCode>0</c:formatCode>
                <c:ptCount val="1"/>
                <c:pt idx="0">
                  <c:v>73.750803820488755</c:v>
                </c:pt>
              </c:numCache>
            </c:numRef>
          </c:val>
          <c:extLst>
            <c:ext xmlns:c16="http://schemas.microsoft.com/office/drawing/2014/chart" uri="{C3380CC4-5D6E-409C-BE32-E72D297353CC}">
              <c16:uniqueId val="{00000001-447B-4E01-9349-76E014C47FA1}"/>
            </c:ext>
          </c:extLst>
        </c:ser>
        <c:ser>
          <c:idx val="4"/>
          <c:order val="3"/>
          <c:tx>
            <c:strRef>
              <c:f>'Cumul_deaths - Gompertz'!$Y$30</c:f>
              <c:strCache>
                <c:ptCount val="1"/>
                <c:pt idx="0">
                  <c:v>K=</c:v>
                </c:pt>
              </c:strCache>
            </c:strRef>
          </c:tx>
          <c:spPr>
            <a:solidFill>
              <a:schemeClr val="accent5"/>
            </a:solidFill>
            <a:ln>
              <a:noFill/>
            </a:ln>
            <a:effectLst/>
          </c:spPr>
          <c:invertIfNegative val="0"/>
          <c:cat>
            <c:strLit>
              <c:ptCount val="1"/>
              <c:pt idx="0">
                <c:v>rest of Italy</c:v>
              </c:pt>
            </c:strLit>
          </c:cat>
          <c:val>
            <c:numRef>
              <c:f>'Cumul_deaths - Gompertz'!$Z$30</c:f>
              <c:numCache>
                <c:formatCode>0</c:formatCode>
                <c:ptCount val="1"/>
                <c:pt idx="0">
                  <c:v>13770.324904698249</c:v>
                </c:pt>
              </c:numCache>
            </c:numRef>
          </c:val>
          <c:extLst>
            <c:ext xmlns:c16="http://schemas.microsoft.com/office/drawing/2014/chart" uri="{C3380CC4-5D6E-409C-BE32-E72D297353CC}">
              <c16:uniqueId val="{00000002-447B-4E01-9349-76E014C47FA1}"/>
            </c:ext>
          </c:extLst>
        </c:ser>
        <c:dLbls>
          <c:showLegendKey val="0"/>
          <c:showVal val="0"/>
          <c:showCatName val="0"/>
          <c:showSerName val="0"/>
          <c:showPercent val="0"/>
          <c:showBubbleSize val="0"/>
        </c:dLbls>
        <c:gapWidth val="6"/>
        <c:overlap val="100"/>
        <c:axId val="1221258896"/>
        <c:axId val="1221258256"/>
        <c:extLst>
          <c:ext xmlns:c15="http://schemas.microsoft.com/office/drawing/2012/chart" uri="{02D57815-91ED-43cb-92C2-25804820EDAC}">
            <c15:filteredBarSeries>
              <c15:ser>
                <c:idx val="1"/>
                <c:order val="0"/>
                <c:tx>
                  <c:v>outside</c:v>
                </c:tx>
                <c:spPr>
                  <a:solidFill>
                    <a:schemeClr val="accent2"/>
                  </a:solidFill>
                  <a:ln>
                    <a:noFill/>
                  </a:ln>
                  <a:effectLst/>
                </c:spPr>
                <c:invertIfNegative val="0"/>
                <c:cat>
                  <c:strLit>
                    <c:ptCount val="1"/>
                    <c:pt idx="0">
                      <c:v>rest of Italy</c:v>
                    </c:pt>
                  </c:strLit>
                </c:cat>
                <c:val>
                  <c:numLit>
                    <c:formatCode>General</c:formatCode>
                    <c:ptCount val="1"/>
                    <c:pt idx="0">
                      <c:v>0</c:v>
                    </c:pt>
                  </c:numLit>
                </c:val>
                <c:extLst>
                  <c:ext xmlns:c16="http://schemas.microsoft.com/office/drawing/2014/chart" uri="{C3380CC4-5D6E-409C-BE32-E72D297353CC}">
                    <c16:uniqueId val="{00000003-447B-4E01-9349-76E014C47FA1}"/>
                  </c:ext>
                </c:extLst>
              </c15:ser>
            </c15:filteredBarSeries>
          </c:ext>
        </c:extLst>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00B050"/>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Italy Confirmed Cases </a:t>
            </a:r>
          </a:p>
          <a:p>
            <a:pPr>
              <a:defRPr/>
            </a:pPr>
            <a:r>
              <a:rPr lang="it-IT" sz="1800" b="1" i="0" baseline="0">
                <a:effectLst/>
              </a:rPr>
              <a:t>Daily New Deaths - Gompertz model</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'New_deaths - Gompertz'!$E$7</c:f>
              <c:strCache>
                <c:ptCount val="1"/>
                <c:pt idx="0">
                  <c:v>Italy</c:v>
                </c:pt>
              </c:strCache>
            </c:strRef>
          </c:tx>
          <c:spPr>
            <a:ln w="25400" cap="rnd">
              <a:noFill/>
              <a:round/>
            </a:ln>
            <a:effectLst/>
          </c:spPr>
          <c:marker>
            <c:symbol val="square"/>
            <c:size val="5"/>
            <c:spPr>
              <a:solidFill>
                <a:srgbClr val="0070C0"/>
              </a:solidFill>
              <a:ln w="9525">
                <a:solidFill>
                  <a:srgbClr val="0070C0"/>
                </a:solidFill>
                <a:round/>
              </a:ln>
              <a:effectLst/>
            </c:spPr>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Gompertz'!$E$8:$E$78</c:f>
              <c:numCache>
                <c:formatCode>0</c:formatCode>
                <c:ptCount val="71"/>
                <c:pt idx="1">
                  <c:v>3</c:v>
                </c:pt>
                <c:pt idx="2">
                  <c:v>2</c:v>
                </c:pt>
                <c:pt idx="3">
                  <c:v>5</c:v>
                </c:pt>
                <c:pt idx="4">
                  <c:v>4</c:v>
                </c:pt>
                <c:pt idx="5">
                  <c:v>8</c:v>
                </c:pt>
                <c:pt idx="6">
                  <c:v>5</c:v>
                </c:pt>
                <c:pt idx="7">
                  <c:v>18</c:v>
                </c:pt>
                <c:pt idx="8">
                  <c:v>27</c:v>
                </c:pt>
                <c:pt idx="9">
                  <c:v>28</c:v>
                </c:pt>
                <c:pt idx="10">
                  <c:v>41</c:v>
                </c:pt>
                <c:pt idx="11">
                  <c:v>49</c:v>
                </c:pt>
                <c:pt idx="12">
                  <c:v>36</c:v>
                </c:pt>
                <c:pt idx="13">
                  <c:v>133</c:v>
                </c:pt>
                <c:pt idx="14">
                  <c:v>97</c:v>
                </c:pt>
                <c:pt idx="15">
                  <c:v>168</c:v>
                </c:pt>
                <c:pt idx="16">
                  <c:v>196</c:v>
                </c:pt>
                <c:pt idx="17">
                  <c:v>189</c:v>
                </c:pt>
                <c:pt idx="18">
                  <c:v>250</c:v>
                </c:pt>
                <c:pt idx="19">
                  <c:v>175</c:v>
                </c:pt>
                <c:pt idx="20">
                  <c:v>368</c:v>
                </c:pt>
                <c:pt idx="21">
                  <c:v>349</c:v>
                </c:pt>
                <c:pt idx="22">
                  <c:v>345</c:v>
                </c:pt>
                <c:pt idx="23">
                  <c:v>475</c:v>
                </c:pt>
                <c:pt idx="24">
                  <c:v>427</c:v>
                </c:pt>
                <c:pt idx="25">
                  <c:v>627</c:v>
                </c:pt>
                <c:pt idx="26">
                  <c:v>793</c:v>
                </c:pt>
                <c:pt idx="27">
                  <c:v>651</c:v>
                </c:pt>
                <c:pt idx="28">
                  <c:v>601</c:v>
                </c:pt>
                <c:pt idx="29">
                  <c:v>743</c:v>
                </c:pt>
                <c:pt idx="30">
                  <c:v>683</c:v>
                </c:pt>
                <c:pt idx="31">
                  <c:v>662</c:v>
                </c:pt>
                <c:pt idx="32">
                  <c:v>969</c:v>
                </c:pt>
                <c:pt idx="33">
                  <c:v>889</c:v>
                </c:pt>
                <c:pt idx="34">
                  <c:v>756</c:v>
                </c:pt>
                <c:pt idx="35">
                  <c:v>812</c:v>
                </c:pt>
                <c:pt idx="36">
                  <c:v>837</c:v>
                </c:pt>
                <c:pt idx="37">
                  <c:v>727</c:v>
                </c:pt>
                <c:pt idx="38">
                  <c:v>760</c:v>
                </c:pt>
                <c:pt idx="39">
                  <c:v>766</c:v>
                </c:pt>
                <c:pt idx="40">
                  <c:v>681</c:v>
                </c:pt>
                <c:pt idx="41">
                  <c:v>525</c:v>
                </c:pt>
                <c:pt idx="42">
                  <c:v>636</c:v>
                </c:pt>
                <c:pt idx="43">
                  <c:v>604</c:v>
                </c:pt>
                <c:pt idx="44">
                  <c:v>542</c:v>
                </c:pt>
                <c:pt idx="45">
                  <c:v>610</c:v>
                </c:pt>
                <c:pt idx="46">
                  <c:v>570</c:v>
                </c:pt>
                <c:pt idx="47">
                  <c:v>619</c:v>
                </c:pt>
                <c:pt idx="48">
                  <c:v>431</c:v>
                </c:pt>
              </c:numCache>
            </c:numRef>
          </c:yVal>
          <c:smooth val="0"/>
          <c:extLst xmlns:c15="http://schemas.microsoft.com/office/drawing/2012/chart">
            <c:ext xmlns:c16="http://schemas.microsoft.com/office/drawing/2014/chart" uri="{C3380CC4-5D6E-409C-BE32-E72D297353CC}">
              <c16:uniqueId val="{00000007-99E1-44DE-9DAF-9529BD98EE71}"/>
            </c:ext>
          </c:extLst>
        </c:ser>
        <c:ser>
          <c:idx val="5"/>
          <c:order val="5"/>
          <c:tx>
            <c:strRef>
              <c:f>'New_deaths - Gompertz'!$O$7</c:f>
              <c:strCache>
                <c:ptCount val="1"/>
                <c:pt idx="0">
                  <c:v>Lombardy</c:v>
                </c:pt>
              </c:strCache>
            </c:strRef>
          </c:tx>
          <c:spPr>
            <a:ln w="25400" cap="rnd">
              <a:noFill/>
              <a:round/>
            </a:ln>
            <a:effectLst/>
          </c:spPr>
          <c:marker>
            <c:symbol val="triangle"/>
            <c:size val="5"/>
            <c:spPr>
              <a:solidFill>
                <a:srgbClr val="FF0000"/>
              </a:solidFill>
              <a:ln w="9525">
                <a:noFill/>
                <a:round/>
              </a:ln>
              <a:effectLst/>
            </c:spPr>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Gompertz'!$O$8:$O$78</c:f>
              <c:numCache>
                <c:formatCode>0</c:formatCode>
                <c:ptCount val="71"/>
                <c:pt idx="1">
                  <c:v>3</c:v>
                </c:pt>
                <c:pt idx="2">
                  <c:v>0</c:v>
                </c:pt>
                <c:pt idx="3">
                  <c:v>5</c:v>
                </c:pt>
                <c:pt idx="4">
                  <c:v>3</c:v>
                </c:pt>
                <c:pt idx="5">
                  <c:v>6</c:v>
                </c:pt>
                <c:pt idx="6">
                  <c:v>1</c:v>
                </c:pt>
                <c:pt idx="7">
                  <c:v>14</c:v>
                </c:pt>
                <c:pt idx="8">
                  <c:v>17</c:v>
                </c:pt>
                <c:pt idx="9">
                  <c:v>18</c:v>
                </c:pt>
                <c:pt idx="10">
                  <c:v>25</c:v>
                </c:pt>
                <c:pt idx="11">
                  <c:v>37</c:v>
                </c:pt>
                <c:pt idx="12">
                  <c:v>19</c:v>
                </c:pt>
                <c:pt idx="13">
                  <c:v>113</c:v>
                </c:pt>
                <c:pt idx="14">
                  <c:v>66</c:v>
                </c:pt>
                <c:pt idx="15">
                  <c:v>135</c:v>
                </c:pt>
                <c:pt idx="16">
                  <c:v>149</c:v>
                </c:pt>
                <c:pt idx="17">
                  <c:v>127</c:v>
                </c:pt>
                <c:pt idx="18">
                  <c:v>146</c:v>
                </c:pt>
                <c:pt idx="19">
                  <c:v>76</c:v>
                </c:pt>
                <c:pt idx="20">
                  <c:v>252</c:v>
                </c:pt>
                <c:pt idx="21">
                  <c:v>202</c:v>
                </c:pt>
                <c:pt idx="22">
                  <c:v>220</c:v>
                </c:pt>
                <c:pt idx="23">
                  <c:v>319</c:v>
                </c:pt>
                <c:pt idx="24">
                  <c:v>209</c:v>
                </c:pt>
                <c:pt idx="25">
                  <c:v>381</c:v>
                </c:pt>
                <c:pt idx="26">
                  <c:v>546</c:v>
                </c:pt>
                <c:pt idx="27">
                  <c:v>361</c:v>
                </c:pt>
                <c:pt idx="28">
                  <c:v>320</c:v>
                </c:pt>
                <c:pt idx="29">
                  <c:v>402</c:v>
                </c:pt>
                <c:pt idx="30">
                  <c:v>296</c:v>
                </c:pt>
                <c:pt idx="31">
                  <c:v>387</c:v>
                </c:pt>
                <c:pt idx="32">
                  <c:v>541</c:v>
                </c:pt>
                <c:pt idx="33">
                  <c:v>542</c:v>
                </c:pt>
                <c:pt idx="34">
                  <c:v>416</c:v>
                </c:pt>
                <c:pt idx="35">
                  <c:v>458</c:v>
                </c:pt>
                <c:pt idx="36">
                  <c:v>381</c:v>
                </c:pt>
                <c:pt idx="37">
                  <c:v>394</c:v>
                </c:pt>
                <c:pt idx="38">
                  <c:v>367</c:v>
                </c:pt>
                <c:pt idx="39">
                  <c:v>351</c:v>
                </c:pt>
                <c:pt idx="40">
                  <c:v>345</c:v>
                </c:pt>
                <c:pt idx="41">
                  <c:v>249</c:v>
                </c:pt>
                <c:pt idx="42">
                  <c:v>297</c:v>
                </c:pt>
                <c:pt idx="43">
                  <c:v>282</c:v>
                </c:pt>
                <c:pt idx="44">
                  <c:v>238</c:v>
                </c:pt>
                <c:pt idx="45">
                  <c:v>300</c:v>
                </c:pt>
                <c:pt idx="46">
                  <c:v>216</c:v>
                </c:pt>
                <c:pt idx="47">
                  <c:v>273</c:v>
                </c:pt>
                <c:pt idx="48">
                  <c:v>110</c:v>
                </c:pt>
              </c:numCache>
            </c:numRef>
          </c:yVal>
          <c:smooth val="0"/>
          <c:extLst>
            <c:ext xmlns:c16="http://schemas.microsoft.com/office/drawing/2014/chart" uri="{C3380CC4-5D6E-409C-BE32-E72D297353CC}">
              <c16:uniqueId val="{00000001-99E1-44DE-9DAF-9529BD98EE71}"/>
            </c:ext>
          </c:extLst>
        </c:ser>
        <c:ser>
          <c:idx val="9"/>
          <c:order val="9"/>
          <c:tx>
            <c:strRef>
              <c:f>'New_deaths - Gompertz'!$W$7</c:f>
              <c:strCache>
                <c:ptCount val="1"/>
                <c:pt idx="0">
                  <c:v>rest of Italy</c:v>
                </c:pt>
              </c:strCache>
            </c:strRef>
          </c:tx>
          <c:spPr>
            <a:ln w="25400" cap="rnd">
              <a:noFill/>
              <a:round/>
            </a:ln>
            <a:effectLst/>
          </c:spPr>
          <c:marker>
            <c:symbol val="circle"/>
            <c:size val="5"/>
            <c:spPr>
              <a:solidFill>
                <a:srgbClr val="00B050"/>
              </a:solidFill>
              <a:ln w="9525">
                <a:noFill/>
                <a:round/>
              </a:ln>
              <a:effectLst/>
            </c:spPr>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Gompertz'!$W$8:$W$78</c:f>
              <c:numCache>
                <c:formatCode>0</c:formatCode>
                <c:ptCount val="71"/>
                <c:pt idx="1">
                  <c:v>0</c:v>
                </c:pt>
                <c:pt idx="2">
                  <c:v>2</c:v>
                </c:pt>
                <c:pt idx="3">
                  <c:v>0</c:v>
                </c:pt>
                <c:pt idx="4">
                  <c:v>1</c:v>
                </c:pt>
                <c:pt idx="5">
                  <c:v>2</c:v>
                </c:pt>
                <c:pt idx="6">
                  <c:v>4</c:v>
                </c:pt>
                <c:pt idx="7">
                  <c:v>4</c:v>
                </c:pt>
                <c:pt idx="8">
                  <c:v>10</c:v>
                </c:pt>
                <c:pt idx="9">
                  <c:v>10</c:v>
                </c:pt>
                <c:pt idx="10">
                  <c:v>16</c:v>
                </c:pt>
                <c:pt idx="11">
                  <c:v>12</c:v>
                </c:pt>
                <c:pt idx="12">
                  <c:v>17</c:v>
                </c:pt>
                <c:pt idx="13">
                  <c:v>20</c:v>
                </c:pt>
                <c:pt idx="14">
                  <c:v>31</c:v>
                </c:pt>
                <c:pt idx="15">
                  <c:v>33</c:v>
                </c:pt>
                <c:pt idx="16">
                  <c:v>47</c:v>
                </c:pt>
                <c:pt idx="17">
                  <c:v>62</c:v>
                </c:pt>
                <c:pt idx="18">
                  <c:v>104</c:v>
                </c:pt>
                <c:pt idx="19">
                  <c:v>99</c:v>
                </c:pt>
                <c:pt idx="20">
                  <c:v>116</c:v>
                </c:pt>
                <c:pt idx="21">
                  <c:v>147</c:v>
                </c:pt>
                <c:pt idx="22">
                  <c:v>125</c:v>
                </c:pt>
                <c:pt idx="23">
                  <c:v>156</c:v>
                </c:pt>
                <c:pt idx="24">
                  <c:v>218</c:v>
                </c:pt>
                <c:pt idx="25">
                  <c:v>246</c:v>
                </c:pt>
                <c:pt idx="26">
                  <c:v>247</c:v>
                </c:pt>
                <c:pt idx="27">
                  <c:v>290</c:v>
                </c:pt>
                <c:pt idx="28">
                  <c:v>281</c:v>
                </c:pt>
                <c:pt idx="29">
                  <c:v>341</c:v>
                </c:pt>
                <c:pt idx="30">
                  <c:v>387</c:v>
                </c:pt>
                <c:pt idx="31">
                  <c:v>275</c:v>
                </c:pt>
                <c:pt idx="32">
                  <c:v>428</c:v>
                </c:pt>
                <c:pt idx="33">
                  <c:v>347</c:v>
                </c:pt>
                <c:pt idx="34">
                  <c:v>340</c:v>
                </c:pt>
                <c:pt idx="35">
                  <c:v>354</c:v>
                </c:pt>
                <c:pt idx="36">
                  <c:v>456</c:v>
                </c:pt>
                <c:pt idx="37">
                  <c:v>333</c:v>
                </c:pt>
                <c:pt idx="38">
                  <c:v>393</c:v>
                </c:pt>
                <c:pt idx="39">
                  <c:v>415</c:v>
                </c:pt>
                <c:pt idx="40">
                  <c:v>336</c:v>
                </c:pt>
                <c:pt idx="41">
                  <c:v>276</c:v>
                </c:pt>
                <c:pt idx="42">
                  <c:v>339</c:v>
                </c:pt>
                <c:pt idx="43">
                  <c:v>322</c:v>
                </c:pt>
                <c:pt idx="44">
                  <c:v>304</c:v>
                </c:pt>
                <c:pt idx="45">
                  <c:v>310</c:v>
                </c:pt>
                <c:pt idx="46">
                  <c:v>354</c:v>
                </c:pt>
                <c:pt idx="47">
                  <c:v>346</c:v>
                </c:pt>
                <c:pt idx="48">
                  <c:v>321</c:v>
                </c:pt>
              </c:numCache>
            </c:numRef>
          </c:yVal>
          <c:smooth val="0"/>
          <c:extLst>
            <c:ext xmlns:c16="http://schemas.microsoft.com/office/drawing/2014/chart" uri="{C3380CC4-5D6E-409C-BE32-E72D297353CC}">
              <c16:uniqueId val="{00000002-99E1-44DE-9DAF-9529BD98EE71}"/>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3"/>
                <c:order val="3"/>
                <c:tx>
                  <c:strRef>
                    <c:extLst>
                      <c:ext uri="{02D57815-91ED-43cb-92C2-25804820EDAC}">
                        <c15:formulaRef>
                          <c15:sqref>'New_deaths - Gompertz'!$L$7</c15:sqref>
                        </c15:formulaRef>
                      </c:ext>
                    </c:extLst>
                    <c:strCache>
                      <c:ptCount val="1"/>
                      <c:pt idx="0">
                        <c:v>Wh_c_Upper CI</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extLst>
                      <c:ext uri="{02D57815-91ED-43cb-92C2-25804820EDAC}">
                        <c15:formulaRef>
                          <c15:sqref>'New_deaths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c:ext uri="{02D57815-91ED-43cb-92C2-25804820EDAC}">
                        <c15:formulaRef>
                          <c15:sqref>'New_deaths - Gompertz'!$L$8:$L$78</c15:sqref>
                        </c15:formulaRef>
                      </c:ext>
                    </c:extLst>
                    <c:numCache>
                      <c:formatCode>0</c:formatCode>
                      <c:ptCount val="71"/>
                      <c:pt idx="0">
                        <c:v>136.73420751356295</c:v>
                      </c:pt>
                      <c:pt idx="1">
                        <c:v>136.81689179063571</c:v>
                      </c:pt>
                      <c:pt idx="2">
                        <c:v>136.99874848369427</c:v>
                      </c:pt>
                      <c:pt idx="3">
                        <c:v>137.37026006675927</c:v>
                      </c:pt>
                      <c:pt idx="4">
                        <c:v>138.07917830466812</c:v>
                      </c:pt>
                      <c:pt idx="5">
                        <c:v>139.34933235100851</c:v>
                      </c:pt>
                      <c:pt idx="6">
                        <c:v>141.4963330599364</c:v>
                      </c:pt>
                      <c:pt idx="7">
                        <c:v>144.93537225167952</c:v>
                      </c:pt>
                      <c:pt idx="8">
                        <c:v>150.17656215868621</c:v>
                      </c:pt>
                      <c:pt idx="9">
                        <c:v>157.80479946255721</c:v>
                      </c:pt>
                      <c:pt idx="10">
                        <c:v>168.44372899602985</c:v>
                      </c:pt>
                      <c:pt idx="11">
                        <c:v>182.70642726277742</c:v>
                      </c:pt>
                      <c:pt idx="12">
                        <c:v>201.13817037144895</c:v>
                      </c:pt>
                      <c:pt idx="13">
                        <c:v>224.15842711100635</c:v>
                      </c:pt>
                      <c:pt idx="14">
                        <c:v>252.00963969785818</c:v>
                      </c:pt>
                      <c:pt idx="15">
                        <c:v>284.7193986868823</c:v>
                      </c:pt>
                      <c:pt idx="16">
                        <c:v>322.08058325693997</c:v>
                      </c:pt>
                      <c:pt idx="17">
                        <c:v>363.65141966452768</c:v>
                      </c:pt>
                      <c:pt idx="18">
                        <c:v>408.77475020020756</c:v>
                      </c:pt>
                      <c:pt idx="19">
                        <c:v>456.61355841573982</c:v>
                      </c:pt>
                      <c:pt idx="20">
                        <c:v>506.19825603502886</c:v>
                      </c:pt>
                      <c:pt idx="21">
                        <c:v>556.48051049547973</c:v>
                      </c:pt>
                      <c:pt idx="22">
                        <c:v>606.3884272390826</c:v>
                      </c:pt>
                      <c:pt idx="23">
                        <c:v>654.87853627729669</c:v>
                      </c:pt>
                      <c:pt idx="24">
                        <c:v>700.98105498577547</c:v>
                      </c:pt>
                      <c:pt idx="25">
                        <c:v>743.83609325969769</c:v>
                      </c:pt>
                      <c:pt idx="26">
                        <c:v>782.71965034163497</c:v>
                      </c:pt>
                      <c:pt idx="27">
                        <c:v>817.05929266803253</c:v>
                      </c:pt>
                      <c:pt idx="28">
                        <c:v>846.44022129436121</c:v>
                      </c:pt>
                      <c:pt idx="29">
                        <c:v>870.60300672900871</c:v>
                      </c:pt>
                      <c:pt idx="30">
                        <c:v>889.43459651797775</c:v>
                      </c:pt>
                      <c:pt idx="31">
                        <c:v>902.95431936526609</c:v>
                      </c:pt>
                      <c:pt idx="32">
                        <c:v>911.29656432809509</c:v>
                      </c:pt>
                      <c:pt idx="33">
                        <c:v>914.6916533468542</c:v>
                      </c:pt>
                      <c:pt idx="34">
                        <c:v>913.44619542727435</c:v>
                      </c:pt>
                      <c:pt idx="35">
                        <c:v>907.92394941549617</c:v>
                      </c:pt>
                      <c:pt idx="36">
                        <c:v>898.52795892863878</c:v>
                      </c:pt>
                      <c:pt idx="37">
                        <c:v>885.68447819843209</c:v>
                      </c:pt>
                      <c:pt idx="38">
                        <c:v>869.82899400457757</c:v>
                      </c:pt>
                      <c:pt idx="39">
                        <c:v>851.39447269273126</c:v>
                      </c:pt>
                      <c:pt idx="40">
                        <c:v>830.80182378673567</c:v>
                      </c:pt>
                      <c:pt idx="41">
                        <c:v>808.45247085002245</c:v>
                      </c:pt>
                      <c:pt idx="42">
                        <c:v>784.72285189630418</c:v>
                      </c:pt>
                      <c:pt idx="43">
                        <c:v>759.96063062773408</c:v>
                      </c:pt>
                      <c:pt idx="44">
                        <c:v>734.4823806424007</c:v>
                      </c:pt>
                      <c:pt idx="45">
                        <c:v>708.57250228677526</c:v>
                      </c:pt>
                      <c:pt idx="46">
                        <c:v>682.48314135957105</c:v>
                      </c:pt>
                      <c:pt idx="47">
                        <c:v>656.43489642753264</c:v>
                      </c:pt>
                      <c:pt idx="48">
                        <c:v>630.61812386183271</c:v>
                      </c:pt>
                    </c:numCache>
                  </c:numRef>
                </c:yVal>
                <c:smooth val="0"/>
                <c:extLst>
                  <c:ext xmlns:c16="http://schemas.microsoft.com/office/drawing/2014/chart" uri="{C3380CC4-5D6E-409C-BE32-E72D297353CC}">
                    <c16:uniqueId val="{00000008-99E1-44DE-9DAF-9529BD98EE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'New_deaths - Gompertz'!$M$7</c15:sqref>
                        </c15:formulaRef>
                      </c:ext>
                    </c:extLst>
                    <c:strCache>
                      <c:ptCount val="1"/>
                      <c:pt idx="0">
                        <c:v>Wh_c_Lower CI</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extLst>
                      <c:ext xmlns:c15="http://schemas.microsoft.com/office/drawing/2012/chart" uri="{02D57815-91ED-43cb-92C2-25804820EDAC}">
                        <c15:formulaRef>
                          <c15:sqref>'New_deaths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'New_deaths - Gompertz'!$M$8:$M$78</c15:sqref>
                        </c15:formulaRef>
                      </c:ext>
                    </c:extLst>
                    <c:numCache>
                      <c:formatCode>0</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11.360567524703328</c:v>
                      </c:pt>
                      <c:pt idx="16">
                        <c:v>48.721752094760973</c:v>
                      </c:pt>
                      <c:pt idx="17">
                        <c:v>90.29258850234865</c:v>
                      </c:pt>
                      <c:pt idx="18">
                        <c:v>135.41591903802859</c:v>
                      </c:pt>
                      <c:pt idx="19">
                        <c:v>183.25472725356079</c:v>
                      </c:pt>
                      <c:pt idx="20">
                        <c:v>232.83942487284989</c:v>
                      </c:pt>
                      <c:pt idx="21">
                        <c:v>283.12167933330068</c:v>
                      </c:pt>
                      <c:pt idx="22">
                        <c:v>333.02959607690354</c:v>
                      </c:pt>
                      <c:pt idx="23">
                        <c:v>381.51970511511763</c:v>
                      </c:pt>
                      <c:pt idx="24">
                        <c:v>427.62222382359641</c:v>
                      </c:pt>
                      <c:pt idx="25">
                        <c:v>470.47726209751863</c:v>
                      </c:pt>
                      <c:pt idx="26">
                        <c:v>509.36081917945592</c:v>
                      </c:pt>
                      <c:pt idx="27">
                        <c:v>543.70046150585347</c:v>
                      </c:pt>
                      <c:pt idx="28">
                        <c:v>573.08139013218215</c:v>
                      </c:pt>
                      <c:pt idx="29">
                        <c:v>597.24417556682965</c:v>
                      </c:pt>
                      <c:pt idx="30">
                        <c:v>616.07576535579869</c:v>
                      </c:pt>
                      <c:pt idx="31">
                        <c:v>629.59548820308703</c:v>
                      </c:pt>
                      <c:pt idx="32">
                        <c:v>637.93773316591603</c:v>
                      </c:pt>
                      <c:pt idx="33">
                        <c:v>641.33282218467514</c:v>
                      </c:pt>
                      <c:pt idx="34">
                        <c:v>640.08736426509529</c:v>
                      </c:pt>
                      <c:pt idx="35">
                        <c:v>634.56511825331711</c:v>
                      </c:pt>
                      <c:pt idx="36">
                        <c:v>625.16912776645972</c:v>
                      </c:pt>
                      <c:pt idx="37">
                        <c:v>612.32564703625303</c:v>
                      </c:pt>
                      <c:pt idx="38">
                        <c:v>596.47016284239851</c:v>
                      </c:pt>
                      <c:pt idx="39">
                        <c:v>578.0356415305522</c:v>
                      </c:pt>
                      <c:pt idx="40">
                        <c:v>557.44299262455661</c:v>
                      </c:pt>
                      <c:pt idx="41">
                        <c:v>535.09363968784339</c:v>
                      </c:pt>
                      <c:pt idx="42">
                        <c:v>511.36402073412512</c:v>
                      </c:pt>
                      <c:pt idx="43">
                        <c:v>486.60179946555502</c:v>
                      </c:pt>
                      <c:pt idx="44">
                        <c:v>461.12354948022164</c:v>
                      </c:pt>
                      <c:pt idx="45">
                        <c:v>435.2136711245962</c:v>
                      </c:pt>
                      <c:pt idx="46">
                        <c:v>409.12431019739199</c:v>
                      </c:pt>
                      <c:pt idx="47">
                        <c:v>383.07606526535358</c:v>
                      </c:pt>
                      <c:pt idx="48">
                        <c:v>357.25929269965366</c:v>
                      </c:pt>
                    </c:numCache>
                  </c:numRef>
                </c:yVal>
                <c:smooth val="0"/>
                <c:extLst xmlns:c15="http://schemas.microsoft.com/office/drawing/2012/chart">
                  <c:ext xmlns:c16="http://schemas.microsoft.com/office/drawing/2014/chart" uri="{C3380CC4-5D6E-409C-BE32-E72D297353CC}">
                    <c16:uniqueId val="{00000009-99E1-44DE-9DAF-9529BD98EE71}"/>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'New_deaths - Gompertz'!$T$7</c15:sqref>
                        </c15:formulaRef>
                      </c:ext>
                    </c:extLst>
                    <c:strCache>
                      <c:ptCount val="1"/>
                      <c:pt idx="0">
                        <c:v>r_Upper CI</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extLst>
                      <c:ext xmlns:c15="http://schemas.microsoft.com/office/drawing/2012/chart" uri="{02D57815-91ED-43cb-92C2-25804820EDAC}">
                        <c15:formulaRef>
                          <c15:sqref>'New_deaths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'New_deaths - Gompertz'!$T$8:$T$78</c15:sqref>
                        </c15:formulaRef>
                      </c:ext>
                    </c:extLst>
                    <c:numCache>
                      <c:formatCode>0</c:formatCode>
                      <c:ptCount val="71"/>
                      <c:pt idx="0">
                        <c:v>121.19333207030647</c:v>
                      </c:pt>
                      <c:pt idx="1">
                        <c:v>121.2589164265373</c:v>
                      </c:pt>
                      <c:pt idx="2">
                        <c:v>121.40238663971519</c:v>
                      </c:pt>
                      <c:pt idx="3">
                        <c:v>121.69346086634944</c:v>
                      </c:pt>
                      <c:pt idx="4">
                        <c:v>122.24428739235934</c:v>
                      </c:pt>
                      <c:pt idx="5">
                        <c:v>123.22171653780947</c:v>
                      </c:pt>
                      <c:pt idx="6">
                        <c:v>124.85597661253738</c:v>
                      </c:pt>
                      <c:pt idx="7">
                        <c:v>127.44214842751677</c:v>
                      </c:pt>
                      <c:pt idx="8">
                        <c:v>131.33142909643067</c:v>
                      </c:pt>
                      <c:pt idx="9">
                        <c:v>136.91077686996911</c:v>
                      </c:pt>
                      <c:pt idx="10">
                        <c:v>144.5718038130986</c:v>
                      </c:pt>
                      <c:pt idx="11">
                        <c:v>154.67214745991117</c:v>
                      </c:pt>
                      <c:pt idx="12">
                        <c:v>167.49437128996192</c:v>
                      </c:pt>
                      <c:pt idx="13">
                        <c:v>183.2082456854819</c:v>
                      </c:pt>
                      <c:pt idx="14">
                        <c:v>201.84187568273379</c:v>
                      </c:pt>
                      <c:pt idx="15">
                        <c:v>223.26572035857862</c:v>
                      </c:pt>
                      <c:pt idx="16">
                        <c:v>247.19147932448149</c:v>
                      </c:pt>
                      <c:pt idx="17">
                        <c:v>273.18559015671264</c:v>
                      </c:pt>
                      <c:pt idx="18">
                        <c:v>300.6951307483028</c:v>
                      </c:pt>
                      <c:pt idx="19">
                        <c:v>329.08255838246089</c:v>
                      </c:pt>
                      <c:pt idx="20">
                        <c:v>357.66507238308128</c:v>
                      </c:pt>
                      <c:pt idx="21">
                        <c:v>385.75442719230313</c:v>
                      </c:pt>
                      <c:pt idx="22">
                        <c:v>412.69360105895919</c:v>
                      </c:pt>
                      <c:pt idx="23">
                        <c:v>437.88764014581091</c:v>
                      </c:pt>
                      <c:pt idx="24">
                        <c:v>460.82704399088897</c:v>
                      </c:pt>
                      <c:pt idx="25">
                        <c:v>481.1030652102213</c:v>
                      </c:pt>
                      <c:pt idx="26">
                        <c:v>498.41514607051556</c:v>
                      </c:pt>
                      <c:pt idx="27">
                        <c:v>512.57134455042717</c:v>
                      </c:pt>
                      <c:pt idx="28">
                        <c:v>523.48299791863064</c:v>
                      </c:pt>
                      <c:pt idx="29">
                        <c:v>531.15505247981764</c:v>
                      </c:pt>
                      <c:pt idx="30">
                        <c:v>535.67349431473394</c:v>
                      </c:pt>
                      <c:pt idx="31">
                        <c:v>537.19119618434797</c:v>
                      </c:pt>
                      <c:pt idx="32">
                        <c:v>535.9132980697691</c:v>
                      </c:pt>
                      <c:pt idx="33">
                        <c:v>532.08300433654369</c:v>
                      </c:pt>
                      <c:pt idx="34">
                        <c:v>525.9684412364669</c:v>
                      </c:pt>
                      <c:pt idx="35">
                        <c:v>517.85099660301921</c:v>
                      </c:pt>
                      <c:pt idx="36">
                        <c:v>508.01537249991469</c:v>
                      </c:pt>
                      <c:pt idx="37">
                        <c:v>496.74142737434431</c:v>
                      </c:pt>
                      <c:pt idx="38">
                        <c:v>484.29776774955275</c:v>
                      </c:pt>
                      <c:pt idx="39">
                        <c:v>470.93696792916722</c:v>
                      </c:pt>
                      <c:pt idx="40">
                        <c:v>456.89224481056146</c:v>
                      </c:pt>
                      <c:pt idx="41">
                        <c:v>442.37538807540898</c:v>
                      </c:pt>
                      <c:pt idx="42">
                        <c:v>427.57573804205543</c:v>
                      </c:pt>
                      <c:pt idx="43">
                        <c:v>412.66000908191097</c:v>
                      </c:pt>
                      <c:pt idx="44">
                        <c:v>397.77277121155953</c:v>
                      </c:pt>
                      <c:pt idx="45">
                        <c:v>383.03742260696021</c:v>
                      </c:pt>
                      <c:pt idx="46">
                        <c:v>368.55750851375336</c:v>
                      </c:pt>
                      <c:pt idx="47">
                        <c:v>354.41826527344489</c:v>
                      </c:pt>
                      <c:pt idx="48">
                        <c:v>340.68829051968714</c:v>
                      </c:pt>
                    </c:numCache>
                  </c:numRef>
                </c:yVal>
                <c:smooth val="0"/>
                <c:extLst xmlns:c15="http://schemas.microsoft.com/office/drawing/2012/chart">
                  <c:ext xmlns:c16="http://schemas.microsoft.com/office/drawing/2014/chart" uri="{C3380CC4-5D6E-409C-BE32-E72D297353CC}">
                    <c16:uniqueId val="{0000000A-99E1-44DE-9DAF-9529BD98EE71}"/>
                  </c:ext>
                </c:extLst>
              </c15:ser>
            </c15:filteredScatterSeries>
            <c15:filteredScatterSeries>
              <c15:ser>
                <c:idx val="8"/>
                <c:order val="8"/>
                <c:tx>
                  <c:strRef>
                    <c:extLst>
                      <c:ext xmlns:c15="http://schemas.microsoft.com/office/drawing/2012/chart" uri="{02D57815-91ED-43cb-92C2-25804820EDAC}">
                        <c15:formulaRef>
                          <c15:sqref>'New_deaths - Gompertz'!$U$7</c15:sqref>
                        </c15:formulaRef>
                      </c:ext>
                    </c:extLst>
                    <c:strCache>
                      <c:ptCount val="1"/>
                      <c:pt idx="0">
                        <c:v>r_Lower CI</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extLst>
                      <c:ext xmlns:c15="http://schemas.microsoft.com/office/drawing/2012/chart" uri="{02D57815-91ED-43cb-92C2-25804820EDAC}">
                        <c15:formulaRef>
                          <c15:sqref>'New_deaths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'New_deaths - Gompertz'!$U$8:$U$78</c15:sqref>
                        </c15:formulaRef>
                      </c:ext>
                    </c:extLst>
                    <c:numCache>
                      <c:formatCode>0</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4.89210818693698</c:v>
                      </c:pt>
                      <c:pt idx="17">
                        <c:v>30.886219019168109</c:v>
                      </c:pt>
                      <c:pt idx="18">
                        <c:v>58.395759610758304</c:v>
                      </c:pt>
                      <c:pt idx="19">
                        <c:v>86.783187244916363</c:v>
                      </c:pt>
                      <c:pt idx="20">
                        <c:v>115.36570124553675</c:v>
                      </c:pt>
                      <c:pt idx="21">
                        <c:v>143.45505605475859</c:v>
                      </c:pt>
                      <c:pt idx="22">
                        <c:v>170.39422992141465</c:v>
                      </c:pt>
                      <c:pt idx="23">
                        <c:v>195.58826900826637</c:v>
                      </c:pt>
                      <c:pt idx="24">
                        <c:v>218.52767285334443</c:v>
                      </c:pt>
                      <c:pt idx="25">
                        <c:v>238.80369407267676</c:v>
                      </c:pt>
                      <c:pt idx="26">
                        <c:v>256.11577493297102</c:v>
                      </c:pt>
                      <c:pt idx="27">
                        <c:v>270.27197341288263</c:v>
                      </c:pt>
                      <c:pt idx="28">
                        <c:v>281.18362678108616</c:v>
                      </c:pt>
                      <c:pt idx="29">
                        <c:v>288.85568134227316</c:v>
                      </c:pt>
                      <c:pt idx="30">
                        <c:v>293.37412317718946</c:v>
                      </c:pt>
                      <c:pt idx="31">
                        <c:v>294.89182504680343</c:v>
                      </c:pt>
                      <c:pt idx="32">
                        <c:v>293.61392693222456</c:v>
                      </c:pt>
                      <c:pt idx="33">
                        <c:v>289.78363319899915</c:v>
                      </c:pt>
                      <c:pt idx="34">
                        <c:v>283.66907009892242</c:v>
                      </c:pt>
                      <c:pt idx="35">
                        <c:v>275.55162546547473</c:v>
                      </c:pt>
                      <c:pt idx="36">
                        <c:v>265.71600136237015</c:v>
                      </c:pt>
                      <c:pt idx="37">
                        <c:v>254.44205623679977</c:v>
                      </c:pt>
                      <c:pt idx="38">
                        <c:v>241.99839661200821</c:v>
                      </c:pt>
                      <c:pt idx="39">
                        <c:v>228.63759679162268</c:v>
                      </c:pt>
                      <c:pt idx="40">
                        <c:v>214.59287367301692</c:v>
                      </c:pt>
                      <c:pt idx="41">
                        <c:v>200.07601693786444</c:v>
                      </c:pt>
                      <c:pt idx="42">
                        <c:v>185.27636690451089</c:v>
                      </c:pt>
                      <c:pt idx="43">
                        <c:v>170.36063794436643</c:v>
                      </c:pt>
                      <c:pt idx="44">
                        <c:v>155.47340007401499</c:v>
                      </c:pt>
                      <c:pt idx="45">
                        <c:v>140.73805146941567</c:v>
                      </c:pt>
                      <c:pt idx="46">
                        <c:v>126.25813737620884</c:v>
                      </c:pt>
                      <c:pt idx="47">
                        <c:v>112.11889413590036</c:v>
                      </c:pt>
                      <c:pt idx="48">
                        <c:v>98.388919382142618</c:v>
                      </c:pt>
                    </c:numCache>
                  </c:numRef>
                </c:yVal>
                <c:smooth val="0"/>
                <c:extLst xmlns:c15="http://schemas.microsoft.com/office/drawing/2012/chart">
                  <c:ext xmlns:c16="http://schemas.microsoft.com/office/drawing/2014/chart" uri="{C3380CC4-5D6E-409C-BE32-E72D297353CC}">
                    <c16:uniqueId val="{0000000B-99E1-44DE-9DAF-9529BD98EE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'New_deaths - Gompertz'!$AB$7</c15:sqref>
                        </c15:formulaRef>
                      </c:ext>
                    </c:extLst>
                    <c:strCache>
                      <c:ptCount val="1"/>
                      <c:pt idx="0">
                        <c:v>o_r_Upper CI</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extLst>
                      <c:ext xmlns:c15="http://schemas.microsoft.com/office/drawing/2012/chart" uri="{02D57815-91ED-43cb-92C2-25804820EDAC}">
                        <c15:formulaRef>
                          <c15:sqref>'New_deaths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'New_deaths - Gompertz'!$AB$8:$AB$78</c15:sqref>
                        </c15:formulaRef>
                      </c:ext>
                    </c:extLst>
                    <c:numCache>
                      <c:formatCode>0</c:formatCode>
                      <c:ptCount val="71"/>
                      <c:pt idx="0">
                        <c:v>66.308450043615622</c:v>
                      </c:pt>
                      <c:pt idx="1">
                        <c:v>66.325549964457551</c:v>
                      </c:pt>
                      <c:pt idx="2">
                        <c:v>66.363936444338208</c:v>
                      </c:pt>
                      <c:pt idx="3">
                        <c:v>66.444373800768957</c:v>
                      </c:pt>
                      <c:pt idx="4">
                        <c:v>66.602465512667905</c:v>
                      </c:pt>
                      <c:pt idx="5">
                        <c:v>66.895190413558183</c:v>
                      </c:pt>
                      <c:pt idx="6">
                        <c:v>67.407931047758169</c:v>
                      </c:pt>
                      <c:pt idx="7">
                        <c:v>68.260798424521866</c:v>
                      </c:pt>
                      <c:pt idx="8">
                        <c:v>69.612707662614653</c:v>
                      </c:pt>
                      <c:pt idx="9">
                        <c:v>71.661597192947212</c:v>
                      </c:pt>
                      <c:pt idx="10">
                        <c:v>74.639499783290361</c:v>
                      </c:pt>
                      <c:pt idx="11">
                        <c:v>78.801854403225363</c:v>
                      </c:pt>
                      <c:pt idx="12">
                        <c:v>84.411373681846158</c:v>
                      </c:pt>
                      <c:pt idx="13">
                        <c:v>91.717756025883546</c:v>
                      </c:pt>
                      <c:pt idx="14">
                        <c:v>100.93533861548352</c:v>
                      </c:pt>
                      <c:pt idx="15">
                        <c:v>112.22125292866282</c:v>
                      </c:pt>
                      <c:pt idx="16">
                        <c:v>125.65667853281761</c:v>
                      </c:pt>
                      <c:pt idx="17">
                        <c:v>141.23340410817417</c:v>
                      </c:pt>
                      <c:pt idx="18">
                        <c:v>158.84719405226389</c:v>
                      </c:pt>
                      <c:pt idx="19">
                        <c:v>178.29857463363803</c:v>
                      </c:pt>
                      <c:pt idx="20">
                        <c:v>199.30075825230676</c:v>
                      </c:pt>
                      <c:pt idx="21">
                        <c:v>221.49365790353573</c:v>
                      </c:pt>
                      <c:pt idx="22">
                        <c:v>244.46240078048248</c:v>
                      </c:pt>
                      <c:pt idx="23">
                        <c:v>267.75847073184491</c:v>
                      </c:pt>
                      <c:pt idx="24">
                        <c:v>290.92158559524563</c:v>
                      </c:pt>
                      <c:pt idx="25">
                        <c:v>313.50060264983546</c:v>
                      </c:pt>
                      <c:pt idx="26">
                        <c:v>335.07207887147854</c:v>
                      </c:pt>
                      <c:pt idx="27">
                        <c:v>355.25552271796442</c:v>
                      </c:pt>
                      <c:pt idx="28">
                        <c:v>373.72479797608963</c:v>
                      </c:pt>
                      <c:pt idx="29">
                        <c:v>390.21552884955014</c:v>
                      </c:pt>
                      <c:pt idx="30">
                        <c:v>404.52867680360288</c:v>
                      </c:pt>
                      <c:pt idx="31">
                        <c:v>416.53069778127724</c:v>
                      </c:pt>
                      <c:pt idx="32">
                        <c:v>426.15084085868506</c:v>
                      </c:pt>
                      <c:pt idx="33">
                        <c:v>433.37622361066968</c:v>
                      </c:pt>
                      <c:pt idx="34">
                        <c:v>438.24532879116646</c:v>
                      </c:pt>
                      <c:pt idx="35">
                        <c:v>440.84052741283602</c:v>
                      </c:pt>
                      <c:pt idx="36">
                        <c:v>441.28016102908322</c:v>
                      </c:pt>
                      <c:pt idx="37">
                        <c:v>439.7106254244469</c:v>
                      </c:pt>
                      <c:pt idx="38">
                        <c:v>436.29880085538394</c:v>
                      </c:pt>
                      <c:pt idx="39">
                        <c:v>431.22507936392321</c:v>
                      </c:pt>
                      <c:pt idx="40">
                        <c:v>424.67715357653333</c:v>
                      </c:pt>
                      <c:pt idx="41">
                        <c:v>416.84465737497254</c:v>
                      </c:pt>
                      <c:pt idx="42">
                        <c:v>407.91468845460787</c:v>
                      </c:pt>
                      <c:pt idx="43">
                        <c:v>398.06819614618217</c:v>
                      </c:pt>
                      <c:pt idx="44">
                        <c:v>387.4771840312003</c:v>
                      </c:pt>
                      <c:pt idx="45">
                        <c:v>376.30265428017418</c:v>
                      </c:pt>
                      <c:pt idx="46">
                        <c:v>364.69320744617681</c:v>
                      </c:pt>
                      <c:pt idx="47">
                        <c:v>352.78420575444682</c:v>
                      </c:pt>
                      <c:pt idx="48">
                        <c:v>340.6974079425047</c:v>
                      </c:pt>
                    </c:numCache>
                  </c:numRef>
                </c:yVal>
                <c:smooth val="0"/>
                <c:extLst xmlns:c15="http://schemas.microsoft.com/office/drawing/2012/chart">
                  <c:ext xmlns:c16="http://schemas.microsoft.com/office/drawing/2014/chart" uri="{C3380CC4-5D6E-409C-BE32-E72D297353CC}">
                    <c16:uniqueId val="{0000000C-99E1-44DE-9DAF-9529BD98EE71}"/>
                  </c:ext>
                </c:extLst>
              </c15:ser>
            </c15:filteredScatterSeries>
            <c15:filteredScatterSeries>
              <c15:ser>
                <c:idx val="13"/>
                <c:order val="12"/>
                <c:tx>
                  <c:strRef>
                    <c:extLst xmlns:c15="http://schemas.microsoft.com/office/drawing/2012/chart">
                      <c:ext xmlns:c15="http://schemas.microsoft.com/office/drawing/2012/chart" uri="{02D57815-91ED-43cb-92C2-25804820EDAC}">
                        <c15:formulaRef>
                          <c15:sqref>'New_deaths - Gompertz'!$AC$7</c15:sqref>
                        </c15:formulaRef>
                      </c:ext>
                    </c:extLst>
                    <c:strCache>
                      <c:ptCount val="1"/>
                      <c:pt idx="0">
                        <c:v>o_r_Lower CI</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extLst>
                      <c:ext xmlns:c15="http://schemas.microsoft.com/office/drawing/2012/chart" uri="{02D57815-91ED-43cb-92C2-25804820EDAC}">
                        <c15:formulaRef>
                          <c15:sqref>'New_deaths - Gompertz'!$C$8:$C$78</c15:sqref>
                        </c15:formulaRef>
                      </c:ext>
                    </c:extLst>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extLst xmlns:c15="http://schemas.microsoft.com/office/drawing/2012/chart">
                      <c:ext xmlns:c15="http://schemas.microsoft.com/office/drawing/2012/chart" uri="{02D57815-91ED-43cb-92C2-25804820EDAC}">
                        <c15:formulaRef>
                          <c15:sqref>'New_deaths - Gompertz'!$AC$8:$AC$78</c15:sqref>
                        </c15:formulaRef>
                      </c:ext>
                    </c:extLst>
                    <c:numCache>
                      <c:formatCode>0</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8.6387948828214292</c:v>
                      </c:pt>
                      <c:pt idx="18">
                        <c:v>26.252584826911161</c:v>
                      </c:pt>
                      <c:pt idx="19">
                        <c:v>45.703965408285285</c:v>
                      </c:pt>
                      <c:pt idx="20">
                        <c:v>66.706149026954009</c:v>
                      </c:pt>
                      <c:pt idx="21">
                        <c:v>88.899048678183007</c:v>
                      </c:pt>
                      <c:pt idx="22">
                        <c:v>111.86779155512976</c:v>
                      </c:pt>
                      <c:pt idx="23">
                        <c:v>135.1638615064922</c:v>
                      </c:pt>
                      <c:pt idx="24">
                        <c:v>158.32697636989292</c:v>
                      </c:pt>
                      <c:pt idx="25">
                        <c:v>180.90599342448274</c:v>
                      </c:pt>
                      <c:pt idx="26">
                        <c:v>202.47746964612577</c:v>
                      </c:pt>
                      <c:pt idx="27">
                        <c:v>222.66091349261166</c:v>
                      </c:pt>
                      <c:pt idx="28">
                        <c:v>241.13018875073686</c:v>
                      </c:pt>
                      <c:pt idx="29">
                        <c:v>257.62091962419737</c:v>
                      </c:pt>
                      <c:pt idx="30">
                        <c:v>271.93406757825011</c:v>
                      </c:pt>
                      <c:pt idx="31">
                        <c:v>283.93608855592447</c:v>
                      </c:pt>
                      <c:pt idx="32">
                        <c:v>293.55623163333229</c:v>
                      </c:pt>
                      <c:pt idx="33">
                        <c:v>300.78161438531691</c:v>
                      </c:pt>
                      <c:pt idx="34">
                        <c:v>305.65071956581369</c:v>
                      </c:pt>
                      <c:pt idx="35">
                        <c:v>308.24591818748326</c:v>
                      </c:pt>
                      <c:pt idx="36">
                        <c:v>308.68555180373045</c:v>
                      </c:pt>
                      <c:pt idx="37">
                        <c:v>307.11601619909413</c:v>
                      </c:pt>
                      <c:pt idx="38">
                        <c:v>303.70419163003118</c:v>
                      </c:pt>
                      <c:pt idx="39">
                        <c:v>298.63047013857044</c:v>
                      </c:pt>
                      <c:pt idx="40">
                        <c:v>292.08254435118056</c:v>
                      </c:pt>
                      <c:pt idx="41">
                        <c:v>284.25004814961977</c:v>
                      </c:pt>
                      <c:pt idx="42">
                        <c:v>275.3200792292551</c:v>
                      </c:pt>
                      <c:pt idx="43">
                        <c:v>265.4735869208294</c:v>
                      </c:pt>
                      <c:pt idx="44">
                        <c:v>254.88257480584753</c:v>
                      </c:pt>
                      <c:pt idx="45">
                        <c:v>243.70804505482141</c:v>
                      </c:pt>
                      <c:pt idx="46">
                        <c:v>232.09859822082404</c:v>
                      </c:pt>
                      <c:pt idx="47">
                        <c:v>220.18959652909405</c:v>
                      </c:pt>
                      <c:pt idx="48">
                        <c:v>208.10279871715193</c:v>
                      </c:pt>
                    </c:numCache>
                  </c:numRef>
                </c:yVal>
                <c:smooth val="0"/>
                <c:extLst xmlns:c15="http://schemas.microsoft.com/office/drawing/2012/chart">
                  <c:ext xmlns:c16="http://schemas.microsoft.com/office/drawing/2014/chart" uri="{C3380CC4-5D6E-409C-BE32-E72D297353CC}">
                    <c16:uniqueId val="{0000000D-99E1-44DE-9DAF-9529BD98EE71}"/>
                  </c:ext>
                </c:extLst>
              </c15:ser>
            </c15:filteredScatterSeries>
          </c:ext>
        </c:extLst>
      </c:scatterChart>
      <c:scatterChart>
        <c:scatterStyle val="smoothMarker"/>
        <c:varyColors val="0"/>
        <c:ser>
          <c:idx val="2"/>
          <c:order val="1"/>
          <c:tx>
            <c:strRef>
              <c:f>'New_deaths - Gompertz'!$H$7</c:f>
              <c:strCache>
                <c:ptCount val="1"/>
                <c:pt idx="0">
                  <c:v>Italy sum</c:v>
                </c:pt>
              </c:strCache>
            </c:strRef>
          </c:tx>
          <c:spPr>
            <a:ln w="9525" cap="rnd">
              <a:solidFill>
                <a:schemeClr val="accent3"/>
              </a:solidFill>
              <a:prstDash val="lgDash"/>
              <a:round/>
            </a:ln>
            <a:effectLst/>
          </c:spPr>
          <c:marker>
            <c:symbol val="none"/>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Gompertz'!$H$8:$H$78</c:f>
              <c:numCache>
                <c:formatCode>0</c:formatCode>
                <c:ptCount val="71"/>
                <c:pt idx="0">
                  <c:v>5.4791932473463159E-2</c:v>
                </c:pt>
                <c:pt idx="1">
                  <c:v>0.13747620954622158</c:v>
                </c:pt>
                <c:pt idx="2">
                  <c:v>0.3193329026047787</c:v>
                </c:pt>
                <c:pt idx="3">
                  <c:v>0.69084448566975976</c:v>
                </c:pt>
                <c:pt idx="4">
                  <c:v>1.399762723578615</c:v>
                </c:pt>
                <c:pt idx="5">
                  <c:v>2.6699167699190136</c:v>
                </c:pt>
                <c:pt idx="6">
                  <c:v>4.8169174788469169</c:v>
                </c:pt>
                <c:pt idx="7">
                  <c:v>8.2559566705900149</c:v>
                </c:pt>
                <c:pt idx="8">
                  <c:v>13.497146577596711</c:v>
                </c:pt>
                <c:pt idx="9">
                  <c:v>21.125383881467709</c:v>
                </c:pt>
                <c:pt idx="10">
                  <c:v>31.764313414940347</c:v>
                </c:pt>
                <c:pt idx="11">
                  <c:v>46.02701168168791</c:v>
                </c:pt>
                <c:pt idx="12">
                  <c:v>64.458754790359436</c:v>
                </c:pt>
                <c:pt idx="13">
                  <c:v>87.479011529916832</c:v>
                </c:pt>
                <c:pt idx="14">
                  <c:v>115.33022411676868</c:v>
                </c:pt>
                <c:pt idx="15">
                  <c:v>148.03998310579283</c:v>
                </c:pt>
                <c:pt idx="16">
                  <c:v>185.40116767585047</c:v>
                </c:pt>
                <c:pt idx="17">
                  <c:v>226.97200408343815</c:v>
                </c:pt>
                <c:pt idx="18">
                  <c:v>272.09533461911809</c:v>
                </c:pt>
                <c:pt idx="19">
                  <c:v>319.93414283465029</c:v>
                </c:pt>
                <c:pt idx="20">
                  <c:v>369.51884045393939</c:v>
                </c:pt>
                <c:pt idx="21">
                  <c:v>419.80109491439021</c:v>
                </c:pt>
                <c:pt idx="22">
                  <c:v>469.70901165799307</c:v>
                </c:pt>
                <c:pt idx="23">
                  <c:v>518.19912069620716</c:v>
                </c:pt>
                <c:pt idx="24">
                  <c:v>564.30163940468594</c:v>
                </c:pt>
                <c:pt idx="25">
                  <c:v>607.15667767860816</c:v>
                </c:pt>
                <c:pt idx="26">
                  <c:v>646.04023476054545</c:v>
                </c:pt>
                <c:pt idx="27">
                  <c:v>680.379877086943</c:v>
                </c:pt>
                <c:pt idx="28">
                  <c:v>709.76080571327168</c:v>
                </c:pt>
                <c:pt idx="29">
                  <c:v>733.92359114791918</c:v>
                </c:pt>
                <c:pt idx="30">
                  <c:v>752.75518093688822</c:v>
                </c:pt>
                <c:pt idx="31">
                  <c:v>766.27490378417656</c:v>
                </c:pt>
                <c:pt idx="32">
                  <c:v>774.61714874700556</c:v>
                </c:pt>
                <c:pt idx="33">
                  <c:v>778.01223776576467</c:v>
                </c:pt>
                <c:pt idx="34">
                  <c:v>776.76677984618482</c:v>
                </c:pt>
                <c:pt idx="35">
                  <c:v>771.24453383440664</c:v>
                </c:pt>
                <c:pt idx="36">
                  <c:v>761.84854334754925</c:v>
                </c:pt>
                <c:pt idx="37">
                  <c:v>749.00506261734256</c:v>
                </c:pt>
                <c:pt idx="38">
                  <c:v>733.14957842348804</c:v>
                </c:pt>
                <c:pt idx="39">
                  <c:v>714.71505711164173</c:v>
                </c:pt>
                <c:pt idx="40">
                  <c:v>694.12240820564614</c:v>
                </c:pt>
                <c:pt idx="41">
                  <c:v>671.77305526893292</c:v>
                </c:pt>
                <c:pt idx="42">
                  <c:v>648.04343631521465</c:v>
                </c:pt>
                <c:pt idx="43">
                  <c:v>623.28121504664455</c:v>
                </c:pt>
                <c:pt idx="44">
                  <c:v>597.80296506131117</c:v>
                </c:pt>
                <c:pt idx="45">
                  <c:v>571.89308670568573</c:v>
                </c:pt>
                <c:pt idx="46">
                  <c:v>545.80372577848152</c:v>
                </c:pt>
                <c:pt idx="47">
                  <c:v>519.75548084644311</c:v>
                </c:pt>
                <c:pt idx="48">
                  <c:v>493.93870828074319</c:v>
                </c:pt>
                <c:pt idx="49">
                  <c:v>468.51525875288098</c:v>
                </c:pt>
                <c:pt idx="50">
                  <c:v>443.62050397464793</c:v>
                </c:pt>
                <c:pt idx="51">
                  <c:v>419.36553661334767</c:v>
                </c:pt>
                <c:pt idx="52">
                  <c:v>395.83944869882805</c:v>
                </c:pt>
                <c:pt idx="53">
                  <c:v>373.11161395712736</c:v>
                </c:pt>
                <c:pt idx="54">
                  <c:v>351.2339171205254</c:v>
                </c:pt>
                <c:pt idx="55">
                  <c:v>330.24288833500884</c:v>
                </c:pt>
                <c:pt idx="56">
                  <c:v>310.16171340772348</c:v>
                </c:pt>
                <c:pt idx="57">
                  <c:v>291.00210098918689</c:v>
                </c:pt>
                <c:pt idx="58">
                  <c:v>272.76599609733506</c:v>
                </c:pt>
                <c:pt idx="59">
                  <c:v>255.44713591407435</c:v>
                </c:pt>
                <c:pt idx="60">
                  <c:v>239.03244877352103</c:v>
                </c:pt>
                <c:pt idx="61">
                  <c:v>223.50330095752065</c:v>
                </c:pt>
                <c:pt idx="62">
                  <c:v>208.83659854260856</c:v>
                </c:pt>
                <c:pt idx="63">
                  <c:v>195.00575330441902</c:v>
                </c:pt>
                <c:pt idx="64">
                  <c:v>181.98152275683452</c:v>
                </c:pt>
                <c:pt idx="65">
                  <c:v>169.73273493514543</c:v>
                </c:pt>
                <c:pt idx="66">
                  <c:v>158.22690865273768</c:v>
                </c:pt>
                <c:pt idx="67">
                  <c:v>147.43077977519238</c:v>
                </c:pt>
                <c:pt idx="68">
                  <c:v>137.31074365061221</c:v>
                </c:pt>
                <c:pt idx="69">
                  <c:v>127.83322327997283</c:v>
                </c:pt>
                <c:pt idx="70">
                  <c:v>118.96497216129615</c:v>
                </c:pt>
              </c:numCache>
            </c:numRef>
          </c:yVal>
          <c:smooth val="1"/>
          <c:extLst>
            <c:ext xmlns:c16="http://schemas.microsoft.com/office/drawing/2014/chart" uri="{C3380CC4-5D6E-409C-BE32-E72D297353CC}">
              <c16:uniqueId val="{00000003-99E1-44DE-9DAF-9529BD98EE71}"/>
            </c:ext>
          </c:extLst>
        </c:ser>
        <c:ser>
          <c:idx val="12"/>
          <c:order val="2"/>
          <c:tx>
            <c:strRef>
              <c:f>'New_deaths - Gompertz'!$I$7</c:f>
              <c:strCache>
                <c:ptCount val="1"/>
                <c:pt idx="0">
                  <c:v>Italy fit</c:v>
                </c:pt>
              </c:strCache>
            </c:strRef>
          </c:tx>
          <c:spPr>
            <a:ln w="9525" cap="rnd">
              <a:solidFill>
                <a:schemeClr val="accent1">
                  <a:lumMod val="80000"/>
                  <a:lumOff val="20000"/>
                </a:schemeClr>
              </a:solidFill>
              <a:prstDash val="dash"/>
              <a:round/>
            </a:ln>
            <a:effectLst/>
          </c:spPr>
          <c:marker>
            <c:symbol val="none"/>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Gompertz'!$I$8:$I$78</c:f>
              <c:numCache>
                <c:formatCode>0</c:formatCode>
                <c:ptCount val="71"/>
                <c:pt idx="0">
                  <c:v>6.3205348051973961E-2</c:v>
                </c:pt>
                <c:pt idx="1">
                  <c:v>0.153713273228547</c:v>
                </c:pt>
                <c:pt idx="2">
                  <c:v>0.34790022754838396</c:v>
                </c:pt>
                <c:pt idx="3">
                  <c:v>0.73672642755976148</c:v>
                </c:pt>
                <c:pt idx="4">
                  <c:v>1.4669509207807929</c:v>
                </c:pt>
                <c:pt idx="5">
                  <c:v>2.7591314291293076</c:v>
                </c:pt>
                <c:pt idx="6">
                  <c:v>4.9228691974474232</c:v>
                </c:pt>
                <c:pt idx="7">
                  <c:v>8.3648454791954201</c:v>
                </c:pt>
                <c:pt idx="8">
                  <c:v>13.585294405247957</c:v>
                </c:pt>
                <c:pt idx="9">
                  <c:v>21.159825816582277</c:v>
                </c:pt>
                <c:pt idx="10">
                  <c:v>31.705803623320474</c:v>
                </c:pt>
                <c:pt idx="11">
                  <c:v>45.83531857300116</c:v>
                </c:pt>
                <c:pt idx="12">
                  <c:v>64.099498858908859</c:v>
                </c:pt>
                <c:pt idx="13">
                  <c:v>86.930829011068809</c:v>
                </c:pt>
                <c:pt idx="14">
                  <c:v>114.59086007603618</c:v>
                </c:pt>
                <c:pt idx="15">
                  <c:v>147.13007361314388</c:v>
                </c:pt>
                <c:pt idx="16">
                  <c:v>184.36490709001899</c:v>
                </c:pt>
                <c:pt idx="17">
                  <c:v>225.87448431357512</c:v>
                </c:pt>
                <c:pt idx="18">
                  <c:v>271.01693871704697</c:v>
                </c:pt>
                <c:pt idx="19">
                  <c:v>318.96284634254442</c:v>
                </c:pt>
                <c:pt idx="20">
                  <c:v>368.74154147162812</c:v>
                </c:pt>
                <c:pt idx="21">
                  <c:v>419.2951375426091</c:v>
                </c:pt>
                <c:pt idx="22">
                  <c:v>469.5349173369911</c:v>
                </c:pt>
                <c:pt idx="23">
                  <c:v>518.39525976521475</c:v>
                </c:pt>
                <c:pt idx="24">
                  <c:v>564.8812335868538</c:v>
                </c:pt>
                <c:pt idx="25">
                  <c:v>608.10718928246297</c:v>
                </c:pt>
                <c:pt idx="26">
                  <c:v>647.32491896649879</c:v>
                </c:pt>
                <c:pt idx="27">
                  <c:v>681.94107715437724</c:v>
                </c:pt>
                <c:pt idx="28">
                  <c:v>711.5244646890377</c:v>
                </c:pt>
                <c:pt idx="29">
                  <c:v>735.80442971888488</c:v>
                </c:pt>
                <c:pt idx="30">
                  <c:v>754.662032017564</c:v>
                </c:pt>
                <c:pt idx="31">
                  <c:v>768.11577892770333</c:v>
                </c:pt>
                <c:pt idx="32">
                  <c:v>776.30371860984064</c:v>
                </c:pt>
                <c:pt idx="33">
                  <c:v>779.46352097599458</c:v>
                </c:pt>
                <c:pt idx="34">
                  <c:v>777.91193864702973</c:v>
                </c:pt>
                <c:pt idx="35">
                  <c:v>772.0247625338144</c:v>
                </c:pt>
                <c:pt idx="36">
                  <c:v>762.2181029189187</c:v>
                </c:pt>
                <c:pt idx="37">
                  <c:v>748.93156114299711</c:v>
                </c:pt>
                <c:pt idx="38">
                  <c:v>732.61362415713506</c:v>
                </c:pt>
                <c:pt idx="39">
                  <c:v>713.70942183355578</c:v>
                </c:pt>
                <c:pt idx="40">
                  <c:v>692.65083691504697</c:v>
                </c:pt>
                <c:pt idx="41">
                  <c:v>669.84884777464265</c:v>
                </c:pt>
                <c:pt idx="42">
                  <c:v>645.68791026258884</c:v>
                </c:pt>
                <c:pt idx="43">
                  <c:v>620.52214111268836</c:v>
                </c:pt>
                <c:pt idx="44">
                  <c:v>594.67304558972046</c:v>
                </c:pt>
                <c:pt idx="45">
                  <c:v>568.42853045897971</c:v>
                </c:pt>
                <c:pt idx="46">
                  <c:v>542.04295473740808</c:v>
                </c:pt>
                <c:pt idx="47">
                  <c:v>515.73799062870478</c:v>
                </c:pt>
                <c:pt idx="48">
                  <c:v>489.70409198526471</c:v>
                </c:pt>
                <c:pt idx="49">
                  <c:v>464.10239482433053</c:v>
                </c:pt>
                <c:pt idx="50">
                  <c:v>439.06690182933318</c:v>
                </c:pt>
                <c:pt idx="51">
                  <c:v>414.70682898399201</c:v>
                </c:pt>
                <c:pt idx="52">
                  <c:v>391.10901661342245</c:v>
                </c:pt>
                <c:pt idx="53">
                  <c:v>368.34032863273427</c:v>
                </c:pt>
                <c:pt idx="54">
                  <c:v>346.44998251253071</c:v>
                </c:pt>
                <c:pt idx="55">
                  <c:v>325.47176835522208</c:v>
                </c:pt>
                <c:pt idx="56">
                  <c:v>305.42612867047836</c:v>
                </c:pt>
                <c:pt idx="57">
                  <c:v>286.32208116472253</c:v>
                </c:pt>
                <c:pt idx="58">
                  <c:v>268.1589753879565</c:v>
                </c:pt>
                <c:pt idx="59">
                  <c:v>250.92808069908651</c:v>
                </c:pt>
                <c:pt idx="60">
                  <c:v>234.61400800352595</c:v>
                </c:pt>
                <c:pt idx="61">
                  <c:v>219.19597135369054</c:v>
                </c:pt>
                <c:pt idx="62">
                  <c:v>204.64889802983325</c:v>
                </c:pt>
                <c:pt idx="63">
                  <c:v>190.94439735352333</c:v>
                </c:pt>
                <c:pt idx="64">
                  <c:v>178.05159941801207</c:v>
                </c:pt>
                <c:pt idx="65">
                  <c:v>165.9378753094831</c:v>
                </c:pt>
                <c:pt idx="66">
                  <c:v>154.56945037503706</c:v>
                </c:pt>
                <c:pt idx="67">
                  <c:v>143.91192177749764</c:v>
                </c:pt>
                <c:pt idx="68">
                  <c:v>133.93069105293566</c:v>
                </c:pt>
                <c:pt idx="69">
                  <c:v>124.59132172508146</c:v>
                </c:pt>
                <c:pt idx="70">
                  <c:v>115.85983128695831</c:v>
                </c:pt>
              </c:numCache>
            </c:numRef>
          </c:yVal>
          <c:smooth val="1"/>
          <c:extLst>
            <c:ext xmlns:c16="http://schemas.microsoft.com/office/drawing/2014/chart" uri="{C3380CC4-5D6E-409C-BE32-E72D297353CC}">
              <c16:uniqueId val="{00000006-99E1-44DE-9DAF-9529BD98EE71}"/>
            </c:ext>
          </c:extLst>
        </c:ser>
        <c:ser>
          <c:idx val="6"/>
          <c:order val="6"/>
          <c:tx>
            <c:strRef>
              <c:f>'New_deaths - Gompertz'!$R$7</c:f>
              <c:strCache>
                <c:ptCount val="1"/>
                <c:pt idx="0">
                  <c:v>Lombardy fit</c:v>
                </c:pt>
              </c:strCache>
            </c:strRef>
          </c:tx>
          <c:spPr>
            <a:ln w="9525" cap="rnd">
              <a:solidFill>
                <a:srgbClr val="FF0000"/>
              </a:solidFill>
              <a:round/>
            </a:ln>
            <a:effectLst/>
          </c:spPr>
          <c:marker>
            <c:symbol val="none"/>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Gompertz'!$R$8:$R$78</c:f>
              <c:numCache>
                <c:formatCode>0</c:formatCode>
                <c:ptCount val="71"/>
                <c:pt idx="0">
                  <c:v>4.3646501534211436E-2</c:v>
                </c:pt>
                <c:pt idx="1">
                  <c:v>0.10923085776504002</c:v>
                </c:pt>
                <c:pt idx="2">
                  <c:v>0.25270107094293431</c:v>
                </c:pt>
                <c:pt idx="3">
                  <c:v>0.54377529757717846</c:v>
                </c:pt>
                <c:pt idx="4">
                  <c:v>1.0946018235870854</c:v>
                </c:pt>
                <c:pt idx="5">
                  <c:v>2.0720309690372081</c:v>
                </c:pt>
                <c:pt idx="6">
                  <c:v>3.7062910437651184</c:v>
                </c:pt>
                <c:pt idx="7">
                  <c:v>6.2924628587445195</c:v>
                </c:pt>
                <c:pt idx="8">
                  <c:v>10.181743527658423</c:v>
                </c:pt>
                <c:pt idx="9">
                  <c:v>15.761091301196869</c:v>
                </c:pt>
                <c:pt idx="10">
                  <c:v>23.422118244326349</c:v>
                </c:pt>
                <c:pt idx="11">
                  <c:v>33.522461891138924</c:v>
                </c:pt>
                <c:pt idx="12">
                  <c:v>46.344685721189649</c:v>
                </c:pt>
                <c:pt idx="13">
                  <c:v>62.05856011670965</c:v>
                </c:pt>
                <c:pt idx="14">
                  <c:v>80.69219011396153</c:v>
                </c:pt>
                <c:pt idx="15">
                  <c:v>102.11603478980638</c:v>
                </c:pt>
                <c:pt idx="16">
                  <c:v>126.04179375570924</c:v>
                </c:pt>
                <c:pt idx="17">
                  <c:v>152.03590458794037</c:v>
                </c:pt>
                <c:pt idx="18">
                  <c:v>179.54544517953056</c:v>
                </c:pt>
                <c:pt idx="19">
                  <c:v>207.93287281368862</c:v>
                </c:pt>
                <c:pt idx="20">
                  <c:v>236.51538681430901</c:v>
                </c:pt>
                <c:pt idx="21">
                  <c:v>264.60474162353086</c:v>
                </c:pt>
                <c:pt idx="22">
                  <c:v>291.54391549018692</c:v>
                </c:pt>
                <c:pt idx="23">
                  <c:v>316.73795457703864</c:v>
                </c:pt>
                <c:pt idx="24">
                  <c:v>339.6773584221167</c:v>
                </c:pt>
                <c:pt idx="25">
                  <c:v>359.95337964144903</c:v>
                </c:pt>
                <c:pt idx="26">
                  <c:v>377.26546050174329</c:v>
                </c:pt>
                <c:pt idx="27">
                  <c:v>391.4216589816549</c:v>
                </c:pt>
                <c:pt idx="28">
                  <c:v>402.33331234985843</c:v>
                </c:pt>
                <c:pt idx="29">
                  <c:v>410.00536691104543</c:v>
                </c:pt>
                <c:pt idx="30">
                  <c:v>414.52380874596173</c:v>
                </c:pt>
                <c:pt idx="31">
                  <c:v>416.0415106155757</c:v>
                </c:pt>
                <c:pt idx="32">
                  <c:v>414.76361250099683</c:v>
                </c:pt>
                <c:pt idx="33">
                  <c:v>410.93331876777142</c:v>
                </c:pt>
                <c:pt idx="34">
                  <c:v>404.81875566769469</c:v>
                </c:pt>
                <c:pt idx="35">
                  <c:v>396.701311034247</c:v>
                </c:pt>
                <c:pt idx="36">
                  <c:v>386.86568693114242</c:v>
                </c:pt>
                <c:pt idx="37">
                  <c:v>375.59174180557204</c:v>
                </c:pt>
                <c:pt idx="38">
                  <c:v>363.14808218078048</c:v>
                </c:pt>
                <c:pt idx="39">
                  <c:v>349.78728236039495</c:v>
                </c:pt>
                <c:pt idx="40">
                  <c:v>335.74255924178919</c:v>
                </c:pt>
                <c:pt idx="41">
                  <c:v>321.22570250663671</c:v>
                </c:pt>
                <c:pt idx="42">
                  <c:v>306.42605247328316</c:v>
                </c:pt>
                <c:pt idx="43">
                  <c:v>291.5103235131387</c:v>
                </c:pt>
                <c:pt idx="44">
                  <c:v>276.62308564278726</c:v>
                </c:pt>
                <c:pt idx="45">
                  <c:v>261.88773703818794</c:v>
                </c:pt>
                <c:pt idx="46">
                  <c:v>247.40782294498109</c:v>
                </c:pt>
                <c:pt idx="47">
                  <c:v>233.26857970467262</c:v>
                </c:pt>
                <c:pt idx="48">
                  <c:v>219.53860495091487</c:v>
                </c:pt>
                <c:pt idx="49">
                  <c:v>206.27157554626828</c:v>
                </c:pt>
                <c:pt idx="50">
                  <c:v>193.50795302449978</c:v>
                </c:pt>
                <c:pt idx="51">
                  <c:v>181.27663197120251</c:v>
                </c:pt>
                <c:pt idx="52">
                  <c:v>169.59649991942081</c:v>
                </c:pt>
                <c:pt idx="53">
                  <c:v>158.47788809694597</c:v>
                </c:pt>
                <c:pt idx="54">
                  <c:v>147.92390095948429</c:v>
                </c:pt>
                <c:pt idx="55">
                  <c:v>137.93161914113708</c:v>
                </c:pt>
                <c:pt idx="56">
                  <c:v>128.49317552457137</c:v>
                </c:pt>
                <c:pt idx="57">
                  <c:v>119.5967078443886</c:v>
                </c:pt>
                <c:pt idx="58">
                  <c:v>111.22719383555155</c:v>
                </c:pt>
                <c:pt idx="59">
                  <c:v>103.3671766452694</c:v>
                </c:pt>
                <c:pt idx="60">
                  <c:v>95.997389233651617</c:v>
                </c:pt>
                <c:pt idx="61">
                  <c:v>89.097286958963338</c:v>
                </c:pt>
                <c:pt idx="62">
                  <c:v>82.645497613286878</c:v>
                </c:pt>
                <c:pt idx="63">
                  <c:v>76.620197954710974</c:v>
                </c:pt>
                <c:pt idx="64">
                  <c:v>70.999425361738304</c:v>
                </c:pt>
                <c:pt idx="65">
                  <c:v>65.76133268440455</c:v>
                </c:pt>
                <c:pt idx="66">
                  <c:v>60.884393738665402</c:v>
                </c:pt>
                <c:pt idx="67">
                  <c:v>56.347566226768606</c:v>
                </c:pt>
                <c:pt idx="68">
                  <c:v>52.130418196675194</c:v>
                </c:pt>
                <c:pt idx="69">
                  <c:v>48.213223499620327</c:v>
                </c:pt>
                <c:pt idx="70">
                  <c:v>44.57703108132506</c:v>
                </c:pt>
              </c:numCache>
            </c:numRef>
          </c:yVal>
          <c:smooth val="1"/>
          <c:extLst>
            <c:ext xmlns:c16="http://schemas.microsoft.com/office/drawing/2014/chart" uri="{C3380CC4-5D6E-409C-BE32-E72D297353CC}">
              <c16:uniqueId val="{00000004-99E1-44DE-9DAF-9529BD98EE71}"/>
            </c:ext>
          </c:extLst>
        </c:ser>
        <c:ser>
          <c:idx val="10"/>
          <c:order val="10"/>
          <c:tx>
            <c:strRef>
              <c:f>'New_deaths - Gompertz'!$Z$7</c:f>
              <c:strCache>
                <c:ptCount val="1"/>
                <c:pt idx="0">
                  <c:v>rest of Italy fit</c:v>
                </c:pt>
              </c:strCache>
            </c:strRef>
          </c:tx>
          <c:spPr>
            <a:ln w="9525" cap="rnd">
              <a:solidFill>
                <a:schemeClr val="accent5">
                  <a:lumMod val="60000"/>
                </a:schemeClr>
              </a:solidFill>
              <a:round/>
            </a:ln>
            <a:effectLst/>
          </c:spPr>
          <c:marker>
            <c:symbol val="none"/>
          </c:marker>
          <c:xVal>
            <c:numRef>
              <c:f>'New_deaths - Gompertz'!$C$8:$C$78</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'New_deaths - Gompertz'!$Z$8:$Z$78</c:f>
              <c:numCache>
                <c:formatCode>0</c:formatCode>
                <c:ptCount val="71"/>
                <c:pt idx="0">
                  <c:v>1.1145430939251725E-2</c:v>
                </c:pt>
                <c:pt idx="1">
                  <c:v>2.8245351781181555E-2</c:v>
                </c:pt>
                <c:pt idx="2">
                  <c:v>6.6631831661844387E-2</c:v>
                </c:pt>
                <c:pt idx="3">
                  <c:v>0.14706918809258132</c:v>
                </c:pt>
                <c:pt idx="4">
                  <c:v>0.30516089999152957</c:v>
                </c:pt>
                <c:pt idx="5">
                  <c:v>0.59788580088180565</c:v>
                </c:pt>
                <c:pt idx="6">
                  <c:v>1.1106264350817983</c:v>
                </c:pt>
                <c:pt idx="7">
                  <c:v>1.9634938118454952</c:v>
                </c:pt>
                <c:pt idx="8">
                  <c:v>3.315403049938288</c:v>
                </c:pt>
                <c:pt idx="9">
                  <c:v>5.364292580270841</c:v>
                </c:pt>
                <c:pt idx="10">
                  <c:v>8.3421951706139961</c:v>
                </c:pt>
                <c:pt idx="11">
                  <c:v>12.504549790548987</c:v>
                </c:pt>
                <c:pt idx="12">
                  <c:v>18.114069069169783</c:v>
                </c:pt>
                <c:pt idx="13">
                  <c:v>25.420451413207179</c:v>
                </c:pt>
                <c:pt idx="14">
                  <c:v>34.638034002807146</c:v>
                </c:pt>
                <c:pt idx="15">
                  <c:v>45.923948315986451</c:v>
                </c:pt>
                <c:pt idx="16">
                  <c:v>59.359373920141245</c:v>
                </c:pt>
                <c:pt idx="17">
                  <c:v>74.9360994954978</c:v>
                </c:pt>
                <c:pt idx="18">
                  <c:v>92.549889439587531</c:v>
                </c:pt>
                <c:pt idx="19">
                  <c:v>112.00127002096166</c:v>
                </c:pt>
                <c:pt idx="20">
                  <c:v>133.00345363963038</c:v>
                </c:pt>
                <c:pt idx="21">
                  <c:v>155.19635329085938</c:v>
                </c:pt>
                <c:pt idx="22">
                  <c:v>178.16509616780613</c:v>
                </c:pt>
                <c:pt idx="23">
                  <c:v>201.46116611916855</c:v>
                </c:pt>
                <c:pt idx="24">
                  <c:v>224.62428098256927</c:v>
                </c:pt>
                <c:pt idx="25">
                  <c:v>247.2032980371591</c:v>
                </c:pt>
                <c:pt idx="26">
                  <c:v>268.77477425880215</c:v>
                </c:pt>
                <c:pt idx="27">
                  <c:v>288.95821810528804</c:v>
                </c:pt>
                <c:pt idx="28">
                  <c:v>307.42749336341325</c:v>
                </c:pt>
                <c:pt idx="29">
                  <c:v>323.91822423687375</c:v>
                </c:pt>
                <c:pt idx="30">
                  <c:v>338.23137219092649</c:v>
                </c:pt>
                <c:pt idx="31">
                  <c:v>350.23339316860086</c:v>
                </c:pt>
                <c:pt idx="32">
                  <c:v>359.85353624600867</c:v>
                </c:pt>
                <c:pt idx="33">
                  <c:v>367.0789189979933</c:v>
                </c:pt>
                <c:pt idx="34">
                  <c:v>371.94802417849007</c:v>
                </c:pt>
                <c:pt idx="35">
                  <c:v>374.54322280015964</c:v>
                </c:pt>
                <c:pt idx="36">
                  <c:v>374.98285641640683</c:v>
                </c:pt>
                <c:pt idx="37">
                  <c:v>373.41332081177052</c:v>
                </c:pt>
                <c:pt idx="38">
                  <c:v>370.00149624270756</c:v>
                </c:pt>
                <c:pt idx="39">
                  <c:v>364.92777475124683</c:v>
                </c:pt>
                <c:pt idx="40">
                  <c:v>358.37984896385694</c:v>
                </c:pt>
                <c:pt idx="41">
                  <c:v>350.54735276229616</c:v>
                </c:pt>
                <c:pt idx="42">
                  <c:v>341.61738384193148</c:v>
                </c:pt>
                <c:pt idx="43">
                  <c:v>331.77089153350579</c:v>
                </c:pt>
                <c:pt idx="44">
                  <c:v>321.17987941852391</c:v>
                </c:pt>
                <c:pt idx="45">
                  <c:v>310.0053496674978</c:v>
                </c:pt>
                <c:pt idx="46">
                  <c:v>298.39590283350043</c:v>
                </c:pt>
                <c:pt idx="47">
                  <c:v>286.48690114177043</c:v>
                </c:pt>
                <c:pt idx="48">
                  <c:v>274.40010332982831</c:v>
                </c:pt>
                <c:pt idx="49">
                  <c:v>262.24368320661273</c:v>
                </c:pt>
                <c:pt idx="50">
                  <c:v>250.11255095014815</c:v>
                </c:pt>
                <c:pt idx="51">
                  <c:v>238.0889046421452</c:v>
                </c:pt>
                <c:pt idx="52">
                  <c:v>226.24294877940724</c:v>
                </c:pt>
                <c:pt idx="53">
                  <c:v>214.63372586018141</c:v>
                </c:pt>
                <c:pt idx="54">
                  <c:v>203.31001616104112</c:v>
                </c:pt>
                <c:pt idx="55">
                  <c:v>192.31126919387179</c:v>
                </c:pt>
                <c:pt idx="56">
                  <c:v>181.66853788315214</c:v>
                </c:pt>
                <c:pt idx="57">
                  <c:v>171.4053931447983</c:v>
                </c:pt>
                <c:pt idx="58">
                  <c:v>161.5388022617835</c:v>
                </c:pt>
                <c:pt idx="59">
                  <c:v>152.07995926880494</c:v>
                </c:pt>
                <c:pt idx="60">
                  <c:v>143.03505953986942</c:v>
                </c:pt>
                <c:pt idx="61">
                  <c:v>134.40601399855731</c:v>
                </c:pt>
                <c:pt idx="62">
                  <c:v>126.19110092932166</c:v>
                </c:pt>
                <c:pt idx="63">
                  <c:v>118.38555534970804</c:v>
                </c:pt>
                <c:pt idx="64">
                  <c:v>110.9820973950962</c:v>
                </c:pt>
                <c:pt idx="65">
                  <c:v>103.97140225074088</c:v>
                </c:pt>
                <c:pt idx="66">
                  <c:v>97.342514914072282</c:v>
                </c:pt>
                <c:pt idx="67">
                  <c:v>91.083213548423771</c:v>
                </c:pt>
                <c:pt idx="68">
                  <c:v>85.180325453937016</c:v>
                </c:pt>
                <c:pt idx="69">
                  <c:v>79.619999780352501</c:v>
                </c:pt>
                <c:pt idx="70">
                  <c:v>74.387941079971085</c:v>
                </c:pt>
              </c:numCache>
            </c:numRef>
          </c:yVal>
          <c:smooth val="1"/>
          <c:extLst>
            <c:ext xmlns:c16="http://schemas.microsoft.com/office/drawing/2014/chart" uri="{C3380CC4-5D6E-409C-BE32-E72D297353CC}">
              <c16:uniqueId val="{00000005-99E1-44DE-9DAF-9529BD98EE71}"/>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Days from</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it-IT"/>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it-IT"/>
                  <a:t>Daily New Deaths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it-IT"/>
            </a:p>
          </c:txPr>
        </c:title>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'New_deaths - Gompertz'!$AE$14</c:f>
              <c:strCache>
                <c:ptCount val="1"/>
                <c:pt idx="0">
                  <c:v>R2</c:v>
                </c:pt>
              </c:strCache>
            </c:strRef>
          </c:tx>
          <c:spPr>
            <a:solidFill>
              <a:schemeClr val="accent1"/>
            </a:solidFill>
            <a:ln>
              <a:noFill/>
            </a:ln>
            <a:effectLst/>
          </c:spPr>
          <c:invertIfNegative val="0"/>
          <c:cat>
            <c:strLit>
              <c:ptCount val="1"/>
              <c:pt idx="0">
                <c:v>Italy sum</c:v>
              </c:pt>
            </c:strLit>
          </c:cat>
          <c:val>
            <c:numRef>
              <c:f>'New_deaths - Gompertz'!$AF$14</c:f>
              <c:numCache>
                <c:formatCode>0.0000</c:formatCode>
                <c:ptCount val="1"/>
                <c:pt idx="0">
                  <c:v>0.97361408595720977</c:v>
                </c:pt>
              </c:numCache>
            </c:numRef>
          </c:val>
          <c:extLst>
            <c:ext xmlns:c16="http://schemas.microsoft.com/office/drawing/2014/chart" uri="{C3380CC4-5D6E-409C-BE32-E72D297353CC}">
              <c16:uniqueId val="{00000000-9614-4605-B250-3CD275ABE471}"/>
            </c:ext>
          </c:extLst>
        </c:ser>
        <c:ser>
          <c:idx val="1"/>
          <c:order val="1"/>
          <c:tx>
            <c:strRef>
              <c:f>'New_deaths - Gompertz'!$AE$16</c:f>
              <c:strCache>
                <c:ptCount val="1"/>
                <c:pt idx="0">
                  <c:v>CI</c:v>
                </c:pt>
              </c:strCache>
            </c:strRef>
          </c:tx>
          <c:spPr>
            <a:solidFill>
              <a:schemeClr val="accent2"/>
            </a:solidFill>
            <a:ln>
              <a:noFill/>
            </a:ln>
            <a:effectLst/>
          </c:spPr>
          <c:invertIfNegative val="0"/>
          <c:cat>
            <c:strLit>
              <c:ptCount val="1"/>
              <c:pt idx="0">
                <c:v>Italy sum</c:v>
              </c:pt>
            </c:strLit>
          </c:cat>
          <c:val>
            <c:numRef>
              <c:f>'New_deaths - Gompertz'!$AF$16</c:f>
              <c:numCache>
                <c:formatCode>0</c:formatCode>
                <c:ptCount val="1"/>
                <c:pt idx="0">
                  <c:v>136.6794155810895</c:v>
                </c:pt>
              </c:numCache>
            </c:numRef>
          </c:val>
          <c:extLst>
            <c:ext xmlns:c16="http://schemas.microsoft.com/office/drawing/2014/chart" uri="{C3380CC4-5D6E-409C-BE32-E72D297353CC}">
              <c16:uniqueId val="{00000001-9614-4605-B250-3CD275ABE471}"/>
            </c:ext>
          </c:extLst>
        </c:ser>
        <c:ser>
          <c:idx val="2"/>
          <c:order val="2"/>
          <c:tx>
            <c:strRef>
              <c:f>'New_deaths - Gompertz'!$AE$17</c:f>
              <c:strCache>
                <c:ptCount val="1"/>
                <c:pt idx="0">
                  <c:v>Peak value</c:v>
                </c:pt>
              </c:strCache>
            </c:strRef>
          </c:tx>
          <c:spPr>
            <a:solidFill>
              <a:schemeClr val="accent3"/>
            </a:solidFill>
            <a:ln>
              <a:noFill/>
            </a:ln>
            <a:effectLst/>
          </c:spPr>
          <c:invertIfNegative val="0"/>
          <c:cat>
            <c:strLit>
              <c:ptCount val="1"/>
              <c:pt idx="0">
                <c:v>Italy sum</c:v>
              </c:pt>
            </c:strLit>
          </c:cat>
          <c:val>
            <c:numRef>
              <c:f>'New_deaths - Gompertz'!$AF$17</c:f>
              <c:numCache>
                <c:formatCode>0</c:formatCode>
                <c:ptCount val="1"/>
                <c:pt idx="0">
                  <c:v>778.01223776576467</c:v>
                </c:pt>
              </c:numCache>
            </c:numRef>
          </c:val>
          <c:extLst>
            <c:ext xmlns:c16="http://schemas.microsoft.com/office/drawing/2014/chart" uri="{C3380CC4-5D6E-409C-BE32-E72D297353CC}">
              <c16:uniqueId val="{00000002-9614-4605-B250-3CD275ABE471}"/>
            </c:ext>
          </c:extLst>
        </c:ser>
        <c:ser>
          <c:idx val="3"/>
          <c:order val="3"/>
          <c:tx>
            <c:strRef>
              <c:f>'New_deaths - Gompertz'!$AE$18</c:f>
              <c:strCache>
                <c:ptCount val="1"/>
                <c:pt idx="0">
                  <c:v>t-Peak</c:v>
                </c:pt>
              </c:strCache>
            </c:strRef>
          </c:tx>
          <c:spPr>
            <a:solidFill>
              <a:schemeClr val="accent4"/>
            </a:solidFill>
            <a:ln>
              <a:noFill/>
            </a:ln>
            <a:effectLst/>
          </c:spPr>
          <c:invertIfNegative val="0"/>
          <c:cat>
            <c:strLit>
              <c:ptCount val="1"/>
              <c:pt idx="0">
                <c:v>Italy sum</c:v>
              </c:pt>
            </c:strLit>
          </c:cat>
          <c:val>
            <c:numRef>
              <c:f>'New_deaths - Gompertz'!$AF$18</c:f>
              <c:numCache>
                <c:formatCode>[$-409]mmmm\ d\,\ yyyy;@</c:formatCode>
                <c:ptCount val="1"/>
                <c:pt idx="0">
                  <c:v>43918</c:v>
                </c:pt>
              </c:numCache>
            </c:numRef>
          </c:val>
          <c:extLst>
            <c:ext xmlns:c16="http://schemas.microsoft.com/office/drawing/2014/chart" uri="{C3380CC4-5D6E-409C-BE32-E72D297353CC}">
              <c16:uniqueId val="{00000003-9614-4605-B250-3CD275ABE471}"/>
            </c:ext>
          </c:extLst>
        </c:ser>
        <c:dLbls>
          <c:showLegendKey val="0"/>
          <c:showVal val="0"/>
          <c:showCatName val="0"/>
          <c:showSerName val="0"/>
          <c:showPercent val="0"/>
          <c:showBubbleSize val="0"/>
        </c:dLbls>
        <c:gapWidth val="6"/>
        <c:overlap val="100"/>
        <c:axId val="1221258896"/>
        <c:axId val="1221258256"/>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chemeClr val="tx2"/>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'New_deaths - Gompertz'!$AE$26</c:f>
              <c:strCache>
                <c:ptCount val="1"/>
                <c:pt idx="0">
                  <c:v>R2</c:v>
                </c:pt>
              </c:strCache>
            </c:strRef>
          </c:tx>
          <c:spPr>
            <a:solidFill>
              <a:schemeClr val="accent1"/>
            </a:solidFill>
            <a:ln>
              <a:noFill/>
            </a:ln>
            <a:effectLst/>
          </c:spPr>
          <c:invertIfNegative val="0"/>
          <c:cat>
            <c:strLit>
              <c:ptCount val="1"/>
              <c:pt idx="0">
                <c:v>Lombardy fit</c:v>
              </c:pt>
            </c:strLit>
          </c:cat>
          <c:val>
            <c:numRef>
              <c:f>'New_deaths - Gompertz'!$AF$26</c:f>
              <c:numCache>
                <c:formatCode>0.0000</c:formatCode>
                <c:ptCount val="1"/>
                <c:pt idx="0">
                  <c:v>0.93246322509116208</c:v>
                </c:pt>
              </c:numCache>
            </c:numRef>
          </c:val>
          <c:extLst>
            <c:ext xmlns:c16="http://schemas.microsoft.com/office/drawing/2014/chart" uri="{C3380CC4-5D6E-409C-BE32-E72D297353CC}">
              <c16:uniqueId val="{00000000-63C9-4C13-9204-0FF03DD5D144}"/>
            </c:ext>
          </c:extLst>
        </c:ser>
        <c:ser>
          <c:idx val="1"/>
          <c:order val="1"/>
          <c:tx>
            <c:strRef>
              <c:f>'New_deaths - Gompertz'!$AE$28</c:f>
              <c:strCache>
                <c:ptCount val="1"/>
                <c:pt idx="0">
                  <c:v>CI</c:v>
                </c:pt>
              </c:strCache>
            </c:strRef>
          </c:tx>
          <c:spPr>
            <a:solidFill>
              <a:schemeClr val="accent2"/>
            </a:solidFill>
            <a:ln>
              <a:noFill/>
            </a:ln>
            <a:effectLst/>
          </c:spPr>
          <c:invertIfNegative val="0"/>
          <c:cat>
            <c:strLit>
              <c:ptCount val="1"/>
              <c:pt idx="0">
                <c:v>Lombardy fit</c:v>
              </c:pt>
            </c:strLit>
          </c:cat>
          <c:val>
            <c:numRef>
              <c:f>'New_deaths - Gompertz'!$AF$28</c:f>
              <c:numCache>
                <c:formatCode>0</c:formatCode>
                <c:ptCount val="1"/>
                <c:pt idx="0">
                  <c:v>121.14968556877226</c:v>
                </c:pt>
              </c:numCache>
            </c:numRef>
          </c:val>
          <c:extLst>
            <c:ext xmlns:c16="http://schemas.microsoft.com/office/drawing/2014/chart" uri="{C3380CC4-5D6E-409C-BE32-E72D297353CC}">
              <c16:uniqueId val="{00000001-63C9-4C13-9204-0FF03DD5D144}"/>
            </c:ext>
          </c:extLst>
        </c:ser>
        <c:ser>
          <c:idx val="2"/>
          <c:order val="2"/>
          <c:tx>
            <c:strRef>
              <c:f>'New_deaths - Gompertz'!$AE$29</c:f>
              <c:strCache>
                <c:ptCount val="1"/>
                <c:pt idx="0">
                  <c:v>Peak value</c:v>
                </c:pt>
              </c:strCache>
            </c:strRef>
          </c:tx>
          <c:spPr>
            <a:solidFill>
              <a:schemeClr val="accent3"/>
            </a:solidFill>
            <a:ln>
              <a:noFill/>
            </a:ln>
            <a:effectLst/>
          </c:spPr>
          <c:invertIfNegative val="0"/>
          <c:cat>
            <c:strLit>
              <c:ptCount val="1"/>
              <c:pt idx="0">
                <c:v>Lombardy fit</c:v>
              </c:pt>
            </c:strLit>
          </c:cat>
          <c:val>
            <c:numRef>
              <c:f>'New_deaths - Gompertz'!$AF$29</c:f>
              <c:numCache>
                <c:formatCode>0</c:formatCode>
                <c:ptCount val="1"/>
                <c:pt idx="0">
                  <c:v>416.04271517640944</c:v>
                </c:pt>
              </c:numCache>
            </c:numRef>
          </c:val>
          <c:extLst>
            <c:ext xmlns:c16="http://schemas.microsoft.com/office/drawing/2014/chart" uri="{C3380CC4-5D6E-409C-BE32-E72D297353CC}">
              <c16:uniqueId val="{00000002-63C9-4C13-9204-0FF03DD5D144}"/>
            </c:ext>
          </c:extLst>
        </c:ser>
        <c:ser>
          <c:idx val="3"/>
          <c:order val="3"/>
          <c:tx>
            <c:strRef>
              <c:f>'New_deaths - Gompertz'!$AE$30</c:f>
              <c:strCache>
                <c:ptCount val="1"/>
                <c:pt idx="0">
                  <c:v>t-Peak</c:v>
                </c:pt>
              </c:strCache>
            </c:strRef>
          </c:tx>
          <c:spPr>
            <a:solidFill>
              <a:schemeClr val="accent4"/>
            </a:solidFill>
            <a:ln>
              <a:noFill/>
            </a:ln>
            <a:effectLst/>
          </c:spPr>
          <c:invertIfNegative val="0"/>
          <c:cat>
            <c:strLit>
              <c:ptCount val="1"/>
              <c:pt idx="0">
                <c:v>Lombardy fit</c:v>
              </c:pt>
            </c:strLit>
          </c:cat>
          <c:val>
            <c:numRef>
              <c:f>'New_deaths - Gompertz'!$AF$30</c:f>
              <c:numCache>
                <c:formatCode>[$-409]mmmm\ d\,\ yyyy;@</c:formatCode>
                <c:ptCount val="1"/>
                <c:pt idx="0">
                  <c:v>43916</c:v>
                </c:pt>
              </c:numCache>
            </c:numRef>
          </c:val>
          <c:extLst>
            <c:ext xmlns:c16="http://schemas.microsoft.com/office/drawing/2014/chart" uri="{C3380CC4-5D6E-409C-BE32-E72D297353CC}">
              <c16:uniqueId val="{00000003-63C9-4C13-9204-0FF03DD5D144}"/>
            </c:ext>
          </c:extLst>
        </c:ser>
        <c:dLbls>
          <c:showLegendKey val="0"/>
          <c:showVal val="0"/>
          <c:showCatName val="0"/>
          <c:showSerName val="0"/>
          <c:showPercent val="0"/>
          <c:showBubbleSize val="0"/>
        </c:dLbls>
        <c:gapWidth val="6"/>
        <c:overlap val="100"/>
        <c:axId val="1221258896"/>
        <c:axId val="1221258256"/>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FF0000"/>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'New_deaths - Gompertz'!$AE$38</c:f>
              <c:strCache>
                <c:ptCount val="1"/>
                <c:pt idx="0">
                  <c:v>R2</c:v>
                </c:pt>
              </c:strCache>
            </c:strRef>
          </c:tx>
          <c:spPr>
            <a:solidFill>
              <a:schemeClr val="accent1"/>
            </a:solidFill>
            <a:ln>
              <a:noFill/>
            </a:ln>
            <a:effectLst/>
          </c:spPr>
          <c:invertIfNegative val="0"/>
          <c:cat>
            <c:strLit>
              <c:ptCount val="1"/>
              <c:pt idx="0">
                <c:v>rest of Italy fit</c:v>
              </c:pt>
            </c:strLit>
          </c:cat>
          <c:val>
            <c:numRef>
              <c:f>'New_deaths - Gompertz'!$AF$38</c:f>
              <c:numCache>
                <c:formatCode>0.0000</c:formatCode>
                <c:ptCount val="1"/>
                <c:pt idx="0">
                  <c:v>0.97536626345874378</c:v>
                </c:pt>
              </c:numCache>
            </c:numRef>
          </c:val>
          <c:extLst>
            <c:ext xmlns:c16="http://schemas.microsoft.com/office/drawing/2014/chart" uri="{C3380CC4-5D6E-409C-BE32-E72D297353CC}">
              <c16:uniqueId val="{00000000-F564-4A86-BE8D-0B44633B5D0E}"/>
            </c:ext>
          </c:extLst>
        </c:ser>
        <c:ser>
          <c:idx val="1"/>
          <c:order val="1"/>
          <c:tx>
            <c:strRef>
              <c:f>'New_deaths - Gompertz'!$AE$40</c:f>
              <c:strCache>
                <c:ptCount val="1"/>
                <c:pt idx="0">
                  <c:v>CI</c:v>
                </c:pt>
              </c:strCache>
            </c:strRef>
          </c:tx>
          <c:spPr>
            <a:solidFill>
              <a:schemeClr val="accent2"/>
            </a:solidFill>
            <a:ln>
              <a:noFill/>
            </a:ln>
            <a:effectLst/>
          </c:spPr>
          <c:invertIfNegative val="0"/>
          <c:cat>
            <c:strLit>
              <c:ptCount val="1"/>
              <c:pt idx="0">
                <c:v>rest of Italy fit</c:v>
              </c:pt>
            </c:strLit>
          </c:cat>
          <c:val>
            <c:numRef>
              <c:f>'New_deaths - Gompertz'!$AF$40</c:f>
              <c:numCache>
                <c:formatCode>0</c:formatCode>
                <c:ptCount val="1"/>
                <c:pt idx="0">
                  <c:v>66.297304612676371</c:v>
                </c:pt>
              </c:numCache>
            </c:numRef>
          </c:val>
          <c:extLst>
            <c:ext xmlns:c16="http://schemas.microsoft.com/office/drawing/2014/chart" uri="{C3380CC4-5D6E-409C-BE32-E72D297353CC}">
              <c16:uniqueId val="{00000001-F564-4A86-BE8D-0B44633B5D0E}"/>
            </c:ext>
          </c:extLst>
        </c:ser>
        <c:ser>
          <c:idx val="2"/>
          <c:order val="2"/>
          <c:tx>
            <c:strRef>
              <c:f>'New_deaths - Gompertz'!$AE$41</c:f>
              <c:strCache>
                <c:ptCount val="1"/>
                <c:pt idx="0">
                  <c:v>Peak value</c:v>
                </c:pt>
              </c:strCache>
            </c:strRef>
          </c:tx>
          <c:spPr>
            <a:solidFill>
              <a:schemeClr val="accent3"/>
            </a:solidFill>
            <a:ln>
              <a:noFill/>
            </a:ln>
            <a:effectLst/>
          </c:spPr>
          <c:invertIfNegative val="0"/>
          <c:cat>
            <c:strLit>
              <c:ptCount val="1"/>
              <c:pt idx="0">
                <c:v>rest of Italy fit</c:v>
              </c:pt>
            </c:strLit>
          </c:cat>
          <c:val>
            <c:numRef>
              <c:f>'New_deaths - Gompertz'!$AF$41</c:f>
              <c:numCache>
                <c:formatCode>0</c:formatCode>
                <c:ptCount val="1"/>
                <c:pt idx="0">
                  <c:v>375.069139281736</c:v>
                </c:pt>
              </c:numCache>
            </c:numRef>
          </c:val>
          <c:extLst>
            <c:ext xmlns:c16="http://schemas.microsoft.com/office/drawing/2014/chart" uri="{C3380CC4-5D6E-409C-BE32-E72D297353CC}">
              <c16:uniqueId val="{00000002-F564-4A86-BE8D-0B44633B5D0E}"/>
            </c:ext>
          </c:extLst>
        </c:ser>
        <c:ser>
          <c:idx val="3"/>
          <c:order val="3"/>
          <c:tx>
            <c:strRef>
              <c:f>'New_deaths - Gompertz'!$AE$42</c:f>
              <c:strCache>
                <c:ptCount val="1"/>
                <c:pt idx="0">
                  <c:v>t-Peak</c:v>
                </c:pt>
              </c:strCache>
            </c:strRef>
          </c:tx>
          <c:spPr>
            <a:solidFill>
              <a:schemeClr val="accent4"/>
            </a:solidFill>
            <a:ln>
              <a:noFill/>
            </a:ln>
            <a:effectLst/>
          </c:spPr>
          <c:invertIfNegative val="0"/>
          <c:cat>
            <c:strLit>
              <c:ptCount val="1"/>
              <c:pt idx="0">
                <c:v>rest of Italy fit</c:v>
              </c:pt>
            </c:strLit>
          </c:cat>
          <c:val>
            <c:numRef>
              <c:f>'New_deaths - Gompertz'!$AF$42</c:f>
              <c:numCache>
                <c:formatCode>[$-409]mmmm\ d\,\ yyyy;@</c:formatCode>
                <c:ptCount val="1"/>
                <c:pt idx="0">
                  <c:v>43921</c:v>
                </c:pt>
              </c:numCache>
            </c:numRef>
          </c:val>
          <c:extLst>
            <c:ext xmlns:c16="http://schemas.microsoft.com/office/drawing/2014/chart" uri="{C3380CC4-5D6E-409C-BE32-E72D297353CC}">
              <c16:uniqueId val="{00000003-F564-4A86-BE8D-0B44633B5D0E}"/>
            </c:ext>
          </c:extLst>
        </c:ser>
        <c:dLbls>
          <c:showLegendKey val="0"/>
          <c:showVal val="0"/>
          <c:showCatName val="0"/>
          <c:showSerName val="0"/>
          <c:showPercent val="0"/>
          <c:showBubbleSize val="0"/>
        </c:dLbls>
        <c:gapWidth val="6"/>
        <c:overlap val="100"/>
        <c:axId val="1221258896"/>
        <c:axId val="1221258256"/>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00B050"/>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'New_deaths - Gompertz'!$AE$50</c:f>
              <c:strCache>
                <c:ptCount val="1"/>
                <c:pt idx="0">
                  <c:v>R2</c:v>
                </c:pt>
              </c:strCache>
            </c:strRef>
          </c:tx>
          <c:spPr>
            <a:solidFill>
              <a:schemeClr val="accent1"/>
            </a:solidFill>
            <a:ln>
              <a:noFill/>
            </a:ln>
            <a:effectLst/>
          </c:spPr>
          <c:invertIfNegative val="0"/>
          <c:cat>
            <c:strLit>
              <c:ptCount val="1"/>
              <c:pt idx="0">
                <c:v>Italy fit</c:v>
              </c:pt>
            </c:strLit>
          </c:cat>
          <c:val>
            <c:numRef>
              <c:f>'New_deaths - Gompertz'!$AF$50</c:f>
              <c:numCache>
                <c:formatCode>0.0000</c:formatCode>
                <c:ptCount val="1"/>
                <c:pt idx="0">
                  <c:v>0.97371219080756766</c:v>
                </c:pt>
              </c:numCache>
            </c:numRef>
          </c:val>
          <c:extLst>
            <c:ext xmlns:c16="http://schemas.microsoft.com/office/drawing/2014/chart" uri="{C3380CC4-5D6E-409C-BE32-E72D297353CC}">
              <c16:uniqueId val="{00000000-F926-42FB-8E4E-7A7C3C0566B3}"/>
            </c:ext>
          </c:extLst>
        </c:ser>
        <c:ser>
          <c:idx val="1"/>
          <c:order val="1"/>
          <c:tx>
            <c:strRef>
              <c:f>'New_deaths - Gompertz'!$AE$52</c:f>
              <c:strCache>
                <c:ptCount val="1"/>
                <c:pt idx="0">
                  <c:v>CI</c:v>
                </c:pt>
              </c:strCache>
            </c:strRef>
          </c:tx>
          <c:spPr>
            <a:solidFill>
              <a:schemeClr val="accent2"/>
            </a:solidFill>
            <a:ln>
              <a:noFill/>
            </a:ln>
            <a:effectLst/>
          </c:spPr>
          <c:invertIfNegative val="0"/>
          <c:cat>
            <c:strLit>
              <c:ptCount val="1"/>
              <c:pt idx="0">
                <c:v>Italy fit</c:v>
              </c:pt>
            </c:strLit>
          </c:cat>
          <c:val>
            <c:numRef>
              <c:f>'New_deaths - Gompertz'!$AF$52</c:f>
              <c:numCache>
                <c:formatCode>0</c:formatCode>
                <c:ptCount val="1"/>
                <c:pt idx="0">
                  <c:v>141.14229488875202</c:v>
                </c:pt>
              </c:numCache>
            </c:numRef>
          </c:val>
          <c:extLst>
            <c:ext xmlns:c16="http://schemas.microsoft.com/office/drawing/2014/chart" uri="{C3380CC4-5D6E-409C-BE32-E72D297353CC}">
              <c16:uniqueId val="{00000001-F926-42FB-8E4E-7A7C3C0566B3}"/>
            </c:ext>
          </c:extLst>
        </c:ser>
        <c:ser>
          <c:idx val="2"/>
          <c:order val="2"/>
          <c:tx>
            <c:strRef>
              <c:f>'New_deaths - Gompertz'!$AE$53</c:f>
              <c:strCache>
                <c:ptCount val="1"/>
                <c:pt idx="0">
                  <c:v>Peak value</c:v>
                </c:pt>
              </c:strCache>
            </c:strRef>
          </c:tx>
          <c:spPr>
            <a:solidFill>
              <a:schemeClr val="accent3"/>
            </a:solidFill>
            <a:ln>
              <a:noFill/>
            </a:ln>
            <a:effectLst/>
          </c:spPr>
          <c:invertIfNegative val="0"/>
          <c:cat>
            <c:strLit>
              <c:ptCount val="1"/>
              <c:pt idx="0">
                <c:v>Italy fit</c:v>
              </c:pt>
            </c:strLit>
          </c:cat>
          <c:val>
            <c:numRef>
              <c:f>'New_deaths - Gompertz'!$AF$53</c:f>
              <c:numCache>
                <c:formatCode>0</c:formatCode>
                <c:ptCount val="1"/>
                <c:pt idx="0">
                  <c:v>779.52271532134182</c:v>
                </c:pt>
              </c:numCache>
            </c:numRef>
          </c:val>
          <c:extLst>
            <c:ext xmlns:c16="http://schemas.microsoft.com/office/drawing/2014/chart" uri="{C3380CC4-5D6E-409C-BE32-E72D297353CC}">
              <c16:uniqueId val="{00000002-F926-42FB-8E4E-7A7C3C0566B3}"/>
            </c:ext>
          </c:extLst>
        </c:ser>
        <c:ser>
          <c:idx val="3"/>
          <c:order val="3"/>
          <c:tx>
            <c:strRef>
              <c:f>'New_deaths - Gompertz'!$AE$54</c:f>
              <c:strCache>
                <c:ptCount val="1"/>
                <c:pt idx="0">
                  <c:v>t-Peak</c:v>
                </c:pt>
              </c:strCache>
            </c:strRef>
          </c:tx>
          <c:spPr>
            <a:solidFill>
              <a:schemeClr val="accent4"/>
            </a:solidFill>
            <a:ln>
              <a:noFill/>
            </a:ln>
            <a:effectLst/>
          </c:spPr>
          <c:invertIfNegative val="0"/>
          <c:cat>
            <c:strLit>
              <c:ptCount val="1"/>
              <c:pt idx="0">
                <c:v>Italy fit</c:v>
              </c:pt>
            </c:strLit>
          </c:cat>
          <c:val>
            <c:numRef>
              <c:f>'New_deaths - Gompertz'!$AF$54</c:f>
              <c:numCache>
                <c:formatCode>[$-409]mmmm\ d\,\ yyyy;@</c:formatCode>
                <c:ptCount val="1"/>
                <c:pt idx="0">
                  <c:v>43918</c:v>
                </c:pt>
              </c:numCache>
            </c:numRef>
          </c:val>
          <c:extLst>
            <c:ext xmlns:c16="http://schemas.microsoft.com/office/drawing/2014/chart" uri="{C3380CC4-5D6E-409C-BE32-E72D297353CC}">
              <c16:uniqueId val="{00000003-F926-42FB-8E4E-7A7C3C0566B3}"/>
            </c:ext>
          </c:extLst>
        </c:ser>
        <c:dLbls>
          <c:showLegendKey val="0"/>
          <c:showVal val="0"/>
          <c:showCatName val="0"/>
          <c:showSerName val="0"/>
          <c:showPercent val="0"/>
          <c:showBubbleSize val="0"/>
        </c:dLbls>
        <c:gapWidth val="6"/>
        <c:overlap val="100"/>
        <c:axId val="1221258896"/>
        <c:axId val="1221258256"/>
      </c:barChart>
      <c:catAx>
        <c:axId val="1221258896"/>
        <c:scaling>
          <c:orientation val="minMax"/>
        </c:scaling>
        <c:delete val="1"/>
        <c:axPos val="l"/>
        <c:numFmt formatCode="General" sourceLinked="1"/>
        <c:majorTickMark val="none"/>
        <c:minorTickMark val="none"/>
        <c:tickLblPos val="nextTo"/>
        <c:crossAx val="1221258256"/>
        <c:crosses val="autoZero"/>
        <c:auto val="1"/>
        <c:lblAlgn val="ctr"/>
        <c:lblOffset val="100"/>
        <c:noMultiLvlLbl val="0"/>
      </c:catAx>
      <c:valAx>
        <c:axId val="1221258256"/>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21258896"/>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0070C0"/>
                </a:solidFill>
                <a:latin typeface="+mn-lt"/>
                <a:ea typeface="+mn-ea"/>
                <a:cs typeface="+mn-cs"/>
              </a:defRPr>
            </a:pPr>
            <a:endParaRPr lang="it-IT"/>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26</xdr:col>
      <xdr:colOff>226324</xdr:colOff>
      <xdr:row>6</xdr:row>
      <xdr:rowOff>124695</xdr:rowOff>
    </xdr:from>
    <xdr:to>
      <xdr:col>37</xdr:col>
      <xdr:colOff>317764</xdr:colOff>
      <xdr:row>35</xdr:row>
      <xdr:rowOff>89366</xdr:rowOff>
    </xdr:to>
    <xdr:grpSp>
      <xdr:nvGrpSpPr>
        <xdr:cNvPr id="18" name="Gruppo 17">
          <a:extLst>
            <a:ext uri="{FF2B5EF4-FFF2-40B4-BE49-F238E27FC236}">
              <a16:creationId xmlns:a16="http://schemas.microsoft.com/office/drawing/2014/main" id="{FFFBC6BA-ED3A-4608-B163-D971E7E2FD60}"/>
            </a:ext>
          </a:extLst>
        </xdr:cNvPr>
        <xdr:cNvGrpSpPr/>
      </xdr:nvGrpSpPr>
      <xdr:grpSpPr>
        <a:xfrm>
          <a:off x="24014579" y="1579422"/>
          <a:ext cx="6935585" cy="5492635"/>
          <a:chOff x="20493897" y="1434353"/>
          <a:chExt cx="6940476" cy="5496709"/>
        </a:xfrm>
      </xdr:grpSpPr>
      <xdr:grpSp>
        <xdr:nvGrpSpPr>
          <xdr:cNvPr id="20" name="Gruppo 19">
            <a:extLst>
              <a:ext uri="{FF2B5EF4-FFF2-40B4-BE49-F238E27FC236}">
                <a16:creationId xmlns:a16="http://schemas.microsoft.com/office/drawing/2014/main" id="{D91AE2C4-84F3-4CC7-B2EE-B12DCA61AB8C}"/>
              </a:ext>
            </a:extLst>
          </xdr:cNvPr>
          <xdr:cNvGrpSpPr/>
        </xdr:nvGrpSpPr>
        <xdr:grpSpPr>
          <a:xfrm>
            <a:off x="20493897" y="1434353"/>
            <a:ext cx="6940476" cy="5496709"/>
            <a:chOff x="20493897" y="1434353"/>
            <a:chExt cx="6940476" cy="5496709"/>
          </a:xfrm>
        </xdr:grpSpPr>
        <xdr:graphicFrame macro="">
          <xdr:nvGraphicFramePr>
            <xdr:cNvPr id="27" name="Grafico 26">
              <a:extLst>
                <a:ext uri="{FF2B5EF4-FFF2-40B4-BE49-F238E27FC236}">
                  <a16:creationId xmlns:a16="http://schemas.microsoft.com/office/drawing/2014/main" id="{38B53E38-C601-499A-9729-C04B6CFC3C31}"/>
                </a:ext>
              </a:extLst>
            </xdr:cNvPr>
            <xdr:cNvGraphicFramePr/>
          </xdr:nvGraphicFramePr>
          <xdr:xfrm>
            <a:off x="20493897" y="1434353"/>
            <a:ext cx="6940476" cy="549670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23" name="Grafico 22">
              <a:extLst>
                <a:ext uri="{FF2B5EF4-FFF2-40B4-BE49-F238E27FC236}">
                  <a16:creationId xmlns:a16="http://schemas.microsoft.com/office/drawing/2014/main" id="{0773C989-B32E-45DF-88F2-56558ADFBF4E}"/>
                </a:ext>
              </a:extLst>
            </xdr:cNvPr>
            <xdr:cNvGraphicFramePr>
              <a:graphicFrameLocks/>
            </xdr:cNvGraphicFramePr>
          </xdr:nvGraphicFramePr>
          <xdr:xfrm>
            <a:off x="21332638" y="2342029"/>
            <a:ext cx="1567600" cy="86060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4" name="Grafico 23">
              <a:extLst>
                <a:ext uri="{FF2B5EF4-FFF2-40B4-BE49-F238E27FC236}">
                  <a16:creationId xmlns:a16="http://schemas.microsoft.com/office/drawing/2014/main" id="{CE59E760-D0BE-4F09-91BF-D748A2E71E66}"/>
                </a:ext>
              </a:extLst>
            </xdr:cNvPr>
            <xdr:cNvGraphicFramePr>
              <a:graphicFrameLocks/>
            </xdr:cNvGraphicFramePr>
          </xdr:nvGraphicFramePr>
          <xdr:xfrm>
            <a:off x="21218337" y="3556746"/>
            <a:ext cx="1640035" cy="1044658"/>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5" name="Grafico 24">
              <a:extLst>
                <a:ext uri="{FF2B5EF4-FFF2-40B4-BE49-F238E27FC236}">
                  <a16:creationId xmlns:a16="http://schemas.microsoft.com/office/drawing/2014/main" id="{DE365169-5442-450D-828E-476836958949}"/>
                </a:ext>
              </a:extLst>
            </xdr:cNvPr>
            <xdr:cNvGraphicFramePr>
              <a:graphicFrameLocks/>
            </xdr:cNvGraphicFramePr>
          </xdr:nvGraphicFramePr>
          <xdr:xfrm>
            <a:off x="25664550" y="2749218"/>
            <a:ext cx="1559001" cy="1008562"/>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6" name="Grafico 25">
              <a:extLst>
                <a:ext uri="{FF2B5EF4-FFF2-40B4-BE49-F238E27FC236}">
                  <a16:creationId xmlns:a16="http://schemas.microsoft.com/office/drawing/2014/main" id="{6D44ABFB-C9D6-4020-B288-E2FF692DE5E9}"/>
                </a:ext>
              </a:extLst>
            </xdr:cNvPr>
            <xdr:cNvGraphicFramePr>
              <a:graphicFrameLocks/>
            </xdr:cNvGraphicFramePr>
          </xdr:nvGraphicFramePr>
          <xdr:xfrm>
            <a:off x="24269546" y="5622085"/>
            <a:ext cx="1549082" cy="882114"/>
          </xdr:xfrm>
          <a:graphic>
            <a:graphicData uri="http://schemas.openxmlformats.org/drawingml/2006/chart">
              <c:chart xmlns:c="http://schemas.openxmlformats.org/drawingml/2006/chart" xmlns:r="http://schemas.openxmlformats.org/officeDocument/2006/relationships" r:id="rId5"/>
            </a:graphicData>
          </a:graphic>
        </xdr:graphicFrame>
      </xdr:grpSp>
      <xdr:sp macro="" textlink="$B$8">
        <xdr:nvSpPr>
          <xdr:cNvPr id="21" name="CasellaDiTesto 20">
            <a:extLst>
              <a:ext uri="{FF2B5EF4-FFF2-40B4-BE49-F238E27FC236}">
                <a16:creationId xmlns:a16="http://schemas.microsoft.com/office/drawing/2014/main" id="{67614E17-2C01-4AAA-9E0E-C8EAA83955DF}"/>
              </a:ext>
            </a:extLst>
          </xdr:cNvPr>
          <xdr:cNvSpPr txBox="1"/>
        </xdr:nvSpPr>
        <xdr:spPr>
          <a:xfrm>
            <a:off x="23756471" y="6571130"/>
            <a:ext cx="558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C125EDB-9073-485E-BAFC-FBF7176CAECD}" type="TxLink">
              <a:rPr lang="en-US" sz="1100" b="0" i="0" u="none" strike="noStrike">
                <a:solidFill>
                  <a:srgbClr val="000000"/>
                </a:solidFill>
                <a:latin typeface="Calibri"/>
                <a:cs typeface="Calibri"/>
              </a:rPr>
              <a:pPr/>
              <a:t>24-feb</a:t>
            </a:fld>
            <a:endParaRPr lang="it-IT" sz="1100"/>
          </a:p>
        </xdr:txBody>
      </xdr:sp>
    </xdr:grpSp>
    <xdr:clientData/>
  </xdr:twoCellAnchor>
  <xdr:oneCellAnchor>
    <xdr:from>
      <xdr:col>7</xdr:col>
      <xdr:colOff>0</xdr:colOff>
      <xdr:row>2</xdr:row>
      <xdr:rowOff>0</xdr:rowOff>
    </xdr:from>
    <xdr:ext cx="1745672" cy="955964"/>
    <mc:AlternateContent xmlns:mc="http://schemas.openxmlformats.org/markup-compatibility/2006">
      <mc:Choice xmlns:a14="http://schemas.microsoft.com/office/drawing/2010/main" Requires="a14">
        <xdr:sp macro="" textlink="">
          <xdr:nvSpPr>
            <xdr:cNvPr id="30" name="CasellaDiTesto 29">
              <a:extLst>
                <a:ext uri="{FF2B5EF4-FFF2-40B4-BE49-F238E27FC236}">
                  <a16:creationId xmlns:a16="http://schemas.microsoft.com/office/drawing/2014/main" id="{85D63674-AC64-4D08-9E23-264FE1D33133}"/>
                </a:ext>
              </a:extLst>
            </xdr:cNvPr>
            <xdr:cNvSpPr txBox="1"/>
          </xdr:nvSpPr>
          <xdr:spPr>
            <a:xfrm>
              <a:off x="7232073" y="484909"/>
              <a:ext cx="1745672"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𝑦</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𝐾</m:t>
                    </m:r>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 </m:t>
                            </m:r>
                            <m:box>
                              <m:boxPr>
                                <m:ctrlPr>
                                  <a:rPr lang="it-IT" sz="1100" b="0" i="1">
                                    <a:solidFill>
                                      <a:schemeClr val="tx1"/>
                                    </a:solidFill>
                                    <a:effectLst/>
                                    <a:latin typeface="Cambria Math" panose="02040503050406030204" pitchFamily="18" charset="0"/>
                                    <a:ea typeface="+mn-ea"/>
                                    <a:cs typeface="+mn-cs"/>
                                  </a:rPr>
                                </m:ctrlPr>
                              </m:boxPr>
                              <m:e>
                                <m:argPr>
                                  <m:argSz m:val="-1"/>
                                </m:argPr>
                                <m:f>
                                  <m:fPr>
                                    <m:ctrlPr>
                                      <a:rPr lang="it-IT" sz="1100" b="0"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𝑡</m:t>
                                    </m:r>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0</m:t>
                                        </m:r>
                                      </m:sub>
                                    </m:sSub>
                                  </m:num>
                                  <m:den>
                                    <m:r>
                                      <a:rPr lang="it-IT" sz="1100" b="0" i="1">
                                        <a:solidFill>
                                          <a:schemeClr val="tx1"/>
                                        </a:solidFill>
                                        <a:effectLst/>
                                        <a:latin typeface="Cambria Math" panose="02040503050406030204" pitchFamily="18" charset="0"/>
                                        <a:ea typeface="+mn-ea"/>
                                        <a:cs typeface="+mn-cs"/>
                                      </a:rPr>
                                      <m:t>𝑤</m:t>
                                    </m:r>
                                  </m:den>
                                </m:f>
                              </m:e>
                            </m:box>
                          </m:sup>
                        </m:sSup>
                      </m:sup>
                    </m:sSup>
                  </m:oMath>
                </m:oMathPara>
              </a14:m>
              <a:endParaRPr lang="it-IT" sz="1100" b="0" i="1">
                <a:solidFill>
                  <a:schemeClr val="tx1"/>
                </a:solidFill>
                <a:effectLst/>
                <a:latin typeface="Cambria Math" panose="02040503050406030204" pitchFamily="18" charset="0"/>
                <a:ea typeface="+mn-ea"/>
                <a:cs typeface="+mn-cs"/>
              </a:endParaRPr>
            </a:p>
          </xdr:txBody>
        </xdr:sp>
      </mc:Choice>
      <mc:Fallback>
        <xdr:sp macro="" textlink="">
          <xdr:nvSpPr>
            <xdr:cNvPr id="30" name="CasellaDiTesto 29">
              <a:extLst>
                <a:ext uri="{FF2B5EF4-FFF2-40B4-BE49-F238E27FC236}">
                  <a16:creationId xmlns:a16="http://schemas.microsoft.com/office/drawing/2014/main" id="{85D63674-AC64-4D08-9E23-264FE1D33133}"/>
                </a:ext>
              </a:extLst>
            </xdr:cNvPr>
            <xdr:cNvSpPr txBox="1"/>
          </xdr:nvSpPr>
          <xdr:spPr>
            <a:xfrm>
              <a:off x="7232073" y="484909"/>
              <a:ext cx="1745672"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r>
                <a:rPr lang="it-IT" sz="1100" b="0" i="0">
                  <a:solidFill>
                    <a:schemeClr val="tx1"/>
                  </a:solidFill>
                  <a:effectLst/>
                  <a:latin typeface="Cambria Math" panose="02040503050406030204" pitchFamily="18" charset="0"/>
                  <a:ea typeface="+mn-ea"/>
                  <a:cs typeface="+mn-cs"/>
                </a:rPr>
                <a:t>𝑦=𝐾∙𝑒^(−𝑒^(− □(64&amp;(𝑡−𝑡_0)/𝑤)) )</a:t>
              </a:r>
              <a:endParaRPr lang="it-IT" sz="1100" b="0" i="1">
                <a:solidFill>
                  <a:schemeClr val="tx1"/>
                </a:solidFill>
                <a:effectLst/>
                <a:latin typeface="Cambria Math" panose="02040503050406030204" pitchFamily="18" charset="0"/>
                <a:ea typeface="+mn-ea"/>
                <a:cs typeface="+mn-cs"/>
              </a:endParaRPr>
            </a:p>
          </xdr:txBody>
        </xdr:sp>
      </mc:Fallback>
    </mc:AlternateContent>
    <xdr:clientData/>
  </xdr:oneCellAnchor>
  <xdr:oneCellAnchor>
    <xdr:from>
      <xdr:col>35</xdr:col>
      <xdr:colOff>110837</xdr:colOff>
      <xdr:row>28</xdr:row>
      <xdr:rowOff>13854</xdr:rowOff>
    </xdr:from>
    <xdr:ext cx="1385454" cy="955964"/>
    <mc:AlternateContent xmlns:mc="http://schemas.openxmlformats.org/markup-compatibility/2006">
      <mc:Choice xmlns:a14="http://schemas.microsoft.com/office/drawing/2010/main" Requires="a14">
        <xdr:sp macro="" textlink="">
          <xdr:nvSpPr>
            <xdr:cNvPr id="31" name="CasellaDiTesto 30">
              <a:extLst>
                <a:ext uri="{FF2B5EF4-FFF2-40B4-BE49-F238E27FC236}">
                  <a16:creationId xmlns:a16="http://schemas.microsoft.com/office/drawing/2014/main" id="{81B4A456-A940-4230-AE20-7454ABDDFEF2}"/>
                </a:ext>
              </a:extLst>
            </xdr:cNvPr>
            <xdr:cNvSpPr txBox="1"/>
          </xdr:nvSpPr>
          <xdr:spPr>
            <a:xfrm>
              <a:off x="29524037" y="5735781"/>
              <a:ext cx="1385454"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𝑦</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𝐾</m:t>
                    </m:r>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 </m:t>
                            </m:r>
                            <m:box>
                              <m:boxPr>
                                <m:ctrlPr>
                                  <a:rPr lang="it-IT" sz="1100" b="0" i="1">
                                    <a:solidFill>
                                      <a:schemeClr val="tx1"/>
                                    </a:solidFill>
                                    <a:effectLst/>
                                    <a:latin typeface="Cambria Math" panose="02040503050406030204" pitchFamily="18" charset="0"/>
                                    <a:ea typeface="+mn-ea"/>
                                    <a:cs typeface="+mn-cs"/>
                                  </a:rPr>
                                </m:ctrlPr>
                              </m:boxPr>
                              <m:e>
                                <m:argPr>
                                  <m:argSz m:val="-1"/>
                                </m:argPr>
                                <m:f>
                                  <m:fPr>
                                    <m:ctrlPr>
                                      <a:rPr lang="it-IT" sz="1100" b="0"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𝑡</m:t>
                                    </m:r>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0</m:t>
                                        </m:r>
                                      </m:sub>
                                    </m:sSub>
                                  </m:num>
                                  <m:den>
                                    <m:r>
                                      <a:rPr lang="it-IT" sz="1100" b="0" i="1">
                                        <a:solidFill>
                                          <a:schemeClr val="tx1"/>
                                        </a:solidFill>
                                        <a:effectLst/>
                                        <a:latin typeface="Cambria Math" panose="02040503050406030204" pitchFamily="18" charset="0"/>
                                        <a:ea typeface="+mn-ea"/>
                                        <a:cs typeface="+mn-cs"/>
                                      </a:rPr>
                                      <m:t>𝑤</m:t>
                                    </m:r>
                                  </m:den>
                                </m:f>
                              </m:e>
                            </m:box>
                          </m:sup>
                        </m:sSup>
                      </m:sup>
                    </m:sSup>
                  </m:oMath>
                </m:oMathPara>
              </a14:m>
              <a:endParaRPr lang="it-IT" sz="1100" b="0" i="1">
                <a:solidFill>
                  <a:schemeClr val="tx1"/>
                </a:solidFill>
                <a:effectLst/>
                <a:latin typeface="Cambria Math" panose="02040503050406030204" pitchFamily="18" charset="0"/>
                <a:ea typeface="+mn-ea"/>
                <a:cs typeface="+mn-cs"/>
              </a:endParaRPr>
            </a:p>
          </xdr:txBody>
        </xdr:sp>
      </mc:Choice>
      <mc:Fallback>
        <xdr:sp macro="" textlink="">
          <xdr:nvSpPr>
            <xdr:cNvPr id="31" name="CasellaDiTesto 30">
              <a:extLst>
                <a:ext uri="{FF2B5EF4-FFF2-40B4-BE49-F238E27FC236}">
                  <a16:creationId xmlns:a16="http://schemas.microsoft.com/office/drawing/2014/main" id="{81B4A456-A940-4230-AE20-7454ABDDFEF2}"/>
                </a:ext>
              </a:extLst>
            </xdr:cNvPr>
            <xdr:cNvSpPr txBox="1"/>
          </xdr:nvSpPr>
          <xdr:spPr>
            <a:xfrm>
              <a:off x="29524037" y="5735781"/>
              <a:ext cx="1385454"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r>
                <a:rPr lang="it-IT" sz="1100" b="0" i="0">
                  <a:solidFill>
                    <a:schemeClr val="tx1"/>
                  </a:solidFill>
                  <a:effectLst/>
                  <a:latin typeface="Cambria Math" panose="02040503050406030204" pitchFamily="18" charset="0"/>
                  <a:ea typeface="+mn-ea"/>
                  <a:cs typeface="+mn-cs"/>
                </a:rPr>
                <a:t>𝑦=𝐾∙𝑒^(−𝑒^(− □(64&amp;(𝑡−𝑡_0)/𝑤)) )</a:t>
              </a:r>
              <a:endParaRPr lang="it-IT" sz="1100" b="0" i="1">
                <a:solidFill>
                  <a:schemeClr val="tx1"/>
                </a:solidFill>
                <a:effectLst/>
                <a:latin typeface="Cambria Math" panose="02040503050406030204" pitchFamily="18" charset="0"/>
                <a:ea typeface="+mn-ea"/>
                <a:cs typeface="+mn-cs"/>
              </a:endParaRPr>
            </a:p>
          </xdr:txBody>
        </xdr:sp>
      </mc:Fallback>
    </mc:AlternateContent>
    <xdr:clientData/>
  </xdr:oneCellAnchor>
</xdr:wsDr>
</file>

<file path=xl/drawings/drawing2.xml><?xml version="1.0" encoding="utf-8"?>
<c:userShapes xmlns:c="http://schemas.openxmlformats.org/drawingml/2006/chart">
  <cdr:relSizeAnchor xmlns:cdr="http://schemas.openxmlformats.org/drawingml/2006/chartDrawing">
    <cdr:from>
      <cdr:x>0.58374</cdr:x>
      <cdr:y>0.96376</cdr:y>
    </cdr:from>
    <cdr:to>
      <cdr:x>0.70904</cdr:x>
      <cdr:y>1</cdr:y>
    </cdr:to>
    <cdr:sp macro="" textlink="">
      <cdr:nvSpPr>
        <cdr:cNvPr id="4" name="CasellaDiTesto 3">
          <a:extLst xmlns:a="http://schemas.openxmlformats.org/drawingml/2006/main">
            <a:ext uri="{FF2B5EF4-FFF2-40B4-BE49-F238E27FC236}">
              <a16:creationId xmlns:a16="http://schemas.microsoft.com/office/drawing/2014/main" id="{9E257084-BCAB-4780-BA04-59B70F3F6E24}"/>
            </a:ext>
          </a:extLst>
        </cdr:cNvPr>
        <cdr:cNvSpPr txBox="1"/>
      </cdr:nvSpPr>
      <cdr:spPr>
        <a:xfrm xmlns:a="http://schemas.openxmlformats.org/drawingml/2006/main">
          <a:off x="4051467" y="5280210"/>
          <a:ext cx="869576" cy="19856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it-IT" sz="1100"/>
        </a:p>
      </cdr:txBody>
    </cdr:sp>
  </cdr:relSizeAnchor>
</c:userShapes>
</file>

<file path=xl/drawings/drawing3.xml><?xml version="1.0" encoding="utf-8"?>
<xdr:wsDr xmlns:xdr="http://schemas.openxmlformats.org/drawingml/2006/spreadsheetDrawing" xmlns:a="http://schemas.openxmlformats.org/drawingml/2006/main">
  <xdr:twoCellAnchor>
    <xdr:from>
      <xdr:col>32</xdr:col>
      <xdr:colOff>7620</xdr:colOff>
      <xdr:row>6</xdr:row>
      <xdr:rowOff>16627</xdr:rowOff>
    </xdr:from>
    <xdr:to>
      <xdr:col>43</xdr:col>
      <xdr:colOff>318654</xdr:colOff>
      <xdr:row>39</xdr:row>
      <xdr:rowOff>33943</xdr:rowOff>
    </xdr:to>
    <xdr:grpSp>
      <xdr:nvGrpSpPr>
        <xdr:cNvPr id="3" name="Gruppo 2">
          <a:extLst>
            <a:ext uri="{FF2B5EF4-FFF2-40B4-BE49-F238E27FC236}">
              <a16:creationId xmlns:a16="http://schemas.microsoft.com/office/drawing/2014/main" id="{2A923A13-5722-45E4-933B-FDA5184B5B53}"/>
            </a:ext>
          </a:extLst>
        </xdr:cNvPr>
        <xdr:cNvGrpSpPr/>
      </xdr:nvGrpSpPr>
      <xdr:grpSpPr>
        <a:xfrm>
          <a:off x="40158093" y="1471354"/>
          <a:ext cx="7778634" cy="6334989"/>
          <a:chOff x="40169502" y="1307545"/>
          <a:chExt cx="7559040" cy="6283645"/>
        </a:xfrm>
      </xdr:grpSpPr>
      <xdr:grpSp>
        <xdr:nvGrpSpPr>
          <xdr:cNvPr id="4" name="Gruppo 3">
            <a:extLst>
              <a:ext uri="{FF2B5EF4-FFF2-40B4-BE49-F238E27FC236}">
                <a16:creationId xmlns:a16="http://schemas.microsoft.com/office/drawing/2014/main" id="{A66DF0D5-8484-470A-A4B0-F15CDD57AC0C}"/>
              </a:ext>
            </a:extLst>
          </xdr:cNvPr>
          <xdr:cNvGrpSpPr/>
        </xdr:nvGrpSpPr>
        <xdr:grpSpPr>
          <a:xfrm>
            <a:off x="40169502" y="1307545"/>
            <a:ext cx="7559040" cy="6283645"/>
            <a:chOff x="37737506" y="1312027"/>
            <a:chExt cx="7559040" cy="6450773"/>
          </a:xfrm>
        </xdr:grpSpPr>
        <xdr:graphicFrame macro="">
          <xdr:nvGraphicFramePr>
            <xdr:cNvPr id="6" name="Grafico 5">
              <a:extLst>
                <a:ext uri="{FF2B5EF4-FFF2-40B4-BE49-F238E27FC236}">
                  <a16:creationId xmlns:a16="http://schemas.microsoft.com/office/drawing/2014/main" id="{8FF4F991-6874-4C08-B19A-3786024D64FD}"/>
                </a:ext>
              </a:extLst>
            </xdr:cNvPr>
            <xdr:cNvGraphicFramePr>
              <a:graphicFrameLocks/>
            </xdr:cNvGraphicFramePr>
          </xdr:nvGraphicFramePr>
          <xdr:xfrm>
            <a:off x="37737506" y="1312027"/>
            <a:ext cx="7559040" cy="645077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Grafico 6">
              <a:extLst>
                <a:ext uri="{FF2B5EF4-FFF2-40B4-BE49-F238E27FC236}">
                  <a16:creationId xmlns:a16="http://schemas.microsoft.com/office/drawing/2014/main" id="{3D4669AE-F3D9-4BDD-8B7C-C5E6BDC2701F}"/>
                </a:ext>
              </a:extLst>
            </xdr:cNvPr>
            <xdr:cNvGraphicFramePr/>
          </xdr:nvGraphicFramePr>
          <xdr:xfrm>
            <a:off x="38443396" y="3490222"/>
            <a:ext cx="1558636" cy="124097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Grafico 7">
              <a:extLst>
                <a:ext uri="{FF2B5EF4-FFF2-40B4-BE49-F238E27FC236}">
                  <a16:creationId xmlns:a16="http://schemas.microsoft.com/office/drawing/2014/main" id="{1ACF5C08-C333-440C-8111-3647859328FA}"/>
                </a:ext>
              </a:extLst>
            </xdr:cNvPr>
            <xdr:cNvGraphicFramePr>
              <a:graphicFrameLocks/>
            </xdr:cNvGraphicFramePr>
          </xdr:nvGraphicFramePr>
          <xdr:xfrm>
            <a:off x="42149486" y="2188029"/>
            <a:ext cx="1550037" cy="1244794"/>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9" name="Grafico 8">
              <a:extLst>
                <a:ext uri="{FF2B5EF4-FFF2-40B4-BE49-F238E27FC236}">
                  <a16:creationId xmlns:a16="http://schemas.microsoft.com/office/drawing/2014/main" id="{2511B37C-27D8-46E8-ACE8-818C7EBDB139}"/>
                </a:ext>
              </a:extLst>
            </xdr:cNvPr>
            <xdr:cNvGraphicFramePr>
              <a:graphicFrameLocks/>
            </xdr:cNvGraphicFramePr>
          </xdr:nvGraphicFramePr>
          <xdr:xfrm>
            <a:off x="42163339" y="3576452"/>
            <a:ext cx="1549082" cy="1239846"/>
          </xdr:xfrm>
          <a:graphic>
            <a:graphicData uri="http://schemas.openxmlformats.org/drawingml/2006/chart">
              <c:chart xmlns:c="http://schemas.openxmlformats.org/drawingml/2006/chart" xmlns:r="http://schemas.openxmlformats.org/officeDocument/2006/relationships" r:id="rId4"/>
            </a:graphicData>
          </a:graphic>
        </xdr:graphicFrame>
      </xdr:grpSp>
      <xdr:graphicFrame macro="">
        <xdr:nvGraphicFramePr>
          <xdr:cNvPr id="5" name="Grafico 4">
            <a:extLst>
              <a:ext uri="{FF2B5EF4-FFF2-40B4-BE49-F238E27FC236}">
                <a16:creationId xmlns:a16="http://schemas.microsoft.com/office/drawing/2014/main" id="{08E80AC9-CCE3-4C8A-A9F9-6FD9A575FAEB}"/>
              </a:ext>
            </a:extLst>
          </xdr:cNvPr>
          <xdr:cNvGraphicFramePr>
            <a:graphicFrameLocks/>
          </xdr:cNvGraphicFramePr>
        </xdr:nvGraphicFramePr>
        <xdr:xfrm>
          <a:off x="41327294" y="2106706"/>
          <a:ext cx="1558636" cy="1203051"/>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oneCellAnchor>
    <xdr:from>
      <xdr:col>5</xdr:col>
      <xdr:colOff>0</xdr:colOff>
      <xdr:row>2</xdr:row>
      <xdr:rowOff>0</xdr:rowOff>
    </xdr:from>
    <xdr:ext cx="1745672" cy="955964"/>
    <mc:AlternateContent xmlns:mc="http://schemas.openxmlformats.org/markup-compatibility/2006">
      <mc:Choice xmlns:a14="http://schemas.microsoft.com/office/drawing/2010/main" Requires="a14">
        <xdr:sp macro="" textlink="">
          <xdr:nvSpPr>
            <xdr:cNvPr id="11" name="CasellaDiTesto 10">
              <a:extLst>
                <a:ext uri="{FF2B5EF4-FFF2-40B4-BE49-F238E27FC236}">
                  <a16:creationId xmlns:a16="http://schemas.microsoft.com/office/drawing/2014/main" id="{1DA2B986-8FD6-4DD2-9DFE-D7A7AC122B4B}"/>
                </a:ext>
              </a:extLst>
            </xdr:cNvPr>
            <xdr:cNvSpPr txBox="1"/>
          </xdr:nvSpPr>
          <xdr:spPr>
            <a:xfrm>
              <a:off x="4946073" y="484909"/>
              <a:ext cx="1745672"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𝐶𝑑𝑓</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𝐾</m:t>
                    </m:r>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 </m:t>
                            </m:r>
                            <m:box>
                              <m:boxPr>
                                <m:ctrlPr>
                                  <a:rPr lang="it-IT" sz="1100" b="0" i="1">
                                    <a:solidFill>
                                      <a:schemeClr val="tx1"/>
                                    </a:solidFill>
                                    <a:effectLst/>
                                    <a:latin typeface="Cambria Math" panose="02040503050406030204" pitchFamily="18" charset="0"/>
                                    <a:ea typeface="+mn-ea"/>
                                    <a:cs typeface="+mn-cs"/>
                                  </a:rPr>
                                </m:ctrlPr>
                              </m:boxPr>
                              <m:e>
                                <m:argPr>
                                  <m:argSz m:val="-1"/>
                                </m:argPr>
                                <m:f>
                                  <m:fPr>
                                    <m:ctrlPr>
                                      <a:rPr lang="it-IT" sz="1100" b="0"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𝑡</m:t>
                                    </m:r>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0</m:t>
                                        </m:r>
                                      </m:sub>
                                    </m:sSub>
                                  </m:num>
                                  <m:den>
                                    <m:r>
                                      <a:rPr lang="it-IT" sz="1100" b="0" i="1">
                                        <a:solidFill>
                                          <a:schemeClr val="tx1"/>
                                        </a:solidFill>
                                        <a:effectLst/>
                                        <a:latin typeface="Cambria Math" panose="02040503050406030204" pitchFamily="18" charset="0"/>
                                        <a:ea typeface="+mn-ea"/>
                                        <a:cs typeface="+mn-cs"/>
                                      </a:rPr>
                                      <m:t>𝑤</m:t>
                                    </m:r>
                                  </m:den>
                                </m:f>
                              </m:e>
                            </m:box>
                          </m:sup>
                        </m:sSup>
                      </m:sup>
                    </m:sSup>
                  </m:oMath>
                </m:oMathPara>
              </a14:m>
              <a:endParaRPr lang="it-IT" sz="1100" b="0" i="1">
                <a:solidFill>
                  <a:schemeClr val="tx1"/>
                </a:solidFill>
                <a:effectLst/>
                <a:latin typeface="Cambria Math" panose="02040503050406030204" pitchFamily="18" charset="0"/>
                <a:ea typeface="+mn-ea"/>
                <a:cs typeface="+mn-cs"/>
              </a:endParaRPr>
            </a:p>
          </xdr:txBody>
        </xdr:sp>
      </mc:Choice>
      <mc:Fallback>
        <xdr:sp macro="" textlink="">
          <xdr:nvSpPr>
            <xdr:cNvPr id="11" name="CasellaDiTesto 10">
              <a:extLst>
                <a:ext uri="{FF2B5EF4-FFF2-40B4-BE49-F238E27FC236}">
                  <a16:creationId xmlns:a16="http://schemas.microsoft.com/office/drawing/2014/main" id="{1DA2B986-8FD6-4DD2-9DFE-D7A7AC122B4B}"/>
                </a:ext>
              </a:extLst>
            </xdr:cNvPr>
            <xdr:cNvSpPr txBox="1"/>
          </xdr:nvSpPr>
          <xdr:spPr>
            <a:xfrm>
              <a:off x="4946073" y="484909"/>
              <a:ext cx="1745672"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r>
                <a:rPr lang="it-IT" sz="1100" b="0" i="0">
                  <a:solidFill>
                    <a:schemeClr val="tx1"/>
                  </a:solidFill>
                  <a:effectLst/>
                  <a:latin typeface="Cambria Math" panose="02040503050406030204" pitchFamily="18" charset="0"/>
                  <a:ea typeface="+mn-ea"/>
                  <a:cs typeface="+mn-cs"/>
                </a:rPr>
                <a:t>𝐶𝑑𝑓=𝐾∙𝑒^(−𝑒^(− □(64&amp;(𝑡−𝑡_0)/𝑤)) )</a:t>
              </a:r>
              <a:endParaRPr lang="it-IT" sz="1100" b="0" i="1">
                <a:solidFill>
                  <a:schemeClr val="tx1"/>
                </a:solidFill>
                <a:effectLst/>
                <a:latin typeface="Cambria Math" panose="02040503050406030204" pitchFamily="18" charset="0"/>
                <a:ea typeface="+mn-ea"/>
                <a:cs typeface="+mn-cs"/>
              </a:endParaRPr>
            </a:p>
          </xdr:txBody>
        </xdr:sp>
      </mc:Fallback>
    </mc:AlternateContent>
    <xdr:clientData/>
  </xdr:oneCellAnchor>
  <xdr:oneCellAnchor>
    <xdr:from>
      <xdr:col>41</xdr:col>
      <xdr:colOff>166262</xdr:colOff>
      <xdr:row>30</xdr:row>
      <xdr:rowOff>69273</xdr:rowOff>
    </xdr:from>
    <xdr:ext cx="1288472" cy="1108365"/>
    <mc:AlternateContent xmlns:mc="http://schemas.openxmlformats.org/markup-compatibility/2006">
      <mc:Choice xmlns:a14="http://schemas.microsoft.com/office/drawing/2010/main" Requires="a14">
        <xdr:sp macro="" textlink="">
          <xdr:nvSpPr>
            <xdr:cNvPr id="12" name="CasellaDiTesto 11">
              <a:extLst>
                <a:ext uri="{FF2B5EF4-FFF2-40B4-BE49-F238E27FC236}">
                  <a16:creationId xmlns:a16="http://schemas.microsoft.com/office/drawing/2014/main" id="{AE1253F4-0951-4C32-94B3-EB58D48B4316}"/>
                </a:ext>
              </a:extLst>
            </xdr:cNvPr>
            <xdr:cNvSpPr txBox="1"/>
          </xdr:nvSpPr>
          <xdr:spPr>
            <a:xfrm>
              <a:off x="46565135" y="6165273"/>
              <a:ext cx="1288472" cy="110836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endParaRPr lang="it-IT" sz="1100" b="0" i="1">
                <a:solidFill>
                  <a:schemeClr val="tx1"/>
                </a:solidFill>
                <a:effectLst/>
                <a:latin typeface="Cambria Math" panose="02040503050406030204" pitchFamily="18" charset="0"/>
                <a:ea typeface="+mn-ea"/>
                <a:cs typeface="+mn-cs"/>
              </a:endParaRPr>
            </a:p>
            <a:p>
              <a:pPr marL="0" indent="0"/>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𝐶𝑑𝑓</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𝐾</m:t>
                    </m:r>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 </m:t>
                            </m:r>
                            <m:box>
                              <m:boxPr>
                                <m:ctrlPr>
                                  <a:rPr lang="it-IT" sz="1100" b="0" i="1">
                                    <a:solidFill>
                                      <a:schemeClr val="tx1"/>
                                    </a:solidFill>
                                    <a:effectLst/>
                                    <a:latin typeface="Cambria Math" panose="02040503050406030204" pitchFamily="18" charset="0"/>
                                    <a:ea typeface="+mn-ea"/>
                                    <a:cs typeface="+mn-cs"/>
                                  </a:rPr>
                                </m:ctrlPr>
                              </m:boxPr>
                              <m:e>
                                <m:argPr>
                                  <m:argSz m:val="-1"/>
                                </m:argPr>
                                <m:f>
                                  <m:fPr>
                                    <m:ctrlPr>
                                      <a:rPr lang="it-IT" sz="1100" b="0"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𝑡</m:t>
                                    </m:r>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0</m:t>
                                        </m:r>
                                      </m:sub>
                                    </m:sSub>
                                  </m:num>
                                  <m:den>
                                    <m:r>
                                      <a:rPr lang="it-IT" sz="1100" b="0" i="1">
                                        <a:solidFill>
                                          <a:schemeClr val="tx1"/>
                                        </a:solidFill>
                                        <a:effectLst/>
                                        <a:latin typeface="Cambria Math" panose="02040503050406030204" pitchFamily="18" charset="0"/>
                                        <a:ea typeface="+mn-ea"/>
                                        <a:cs typeface="+mn-cs"/>
                                      </a:rPr>
                                      <m:t>𝑤</m:t>
                                    </m:r>
                                  </m:den>
                                </m:f>
                              </m:e>
                            </m:box>
                          </m:sup>
                        </m:sSup>
                      </m:sup>
                    </m:sSup>
                  </m:oMath>
                </m:oMathPara>
              </a14:m>
              <a:endParaRPr lang="it-IT" sz="1100" b="0" i="1">
                <a:solidFill>
                  <a:schemeClr val="tx1"/>
                </a:solidFill>
                <a:effectLst/>
                <a:latin typeface="Cambria Math" panose="02040503050406030204" pitchFamily="18" charset="0"/>
                <a:ea typeface="+mn-ea"/>
                <a:cs typeface="+mn-cs"/>
              </a:endParaRPr>
            </a:p>
          </xdr:txBody>
        </xdr:sp>
      </mc:Choice>
      <mc:Fallback>
        <xdr:sp macro="" textlink="">
          <xdr:nvSpPr>
            <xdr:cNvPr id="12" name="CasellaDiTesto 11">
              <a:extLst>
                <a:ext uri="{FF2B5EF4-FFF2-40B4-BE49-F238E27FC236}">
                  <a16:creationId xmlns:a16="http://schemas.microsoft.com/office/drawing/2014/main" id="{AE1253F4-0951-4C32-94B3-EB58D48B4316}"/>
                </a:ext>
              </a:extLst>
            </xdr:cNvPr>
            <xdr:cNvSpPr txBox="1"/>
          </xdr:nvSpPr>
          <xdr:spPr>
            <a:xfrm>
              <a:off x="46565135" y="6165273"/>
              <a:ext cx="1288472" cy="110836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endParaRPr lang="it-IT" sz="1100" b="0" i="1">
                <a:solidFill>
                  <a:schemeClr val="tx1"/>
                </a:solidFill>
                <a:effectLst/>
                <a:latin typeface="Cambria Math" panose="02040503050406030204" pitchFamily="18" charset="0"/>
                <a:ea typeface="+mn-ea"/>
                <a:cs typeface="+mn-cs"/>
              </a:endParaRPr>
            </a:p>
            <a:p>
              <a:pPr marL="0" indent="0"/>
              <a:r>
                <a:rPr lang="it-IT" sz="1100" b="0" i="0">
                  <a:solidFill>
                    <a:schemeClr val="tx1"/>
                  </a:solidFill>
                  <a:effectLst/>
                  <a:latin typeface="Cambria Math" panose="02040503050406030204" pitchFamily="18" charset="0"/>
                  <a:ea typeface="+mn-ea"/>
                  <a:cs typeface="+mn-cs"/>
                </a:rPr>
                <a:t>𝐶𝑑𝑓=𝐾∙𝑒^(−𝑒^(− □(64&amp;(𝑡−𝑡_0)/𝑤)) )</a:t>
              </a:r>
              <a:endParaRPr lang="it-IT" sz="1100" b="0" i="1">
                <a:solidFill>
                  <a:schemeClr val="tx1"/>
                </a:solidFill>
                <a:effectLst/>
                <a:latin typeface="Cambria Math" panose="02040503050406030204" pitchFamily="18" charset="0"/>
                <a:ea typeface="+mn-ea"/>
                <a:cs typeface="+mn-cs"/>
              </a:endParaRPr>
            </a:p>
          </xdr:txBody>
        </xdr:sp>
      </mc:Fallback>
    </mc:AlternateContent>
    <xdr:clientData/>
  </xdr:oneCellAnchor>
  <xdr:oneCellAnchor>
    <xdr:from>
      <xdr:col>40</xdr:col>
      <xdr:colOff>595745</xdr:colOff>
      <xdr:row>9</xdr:row>
      <xdr:rowOff>13854</xdr:rowOff>
    </xdr:from>
    <xdr:ext cx="1468582" cy="955964"/>
    <mc:AlternateContent xmlns:mc="http://schemas.openxmlformats.org/markup-compatibility/2006">
      <mc:Choice xmlns:a14="http://schemas.microsoft.com/office/drawing/2010/main" Requires="a14">
        <xdr:sp macro="" textlink="">
          <xdr:nvSpPr>
            <xdr:cNvPr id="13" name="CasellaDiTesto 12">
              <a:extLst>
                <a:ext uri="{FF2B5EF4-FFF2-40B4-BE49-F238E27FC236}">
                  <a16:creationId xmlns:a16="http://schemas.microsoft.com/office/drawing/2014/main" id="{D2FA8C6A-378B-42A7-B868-7A175D5BC80C}"/>
                </a:ext>
              </a:extLst>
            </xdr:cNvPr>
            <xdr:cNvSpPr txBox="1"/>
          </xdr:nvSpPr>
          <xdr:spPr>
            <a:xfrm>
              <a:off x="46385018" y="2202872"/>
              <a:ext cx="1468582"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endParaRPr lang="it-IT" sz="1100" b="0" i="1">
                <a:solidFill>
                  <a:schemeClr val="tx1"/>
                </a:solidFill>
                <a:effectLst/>
                <a:latin typeface="Cambria Math" panose="02040503050406030204" pitchFamily="18" charset="0"/>
                <a:ea typeface="+mn-ea"/>
                <a:cs typeface="+mn-cs"/>
              </a:endParaRPr>
            </a:p>
            <a:p>
              <a:pPr marL="0" indent="0"/>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𝑃𝑑𝑓</m:t>
                    </m:r>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𝑤</m:t>
                        </m:r>
                      </m:e>
                      <m:sup>
                        <m:r>
                          <a:rPr lang="it-IT" sz="1100" b="0" i="1">
                            <a:solidFill>
                              <a:schemeClr val="tx1"/>
                            </a:solidFill>
                            <a:effectLst/>
                            <a:latin typeface="Cambria Math" panose="02040503050406030204" pitchFamily="18" charset="0"/>
                            <a:ea typeface="+mn-ea"/>
                            <a:cs typeface="+mn-cs"/>
                          </a:rPr>
                          <m:t>−1</m:t>
                        </m:r>
                      </m:sup>
                    </m:sSup>
                    <m:r>
                      <a:rPr lang="it-IT" sz="1100" b="0" i="1">
                        <a:solidFill>
                          <a:schemeClr val="tx1"/>
                        </a:solidFill>
                        <a:effectLst/>
                        <a:latin typeface="Cambria Math" panose="02040503050406030204" pitchFamily="18" charset="0"/>
                        <a:ea typeface="+mn-ea"/>
                        <a:cs typeface="+mn-cs"/>
                      </a:rPr>
                      <m:t>𝐶𝑑𝑓</m:t>
                    </m:r>
                    <m:r>
                      <a:rPr lang="it-IT" sz="1100" b="0" i="1">
                        <a:solidFill>
                          <a:schemeClr val="tx1"/>
                        </a:solidFill>
                        <a:effectLst/>
                        <a:latin typeface="Cambria Math" panose="02040503050406030204" pitchFamily="18" charset="0"/>
                        <a:ea typeface="+mn-ea"/>
                        <a:cs typeface="+mn-cs"/>
                      </a:rPr>
                      <m:t>∙</m:t>
                    </m:r>
                    <m:sSup>
                      <m:sSupPr>
                        <m:ctrlPr>
                          <a:rPr lang="it-IT" sz="1100" b="0" i="1">
                            <a:solidFill>
                              <a:schemeClr val="dk1"/>
                            </a:solidFill>
                            <a:effectLst/>
                            <a:latin typeface="+mn-lt"/>
                            <a:ea typeface="+mn-ea"/>
                            <a:cs typeface="+mn-cs"/>
                          </a:rPr>
                        </m:ctrlPr>
                      </m:sSupPr>
                      <m:e>
                        <m:r>
                          <a:rPr lang="it-IT" sz="1100" b="0" i="1">
                            <a:solidFill>
                              <a:schemeClr val="dk1"/>
                            </a:solidFill>
                            <a:effectLst/>
                            <a:latin typeface="+mn-lt"/>
                            <a:ea typeface="+mn-ea"/>
                            <a:cs typeface="+mn-cs"/>
                          </a:rPr>
                          <m:t>𝑒</m:t>
                        </m:r>
                      </m:e>
                      <m:sup>
                        <m:r>
                          <a:rPr lang="it-IT" sz="1100" b="0" i="1">
                            <a:solidFill>
                              <a:schemeClr val="dk1"/>
                            </a:solidFill>
                            <a:effectLst/>
                            <a:latin typeface="+mn-lt"/>
                            <a:ea typeface="+mn-ea"/>
                            <a:cs typeface="+mn-cs"/>
                          </a:rPr>
                          <m:t>− </m:t>
                        </m:r>
                        <m:box>
                          <m:boxPr>
                            <m:ctrlPr>
                              <a:rPr lang="it-IT" sz="1100" b="0" i="1">
                                <a:solidFill>
                                  <a:schemeClr val="dk1"/>
                                </a:solidFill>
                                <a:effectLst/>
                                <a:latin typeface="+mn-lt"/>
                                <a:ea typeface="+mn-ea"/>
                                <a:cs typeface="+mn-cs"/>
                              </a:rPr>
                            </m:ctrlPr>
                          </m:boxPr>
                          <m:e>
                            <m:argPr>
                              <m:argSz m:val="-1"/>
                            </m:argPr>
                            <m:f>
                              <m:fPr>
                                <m:ctrlPr>
                                  <a:rPr lang="it-IT" sz="1100" b="0" i="1">
                                    <a:solidFill>
                                      <a:schemeClr val="dk1"/>
                                    </a:solidFill>
                                    <a:effectLst/>
                                    <a:latin typeface="+mn-lt"/>
                                    <a:ea typeface="+mn-ea"/>
                                    <a:cs typeface="+mn-cs"/>
                                  </a:rPr>
                                </m:ctrlPr>
                              </m:fPr>
                              <m:num>
                                <m:r>
                                  <a:rPr lang="it-IT" sz="1100" b="0" i="1">
                                    <a:solidFill>
                                      <a:schemeClr val="dk1"/>
                                    </a:solidFill>
                                    <a:effectLst/>
                                    <a:latin typeface="+mn-lt"/>
                                    <a:ea typeface="+mn-ea"/>
                                    <a:cs typeface="+mn-cs"/>
                                  </a:rPr>
                                  <m:t>𝑡</m:t>
                                </m:r>
                                <m:r>
                                  <a:rPr lang="it-IT" sz="1100" b="0" i="1">
                                    <a:solidFill>
                                      <a:schemeClr val="dk1"/>
                                    </a:solidFill>
                                    <a:effectLst/>
                                    <a:latin typeface="+mn-lt"/>
                                    <a:ea typeface="+mn-ea"/>
                                    <a:cs typeface="+mn-cs"/>
                                  </a:rPr>
                                  <m:t>−</m:t>
                                </m:r>
                                <m:sSub>
                                  <m:sSubPr>
                                    <m:ctrlPr>
                                      <a:rPr lang="it-IT" sz="1100" b="0" i="1">
                                        <a:solidFill>
                                          <a:schemeClr val="dk1"/>
                                        </a:solidFill>
                                        <a:effectLst/>
                                        <a:latin typeface="+mn-lt"/>
                                        <a:ea typeface="+mn-ea"/>
                                        <a:cs typeface="+mn-cs"/>
                                      </a:rPr>
                                    </m:ctrlPr>
                                  </m:sSubPr>
                                  <m:e>
                                    <m:r>
                                      <a:rPr lang="it-IT" sz="1100" b="0" i="1">
                                        <a:solidFill>
                                          <a:schemeClr val="dk1"/>
                                        </a:solidFill>
                                        <a:effectLst/>
                                        <a:latin typeface="+mn-lt"/>
                                        <a:ea typeface="+mn-ea"/>
                                        <a:cs typeface="+mn-cs"/>
                                      </a:rPr>
                                      <m:t>𝑡</m:t>
                                    </m:r>
                                  </m:e>
                                  <m:sub>
                                    <m:r>
                                      <a:rPr lang="it-IT" sz="1100" b="0" i="1">
                                        <a:solidFill>
                                          <a:schemeClr val="dk1"/>
                                        </a:solidFill>
                                        <a:effectLst/>
                                        <a:latin typeface="+mn-lt"/>
                                        <a:ea typeface="+mn-ea"/>
                                        <a:cs typeface="+mn-cs"/>
                                      </a:rPr>
                                      <m:t>0</m:t>
                                    </m:r>
                                  </m:sub>
                                </m:sSub>
                              </m:num>
                              <m:den>
                                <m:r>
                                  <a:rPr lang="it-IT" sz="1100" b="0" i="1">
                                    <a:solidFill>
                                      <a:schemeClr val="dk1"/>
                                    </a:solidFill>
                                    <a:effectLst/>
                                    <a:latin typeface="+mn-lt"/>
                                    <a:ea typeface="+mn-ea"/>
                                    <a:cs typeface="+mn-cs"/>
                                  </a:rPr>
                                  <m:t>𝑤</m:t>
                                </m:r>
                              </m:den>
                            </m:f>
                          </m:e>
                        </m:box>
                      </m:sup>
                    </m:sSup>
                  </m:oMath>
                </m:oMathPara>
              </a14:m>
              <a:endParaRPr lang="it-IT" sz="1100" b="0" i="1">
                <a:solidFill>
                  <a:schemeClr val="tx1"/>
                </a:solidFill>
                <a:effectLst/>
                <a:latin typeface="Cambria Math" panose="02040503050406030204" pitchFamily="18" charset="0"/>
                <a:ea typeface="+mn-ea"/>
                <a:cs typeface="+mn-cs"/>
              </a:endParaRPr>
            </a:p>
          </xdr:txBody>
        </xdr:sp>
      </mc:Choice>
      <mc:Fallback>
        <xdr:sp macro="" textlink="">
          <xdr:nvSpPr>
            <xdr:cNvPr id="13" name="CasellaDiTesto 12">
              <a:extLst>
                <a:ext uri="{FF2B5EF4-FFF2-40B4-BE49-F238E27FC236}">
                  <a16:creationId xmlns:a16="http://schemas.microsoft.com/office/drawing/2014/main" id="{D2FA8C6A-378B-42A7-B868-7A175D5BC80C}"/>
                </a:ext>
              </a:extLst>
            </xdr:cNvPr>
            <xdr:cNvSpPr txBox="1"/>
          </xdr:nvSpPr>
          <xdr:spPr>
            <a:xfrm>
              <a:off x="46385018" y="2202872"/>
              <a:ext cx="1468582" cy="95596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none" lIns="0" tIns="0" rIns="0" bIns="0" rtlCol="0" anchor="t">
              <a:noAutofit/>
            </a:bodyPr>
            <a:lstStyle/>
            <a:p>
              <a:pPr marL="0" indent="0"/>
              <a:endParaRPr lang="it-IT" sz="1100" b="0" i="1">
                <a:solidFill>
                  <a:schemeClr val="tx1"/>
                </a:solidFill>
                <a:effectLst/>
                <a:latin typeface="Cambria Math" panose="02040503050406030204" pitchFamily="18" charset="0"/>
                <a:ea typeface="+mn-ea"/>
                <a:cs typeface="+mn-cs"/>
              </a:endParaRPr>
            </a:p>
            <a:p>
              <a:pPr marL="0" indent="0"/>
              <a:endParaRPr lang="it-IT" sz="1100" b="0" i="1">
                <a:solidFill>
                  <a:schemeClr val="tx1"/>
                </a:solidFill>
                <a:effectLst/>
                <a:latin typeface="Cambria Math" panose="02040503050406030204" pitchFamily="18" charset="0"/>
                <a:ea typeface="+mn-ea"/>
                <a:cs typeface="+mn-cs"/>
              </a:endParaRPr>
            </a:p>
            <a:p>
              <a:pPr marL="0" indent="0"/>
              <a:r>
                <a:rPr lang="it-IT" sz="1100" b="0" i="0">
                  <a:solidFill>
                    <a:schemeClr val="tx1"/>
                  </a:solidFill>
                  <a:effectLst/>
                  <a:latin typeface="Cambria Math" panose="02040503050406030204" pitchFamily="18" charset="0"/>
                  <a:ea typeface="+mn-ea"/>
                  <a:cs typeface="+mn-cs"/>
                </a:rPr>
                <a:t>𝑃𝑑𝑓=𝑤^(−1) 𝐶𝑑𝑓∙</a:t>
              </a:r>
              <a:r>
                <a:rPr lang="it-IT" sz="1100" b="0" i="0">
                  <a:solidFill>
                    <a:schemeClr val="dk1"/>
                  </a:solidFill>
                  <a:effectLst/>
                  <a:latin typeface="+mn-lt"/>
                  <a:ea typeface="+mn-ea"/>
                  <a:cs typeface="+mn-cs"/>
                </a:rPr>
                <a:t>𝑒^(− □(64&amp;(𝑡−𝑡_0)/𝑤))</a:t>
              </a:r>
              <a:endParaRPr lang="it-IT" sz="1100" b="0" i="1">
                <a:solidFill>
                  <a:schemeClr val="tx1"/>
                </a:solidFill>
                <a:effectLst/>
                <a:latin typeface="Cambria Math" panose="02040503050406030204" pitchFamily="18" charset="0"/>
                <a:ea typeface="+mn-ea"/>
                <a:cs typeface="+mn-cs"/>
              </a:endParaRPr>
            </a:p>
          </xdr:txBody>
        </xdr:sp>
      </mc:Fallback>
    </mc:AlternateContent>
    <xdr:clientData/>
  </xdr:oneCellAnchor>
</xdr:wsDr>
</file>

<file path=xl/drawings/drawing4.xml><?xml version="1.0" encoding="utf-8"?>
<c:userShapes xmlns:c="http://schemas.openxmlformats.org/drawingml/2006/chart">
  <cdr:relSizeAnchor xmlns:cdr="http://schemas.openxmlformats.org/drawingml/2006/chartDrawing">
    <cdr:from>
      <cdr:x>0.46609</cdr:x>
      <cdr:y>0.94163</cdr:y>
    </cdr:from>
    <cdr:to>
      <cdr:x>0.5614</cdr:x>
      <cdr:y>0.97315</cdr:y>
    </cdr:to>
    <cdr:sp macro="" textlink="">
      <cdr:nvSpPr>
        <cdr:cNvPr id="2" name="CasellaDiTesto 1">
          <a:extLst xmlns:a="http://schemas.openxmlformats.org/drawingml/2006/main">
            <a:ext uri="{FF2B5EF4-FFF2-40B4-BE49-F238E27FC236}">
              <a16:creationId xmlns:a16="http://schemas.microsoft.com/office/drawing/2014/main" id="{E66530F0-E940-4E9A-8347-7BA9CF4DF5C1}"/>
            </a:ext>
          </a:extLst>
        </cdr:cNvPr>
        <cdr:cNvSpPr txBox="1"/>
      </cdr:nvSpPr>
      <cdr:spPr>
        <a:xfrm xmlns:a="http://schemas.openxmlformats.org/drawingml/2006/main">
          <a:off x="3523211" y="6000426"/>
          <a:ext cx="720436" cy="200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008494-8BE0-44BF-AF70-B7FBB81A0228}" type="TxLink">
            <a:rPr lang="en-US" sz="1100" b="0" i="0" u="none" strike="noStrike">
              <a:solidFill>
                <a:srgbClr val="000000"/>
              </a:solidFill>
              <a:latin typeface="Calibri"/>
              <a:cs typeface="Calibri"/>
            </a:rPr>
            <a:pPr/>
            <a:t>24-feb</a:t>
          </a:fld>
          <a:endParaRPr lang="it-IT" sz="1100"/>
        </a:p>
      </cdr:txBody>
    </cdr:sp>
  </cdr:relSizeAnchor>
</c:userShapes>
</file>

<file path=xl/persons/person.xml><?xml version="1.0" encoding="utf-8"?>
<personList xmlns="http://schemas.microsoft.com/office/spreadsheetml/2018/threadedcomments" xmlns:x="http://schemas.openxmlformats.org/spreadsheetml/2006/main">
  <person displayName="Pier Franco Nali" id="{46504131-ADD3-4530-BCC7-16E4FED1C2C4}"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9" xr16:uid="{0DD43B81-D2E0-4B31-81BF-9129F4C8F468}" autoFormatId="16" applyNumberFormats="0" applyBorderFormats="0" applyFontFormats="0" applyPatternFormats="0" applyAlignmentFormats="0" applyWidthHeightFormats="0">
  <queryTableRefresh nextId="16">
    <queryTableFields count="15">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positivi" tableColumnId="7"/>
      <queryTableField id="8" name="variazione_totale_positivi" tableColumnId="8"/>
      <queryTableField id="9" name="nuovi_positivi" tableColumnId="9"/>
      <queryTableField id="10" name="dimessi_guariti" tableColumnId="10"/>
      <queryTableField id="11" name="deceduti" tableColumnId="11"/>
      <queryTableField id="12" name="totale_casi" tableColumnId="12"/>
      <queryTableField id="13" name="tamponi" tableColumnId="13"/>
      <queryTableField id="14" name="note_it" tableColumnId="14"/>
      <queryTableField id="15" name="note_en"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13" xr16:uid="{1870361A-171E-4755-A77E-8362F9E31D13}" autoFormatId="16" applyNumberFormats="0" applyBorderFormats="0" applyFontFormats="0" applyPatternFormats="0" applyAlignmentFormats="0" applyWidthHeightFormats="0">
  <queryTableRefresh nextId="20">
    <queryTableFields count="19">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positivi" tableColumnId="11"/>
      <queryTableField id="12" name="variazione_totale_positivi" tableColumnId="12"/>
      <queryTableField id="13" name="nuovi_positivi" tableColumnId="13"/>
      <queryTableField id="14" name="dimessi_guariti" tableColumnId="14"/>
      <queryTableField id="15" name="deceduti" tableColumnId="15"/>
      <queryTableField id="16" name="totale_casi" tableColumnId="16"/>
      <queryTableField id="17" name="tamponi" tableColumnId="17"/>
      <queryTableField id="18" name="note_it" tableColumnId="18"/>
      <queryTableField id="19" name="note_en"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A01F9D-CC3C-4C17-B7F7-93624D50D999}" name="dpc_covid19_ita_andamento_nazionale__9" displayName="dpc_covid19_ita_andamento_nazionale__9" ref="A1:O50" tableType="queryTable" totalsRowShown="0">
  <autoFilter ref="A1:O50" xr:uid="{352D8B65-82FD-4F8E-B879-ADFD0161B726}"/>
  <tableColumns count="15">
    <tableColumn id="1" xr3:uid="{8EEFB332-734C-46A1-B1D5-68D4A6C66BED}" uniqueName="1" name="data" queryTableFieldId="1" dataDxfId="56"/>
    <tableColumn id="2" xr3:uid="{BDFBB52B-26D0-4F05-BD67-332113DDD8CA}" uniqueName="2" name="stato" queryTableFieldId="2" dataDxfId="55"/>
    <tableColumn id="3" xr3:uid="{5EBCDF63-CE31-4525-867B-1274ECE2CA0A}" uniqueName="3" name="ricoverati_con_sintomi" queryTableFieldId="3"/>
    <tableColumn id="4" xr3:uid="{263BAE6B-34F3-4220-BE1D-26CC3DD7148D}" uniqueName="4" name="terapia_intensiva" queryTableFieldId="4"/>
    <tableColumn id="5" xr3:uid="{662B5C87-22B9-4BA3-8D30-972F89AE835C}" uniqueName="5" name="totale_ospedalizzati" queryTableFieldId="5"/>
    <tableColumn id="6" xr3:uid="{535C86CF-D254-4C7A-8466-8D3C68918EB8}" uniqueName="6" name="isolamento_domiciliare" queryTableFieldId="6"/>
    <tableColumn id="7" xr3:uid="{0B30836F-0707-448F-A5AA-E941DCBFC8F1}" uniqueName="7" name="totale_positivi" queryTableFieldId="7"/>
    <tableColumn id="8" xr3:uid="{25533D4C-56D5-4BFB-8A62-2C4975B12081}" uniqueName="8" name="variazione_totale_positivi" queryTableFieldId="8"/>
    <tableColumn id="9" xr3:uid="{B8DFE184-5E83-46BB-9B45-523BCE243F4E}" uniqueName="9" name="nuovi_positivi" queryTableFieldId="9"/>
    <tableColumn id="10" xr3:uid="{16DB5C85-7FC0-450C-A02D-B809C2395DC7}" uniqueName="10" name="dimessi_guariti" queryTableFieldId="10"/>
    <tableColumn id="11" xr3:uid="{90FAD4E2-5C78-4725-A446-2ED060C63D8A}" uniqueName="11" name="deceduti" queryTableFieldId="11"/>
    <tableColumn id="12" xr3:uid="{C319D95F-7C76-47D2-AF31-A4CA1DBF911D}" uniqueName="12" name="totale_casi" queryTableFieldId="12"/>
    <tableColumn id="13" xr3:uid="{B2BE763E-0C1E-4314-96CF-E5EFCF5889AA}" uniqueName="13" name="tamponi" queryTableFieldId="13"/>
    <tableColumn id="14" xr3:uid="{9C60E67A-A02A-4667-993F-449C650B16AE}" uniqueName="14" name="note_it" queryTableFieldId="14" dataDxfId="54"/>
    <tableColumn id="15" xr3:uid="{45F79249-FBF8-416D-803C-F50CE2D539F7}" uniqueName="15" name="note_en" queryTableFieldId="15" dataDxfId="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4CCD0A-C2A9-4E31-B249-F5E9B9CB8676}" name="dpc_covid19_ita_regioni__4" displayName="dpc_covid19_ita_regioni__4" ref="A1:S1030" tableType="queryTable" totalsRowShown="0">
  <autoFilter ref="A1:S1030" xr:uid="{61AED931-4BAD-4EA6-925E-4B1C4E46BA30}">
    <filterColumn colId="2">
      <filters>
        <filter val="3"/>
      </filters>
    </filterColumn>
  </autoFilter>
  <tableColumns count="19">
    <tableColumn id="1" xr3:uid="{79814438-B151-4E69-9958-006B8D6A3C37}" uniqueName="1" name="data" queryTableFieldId="1" dataDxfId="52"/>
    <tableColumn id="2" xr3:uid="{0FFF0BA2-0DE1-46D6-8E47-458CCC6B80F8}" uniqueName="2" name="stato" queryTableFieldId="2" dataDxfId="51"/>
    <tableColumn id="3" xr3:uid="{DB465C6F-A730-4302-998E-0AAC0EA25512}" uniqueName="3" name="codice_regione" queryTableFieldId="3"/>
    <tableColumn id="4" xr3:uid="{7BD0B7AD-E208-49E4-A82A-E50444A1C4A4}" uniqueName="4" name="denominazione_regione" queryTableFieldId="4" dataDxfId="50"/>
    <tableColumn id="5" xr3:uid="{86054645-26FE-48C8-AB54-972897FC6557}" uniqueName="5" name="lat" queryTableFieldId="5"/>
    <tableColumn id="6" xr3:uid="{C9D6B838-804B-407E-92B3-7223903F99E2}" uniqueName="6" name="long" queryTableFieldId="6"/>
    <tableColumn id="7" xr3:uid="{59D07E1A-FDE3-4E3C-8D8E-907FC37AFBAA}" uniqueName="7" name="ricoverati_con_sintomi" queryTableFieldId="7"/>
    <tableColumn id="8" xr3:uid="{C5873FD6-F3F3-498D-84B7-3FCC68618A62}" uniqueName="8" name="terapia_intensiva" queryTableFieldId="8"/>
    <tableColumn id="9" xr3:uid="{C5258D14-0E28-4995-A05A-294BCAB1063D}" uniqueName="9" name="totale_ospedalizzati" queryTableFieldId="9"/>
    <tableColumn id="10" xr3:uid="{2BE4B4E9-3FC2-484E-B26F-55417378E860}" uniqueName="10" name="isolamento_domiciliare" queryTableFieldId="10"/>
    <tableColumn id="11" xr3:uid="{D74134E4-C9AD-4104-A911-326BAB72E5C3}" uniqueName="11" name="totale_positivi" queryTableFieldId="11"/>
    <tableColumn id="12" xr3:uid="{378C9891-4635-432C-A82A-29C822C5FFD2}" uniqueName="12" name="variazione_totale_positivi" queryTableFieldId="12"/>
    <tableColumn id="13" xr3:uid="{38D5D8F9-4E1D-4A1C-982E-8BD84A3E841A}" uniqueName="13" name="nuovi_positivi" queryTableFieldId="13"/>
    <tableColumn id="14" xr3:uid="{A6B21E6D-B789-4002-94DA-B926BBF01966}" uniqueName="14" name="dimessi_guariti" queryTableFieldId="14"/>
    <tableColumn id="15" xr3:uid="{D2C0522E-463B-4C25-9D61-49CD985FFEFA}" uniqueName="15" name="deceduti" queryTableFieldId="15"/>
    <tableColumn id="16" xr3:uid="{1A8D538C-BA24-4939-B6FF-E781A3C5BF76}" uniqueName="16" name="totale_casi" queryTableFieldId="16"/>
    <tableColumn id="17" xr3:uid="{11AFD5E4-685C-494F-9080-6667117C5B78}" uniqueName="17" name="tamponi" queryTableFieldId="17"/>
    <tableColumn id="18" xr3:uid="{3C0D5FF0-15A3-4914-BC88-568A235E65DD}" uniqueName="18" name="note_it" queryTableFieldId="18" dataDxfId="49"/>
    <tableColumn id="19" xr3:uid="{C09BBE87-59EE-4129-B06D-09EB75591CB1}" uniqueName="19" name="note_en" queryTableFieldId="19" dataDxfId="4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84AB5DF-A51B-4738-AB16-BE48A7BDA5F1}" name="Tabella8" displayName="Tabella8" ref="B7:W78" totalsRowShown="0" headerRowDxfId="47">
  <autoFilter ref="B7:W78" xr:uid="{3FC8D4CB-1CF6-4469-84DF-7F0ECB3BF752}"/>
  <tableColumns count="22">
    <tableColumn id="1" xr3:uid="{23135A61-F766-418E-98E1-4B28EB0245EB}" name="Date" dataDxfId="46"/>
    <tableColumn id="2" xr3:uid="{9D31CCAA-E745-495E-AC65-4EE7E5B7C948}" name="Day" dataDxfId="45"/>
    <tableColumn id="3" xr3:uid="{FA8347E6-D263-402C-B119-75408FAF2DAC}" name="Italy cumulative"/>
    <tableColumn id="16" xr3:uid="{8C3FDD01-6166-4DD6-9069-BBFB3B31CBAB}" name="Colonna1" dataDxfId="44">
      <calculatedColumnFormula>Tabella8[[#This Row],[Italy cumulative]]*NOT(ISBLANK(Tabella8[[#This Row],[Italy cumulative]]))</calculatedColumnFormula>
    </tableColumn>
    <tableColumn id="4" xr3:uid="{431A9A26-9F76-4785-835A-2254CAAB0D9D}" name="Italy sum" dataDxfId="43">
      <calculatedColumnFormula>Tabella8[[#This Row],[Lombardy fit]]+Tabella8[[#This Row],[rest of Italy fit]]</calculatedColumnFormula>
    </tableColumn>
    <tableColumn id="17" xr3:uid="{C448742E-FAE5-406F-BB11-395AB7117427}" name="Colonna2" dataDxfId="42">
      <calculatedColumnFormula>Tabella8[[#This Row],[Italy sum]]*NOT(ISBLANK(Tabella8[[#This Row],[Italy cumulative]]))</calculatedColumnFormula>
    </tableColumn>
    <tableColumn id="15" xr3:uid="{EBAC123C-04E4-45BF-87F2-E1463644B09E}" name="Italy fit" dataDxfId="41">
      <calculatedColumnFormula>Kt*EXP(-EXP(-(Tabella8[[#This Row],[Day]]-t0t)/wt))</calculatedColumnFormula>
    </tableColumn>
    <tableColumn id="18" xr3:uid="{BB0581BF-B4E8-454D-A58F-7896262EF839}" name="Colonna3" dataDxfId="40">
      <calculatedColumnFormula>Tabella8[[#This Row],[Italy fit]]*NOT(ISBLANK(Tabella8[[#This Row],[Italy cumulative]]))</calculatedColumnFormula>
    </tableColumn>
    <tableColumn id="5" xr3:uid="{550811E3-8896-4BC4-AAEC-1710448F78AA}" name="Upper CI"/>
    <tableColumn id="6" xr3:uid="{F0106795-FAF2-43DF-AAD9-462CC01A471A}" name="Lower CI"/>
    <tableColumn id="7" xr3:uid="{8C9D201A-E2D1-4561-B557-E6BA56D2D6CB}" name="Lombardy"/>
    <tableColumn id="19" xr3:uid="{F96B47FC-7C3A-47A5-B0B6-FBBA6A0E9F53}" name="Colonna4" dataDxfId="39">
      <calculatedColumnFormula>Tabella8[[#This Row],[Lombardy]]*NOT(ISBLANK(Tabella8[[#This Row],[Lombardy]]))</calculatedColumnFormula>
    </tableColumn>
    <tableColumn id="8" xr3:uid="{FFDFB21E-6B95-4CB3-BEAA-17A88953AF1A}" name="Lombardy fit" dataDxfId="38">
      <calculatedColumnFormula>Kr*EXP(-EXP(-(Tabella8[[#This Row],[Day]]-t0r)/wr))</calculatedColumnFormula>
    </tableColumn>
    <tableColumn id="20" xr3:uid="{E0C56B36-41D5-4E63-90C0-BEF19D5CF307}" name="Colonna5" dataDxfId="37">
      <calculatedColumnFormula>Tabella8[[#This Row],[Lombardy fit]]*NOT(ISBLANK(Tabella8[[#This Row],[Lombardy]]))</calculatedColumnFormula>
    </tableColumn>
    <tableColumn id="9" xr3:uid="{533A3700-CD36-454E-A89A-C109A0EC8C3A}" name="r. Upper CI"/>
    <tableColumn id="10" xr3:uid="{12B05D41-F2C4-4C50-A981-70A91E9E3202}" name="r. Lower CI"/>
    <tableColumn id="11" xr3:uid="{3FA757E2-8271-45DD-9111-95AF881C9386}" name="rest of Italy "/>
    <tableColumn id="21" xr3:uid="{0719E832-0DD9-4597-8E36-C5D928E8918B}" name="Colonna6" dataDxfId="36">
      <calculatedColumnFormula>Tabella8[[#This Row],[rest of Italy ]]*NOT(ISBLANK(Tabella8[[#This Row],[rest of Italy ]]))</calculatedColumnFormula>
    </tableColumn>
    <tableColumn id="12" xr3:uid="{1A679F42-1D8C-44C1-8ADC-80EE4031BF33}" name="rest of Italy fit" dataDxfId="35">
      <calculatedColumnFormula>Ko*EXP(-EXP(-(Tabella8[[#This Row],[Day]]-t0o)/wo))</calculatedColumnFormula>
    </tableColumn>
    <tableColumn id="22" xr3:uid="{D4BF3042-F3E5-4A11-865A-5C285EB3D460}" name="Colonna7" dataDxfId="34">
      <calculatedColumnFormula>Tabella8[[#This Row],[rest of Italy fit]]*NOT(ISBLANK(Tabella8[[#This Row],[rest of Italy ]]))</calculatedColumnFormula>
    </tableColumn>
    <tableColumn id="13" xr3:uid="{54A7DA70-4460-43AF-B70E-E5EF3A27B840}" name="o.r. Upper CI"/>
    <tableColumn id="14" xr3:uid="{25E38CCB-32DC-4A49-8487-A107F991A720}" name="o.r. Lower CI"/>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A45A35-CC62-4741-AD97-3C6F9EA2CB45}" name="Tabella9" displayName="Tabella9" ref="Y7:Z17" totalsRowShown="0" headerRowDxfId="33" dataDxfId="32">
  <autoFilter ref="Y7:Z17" xr:uid="{FE44A3F6-B4C2-400B-AA9A-283E33E9F7C7}"/>
  <tableColumns count="2">
    <tableColumn id="1" xr3:uid="{D2583FE2-794A-4D14-88A1-0EEE16DA7363}" name="Whole country sum" dataDxfId="31"/>
    <tableColumn id="2" xr3:uid="{7AD72336-12D4-4A52-8169-8B6FC2AAA773}" name="Italy sum" dataDxfId="30"/>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F571018-7DE3-4940-8B14-587C648D5781}" name="Tabella10" displayName="Tabella10" ref="Y18:Z28" totalsRowShown="0">
  <autoFilter ref="Y18:Z28" xr:uid="{6BBACF2F-9411-42AE-88CD-B6A5D694B764}"/>
  <tableColumns count="2">
    <tableColumn id="1" xr3:uid="{FAA10416-F4E0-4435-B099-FD9F2014709E}" name="region" dataDxfId="29"/>
    <tableColumn id="2" xr3:uid="{4B3DF482-3E70-4077-90EF-F4C6D02D2F19}" name="Lombardy fit"/>
  </tableColumns>
  <tableStyleInfo name="TableStyleLight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978F66-0F21-4962-BBAD-9DAEEF95C128}" name="Tabella11" displayName="Tabella11" ref="Y29:Z39" totalsRowShown="0" headerRowDxfId="28">
  <autoFilter ref="Y29:Z39" xr:uid="{4F62C887-D7E5-4422-A98B-007740B545EB}"/>
  <tableColumns count="2">
    <tableColumn id="1" xr3:uid="{BDF94A07-4A3B-4AEE-A628-F130488AED7A}" name="outside" dataDxfId="27"/>
    <tableColumn id="2" xr3:uid="{04EF7C50-030F-4875-86E2-1A44649EFD46}" name="rest of Italy"/>
  </tableColumns>
  <tableStyleInfo name="TableStyleLight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1AE4D46-C6A2-4E06-8024-F6AAD11361A6}" name="Tabella913" displayName="Tabella913" ref="Y40:Z50" totalsRowShown="0">
  <autoFilter ref="Y40:Z50" xr:uid="{3ED27504-5203-423C-8078-DD3D337178D4}"/>
  <tableColumns count="2">
    <tableColumn id="1" xr3:uid="{68D94B9C-FC79-4691-B5B2-5566913F6A46}" name="Whole country fit" dataDxfId="26"/>
    <tableColumn id="2" xr3:uid="{12ECD97A-4CBF-4516-9545-EA45C2E69AA0}" name="Italy fi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3C43434-F9AD-405C-8D9B-7469933A0BF3}" name="Tabella3" displayName="Tabella3" ref="B7:AC78" totalsRowShown="0" headerRowDxfId="25">
  <autoFilter ref="B7:AC78" xr:uid="{5E78D83D-6C25-40E0-A2DB-B68F6AAB46EA}"/>
  <tableColumns count="28">
    <tableColumn id="1" xr3:uid="{AC9FAB61-B731-40E3-83D5-22123EF8AE0D}" name="Date" dataDxfId="24"/>
    <tableColumn id="2" xr3:uid="{AB3B8E39-CEE3-43EE-B1A6-8D28135CAFC6}" name="Day" dataDxfId="23"/>
    <tableColumn id="3" xr3:uid="{DDACA13A-A286-4F18-9A4D-05064582A36A}" name="Cum_Italy"/>
    <tableColumn id="4" xr3:uid="{4A764917-3626-4415-9B41-E9B90EFD7FA4}" name="Italy" dataDxfId="22"/>
    <tableColumn id="21" xr3:uid="{C976B52B-2786-4CB4-B206-E98A3E1A4632}" name="Colonna1" dataDxfId="21">
      <calculatedColumnFormula>Tabella3[[#This Row],[Italy]]*NOT(ISBLANK(Tabella3[[#This Row],[Italy]]))</calculatedColumnFormula>
    </tableColumn>
    <tableColumn id="5" xr3:uid="{3DBA7757-647A-453D-A0D3-43B83465DD6F}" name="Cum_D_fit" dataDxfId="20">
      <calculatedColumnFormula>Tabella3[[#This Row],[Cum_L_fit]]+Tabella3[[#This Row],[Cum_o_fit]]</calculatedColumnFormula>
    </tableColumn>
    <tableColumn id="6" xr3:uid="{ADF84F98-C9B1-4D4E-965D-1E7BE56AE313}" name="Italy sum" dataDxfId="19">
      <calculatedColumnFormula>Tabella3[[#This Row],[Lombardy fit]]+Tabella3[[#This Row],[rest of Italy fit]]</calculatedColumnFormula>
    </tableColumn>
    <tableColumn id="27" xr3:uid="{314DDD96-3EEF-47F6-A093-677CC3B78412}" name="Italy fit" dataDxfId="18">
      <calculatedColumnFormula>Kf*EXP(-EXP(-(Tabella3[[#This Row],[Day]]-t0f)/wf))*EXP(-(Tabella3[[#This Row],[Day]]-t0f)/wf)/wf</calculatedColumnFormula>
    </tableColumn>
    <tableColumn id="22" xr3:uid="{7CB6D2CF-1488-45DF-B3D3-DA9FCE991397}" name="Colonna2" dataDxfId="17">
      <calculatedColumnFormula>Tabella3[[#This Row],[Italy sum]]*NOT(ISBLANK(Tabella3[[#This Row],[Italy]]))</calculatedColumnFormula>
    </tableColumn>
    <tableColumn id="28" xr3:uid="{B7998AB9-1622-4307-B253-C5A912B69B6C}" name="Colonna22" dataDxfId="16">
      <calculatedColumnFormula>Tabella3[[#This Row],[Italy fit]]*NOT(ISBLANK(Tabella3[[#This Row],[Italy]]))</calculatedColumnFormula>
    </tableColumn>
    <tableColumn id="7" xr3:uid="{FD2AFF0D-028F-4079-9B67-B1C4C865DA70}" name="Wh_c_Upper CI"/>
    <tableColumn id="8" xr3:uid="{2C00E3C4-CD56-4BD9-82E9-BA6F629F232D}" name="Wh_c_Lower CI"/>
    <tableColumn id="9" xr3:uid="{62CAAF81-8EFB-45AC-BBA6-8D7C7B486997}" name="Cum_Lom"/>
    <tableColumn id="10" xr3:uid="{09663C31-3E7C-4611-8AF3-0C06B00BA6F1}" name="Lombardy" dataDxfId="15"/>
    <tableColumn id="23" xr3:uid="{10082EA6-D10C-44B2-9A09-0B1409F1C373}" name="Colonna3" dataDxfId="14">
      <calculatedColumnFormula>Tabella3[[#This Row],[Lombardy]]*NOT(ISBLANK(Tabella3[[#This Row],[Lombardy]]))</calculatedColumnFormula>
    </tableColumn>
    <tableColumn id="11" xr3:uid="{CDC351C1-18CE-4B4C-A65D-FD39DA8A5DED}" name="Cum_L_fit" dataDxfId="13">
      <calculatedColumnFormula>Kl*EXP(-EXP(-(Tabella3[[#This Row],[Day]]-t0l)/wl))</calculatedColumnFormula>
    </tableColumn>
    <tableColumn id="12" xr3:uid="{442CC8F3-BD05-4FDA-B285-A701402ADF1D}" name="Lombardy fit" dataDxfId="12">
      <calculatedColumnFormula>Kl*EXP(-EXP(-(Tabella3[[#This Row],[Day]]-t0l)/wl))*EXP(-(Tabella3[[#This Row],[Day]]-t0l)/wl)/wl</calculatedColumnFormula>
    </tableColumn>
    <tableColumn id="24" xr3:uid="{3735E881-B76D-4343-A940-CD03F154AD8A}" name="Colonna32" dataDxfId="11">
      <calculatedColumnFormula>Tabella3[[#This Row],[Lombardy fit]]*NOT(ISBLANK(Tabella3[[#This Row],[Lombardy]]))</calculatedColumnFormula>
    </tableColumn>
    <tableColumn id="13" xr3:uid="{EE889393-6E60-4237-9EC5-DFB1642204B7}" name="r_Upper CI"/>
    <tableColumn id="14" xr3:uid="{4BF9A623-B53D-4A7D-BCED-AF51065FBB44}" name="r_Lower CI"/>
    <tableColumn id="15" xr3:uid="{88406667-2C06-4837-8C1D-7C7FB674BC25}" name="Cum_o"/>
    <tableColumn id="16" xr3:uid="{F9696E58-DE59-43F8-B795-C68B17BE8856}" name="rest of Italy" dataDxfId="10"/>
    <tableColumn id="25" xr3:uid="{0DCF2D46-6281-4B7D-BB9E-222F69A41FF9}" name="Colonna33" dataDxfId="9">
      <calculatedColumnFormula>Tabella3[[#This Row],[rest of Italy]]*NOT(ISBLANK(Tabella3[[#This Row],[rest of Italy]]))</calculatedColumnFormula>
    </tableColumn>
    <tableColumn id="17" xr3:uid="{A81E690D-2D5C-4476-BFC1-14B6B7500BDD}" name="Cum_o_fit" dataDxfId="8">
      <calculatedColumnFormula>Ka*EXP(-EXP(-(Tabella3[[#This Row],[Day]]-t0a)/wa))</calculatedColumnFormula>
    </tableColumn>
    <tableColumn id="18" xr3:uid="{84CE2F6C-88D6-4F6C-BCE7-AB2A3AB959DB}" name="rest of Italy fit" dataDxfId="7">
      <calculatedColumnFormula>Ka*EXP(-EXP(-(Tabella3[[#This Row],[Day]]-t0a)/wa))*EXP(-(Tabella3[[#This Row],[Day]]-t0a)/wa)/wa</calculatedColumnFormula>
    </tableColumn>
    <tableColumn id="26" xr3:uid="{09DF6F78-AD5E-4D2B-8B55-4D9808403ED3}" name="Colonna322" dataDxfId="6">
      <calculatedColumnFormula>Tabella3[[#This Row],[rest of Italy fit]]*NOT(ISBLANK(Tabella3[[#This Row],[rest of Italy]]))</calculatedColumnFormula>
    </tableColumn>
    <tableColumn id="19" xr3:uid="{825B4302-D347-4A3A-B1B4-0C960AAFF399}" name="o_r_Upper CI"/>
    <tableColumn id="20" xr3:uid="{E509F0A5-EBDA-42F5-8E21-168F4C595F15}" name="o_r_Lower CI"/>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5DD6354-3B59-4943-8730-CD3B8C8CB1F7}" name="Tabella4" displayName="Tabella4" ref="AE7:AF18" totalsRowShown="0" headerRowDxfId="5" dataDxfId="4">
  <autoFilter ref="AE7:AF18" xr:uid="{00766B7A-46BC-4E07-B4A9-02AE45892E82}"/>
  <tableColumns count="2">
    <tableColumn id="1" xr3:uid="{E4319721-3F80-4342-9D0A-B78DF39299B8}" name="Whole country sum" dataDxfId="3"/>
    <tableColumn id="2" xr3:uid="{B084DEAD-F4A7-4385-950A-B66123852865}" name="Italy sum" dataDxfId="2"/>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294717D-24D4-45C4-B26D-359AC6BA8815}" name="Tabella5" displayName="Tabella5" ref="AE19:AF30" totalsRowShown="0">
  <autoFilter ref="AE19:AF30" xr:uid="{2E08838D-8BAF-42A1-B981-D6B449E7082E}"/>
  <tableColumns count="2">
    <tableColumn id="1" xr3:uid="{3FD0D38D-8842-4E6D-9882-984AB3BFADE1}" name="region"/>
    <tableColumn id="2" xr3:uid="{A2610841-2CD8-4F5A-829D-2493C4B73EC9}" name="Lombardy fit"/>
  </tableColumns>
  <tableStyleInfo name="TableStyleLight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6EEF903-D623-4533-84D2-A7C60F1EAB2C}" name="Tabella6" displayName="Tabella6" ref="AE31:AF42" totalsRowShown="0" headerRowDxfId="1">
  <autoFilter ref="AE31:AF42" xr:uid="{493E660F-E033-408D-A4BC-15A27F9E624C}"/>
  <tableColumns count="2">
    <tableColumn id="1" xr3:uid="{44D35643-5DC7-4195-979E-896CDDCB52C1}" name="outside"/>
    <tableColumn id="2" xr3:uid="{A86FC75B-BB86-40BE-8764-739189EEC27C}" name="rest of Italy fit"/>
  </tableColumns>
  <tableStyleInfo name="TableStyleLight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9B90D4D-928B-41E1-A7D6-BBC2157CE923}" name="Tabella68" displayName="Tabella68" ref="AE43:AF54" totalsRowShown="0" headerRowDxfId="0">
  <autoFilter ref="AE43:AF54" xr:uid="{0F6FCA51-9485-4058-8475-AC6ECE9EB084}"/>
  <tableColumns count="2">
    <tableColumn id="1" xr3:uid="{A58BAF37-2CFC-44D3-8FF7-25C14C606C17}" name="Whole contry fit"/>
    <tableColumn id="2" xr3:uid="{96C5F196-9214-480C-B9CC-A31645BD150D}" name="Italy fi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3" dT="2020-04-13T00:14:38.76" personId="{46504131-ADD3-4530-BCC7-16E4FED1C2C4}" id="{9245F79D-0A65-47DF-94F6-E3B4785505E5}">
    <text>Saturation value or carrying capalcity</text>
  </threadedComment>
  <threadedComment ref="AA4" dT="2020-04-13T00:15:06.31" personId="{46504131-ADD3-4530-BCC7-16E4FED1C2C4}" id="{508682D8-E4CA-4254-BC8F-0BEE1BE81BAD}">
    <text>Point of inflection</text>
  </threadedComment>
  <threadedComment ref="AA5" dT="2020-04-13T00:16:48.93" personId="{46504131-ADD3-4530-BCC7-16E4FED1C2C4}" id="{060E0141-247F-4A90-AA8B-0CA71CEA93DC}">
    <text>Slope or decay time</text>
  </threadedComment>
  <threadedComment ref="B8" dT="2020-03-21T22:11:56.31" personId="{46504131-ADD3-4530-BCC7-16E4FED1C2C4}" id="{0621FDE1-092F-4B0A-B6B9-713897DF0CC5}">
    <text>first red zones (north)</text>
  </threadedComment>
  <threadedComment ref="B14" dT="2020-03-21T22:12:51.46" personId="{46504131-ADD3-4530-BCC7-16E4FED1C2C4}" id="{6744EB57-859E-42EA-B4F2-F10942B49A22}">
    <text>partial lockdown (north)</text>
  </threadedComment>
  <threadedComment ref="B18" dT="2020-03-21T22:13:52.19" personId="{46504131-ADD3-4530-BCC7-16E4FED1C2C4}" id="{33530D03-226A-4358-A568-CF8D6E16063E}">
    <text>school closure (Italy)</text>
  </threadedComment>
  <threadedComment ref="B21" dT="2020-03-21T22:14:24.84" personId="{46504131-ADD3-4530-BCC7-16E4FED1C2C4}" id="{DEE131DF-B99E-49E5-B71E-E8FA46139EA4}">
    <text>full lockdown (northern Italy)</text>
  </threadedComment>
  <threadedComment ref="B23" dT="2020-03-21T22:14:52.14" personId="{46504131-ADD3-4530-BCC7-16E4FED1C2C4}" id="{D7D1BB5E-BF21-4496-ACA8-360768C57861}">
    <text>partial lockdown (Italy)</text>
  </threadedComment>
  <threadedComment ref="B25" dT="2020-03-21T22:15:16.77" personId="{46504131-ADD3-4530-BCC7-16E4FED1C2C4}" id="{A4FE517B-52ED-47DC-A9CE-D59F3913061A}">
    <text>full lockdown (Italy)</text>
  </threadedComment>
  <threadedComment ref="B36" dT="2020-03-23T21:41:16.67" personId="{46504131-ADD3-4530-BCC7-16E4FED1C2C4}" id="{C9ADCFB2-7E30-41ED-B43B-6911BE354135}">
    <text>reinforced lockdown (Italy)</text>
  </threadedComment>
</ThreadedComments>
</file>

<file path=xl/threadedComments/threadedComment2.xml><?xml version="1.0" encoding="utf-8"?>
<ThreadedComments xmlns="http://schemas.microsoft.com/office/spreadsheetml/2018/threadedcomments" xmlns:x="http://schemas.openxmlformats.org/spreadsheetml/2006/main">
  <threadedComment ref="AG3" dT="2020-04-13T00:14:38.76" personId="{46504131-ADD3-4530-BCC7-16E4FED1C2C4}" id="{722BC269-F91C-4139-8BC1-B2D7CFD655D1}">
    <text>Saturation value or carrying capalcity</text>
  </threadedComment>
  <threadedComment ref="AG4" dT="2020-04-13T00:15:06.31" personId="{46504131-ADD3-4530-BCC7-16E4FED1C2C4}" id="{545E94EF-1517-4064-88E6-2D9228EF509C}">
    <text>Point of inflection</text>
  </threadedComment>
  <threadedComment ref="AG5" dT="2020-04-13T00:16:48.93" personId="{46504131-ADD3-4530-BCC7-16E4FED1C2C4}" id="{9F0F1623-7128-476E-B1C6-D2F247C712B8}">
    <text>Slope or decay time</text>
  </threadedComment>
  <threadedComment ref="B8" dT="2020-03-21T22:11:56.31" personId="{46504131-ADD3-4530-BCC7-16E4FED1C2C4}" id="{55BA04F6-DD5C-404D-9143-067D1A800A3A}">
    <text>first red zones (north)</text>
  </threadedComment>
  <threadedComment ref="B14" dT="2020-03-21T22:12:51.46" personId="{46504131-ADD3-4530-BCC7-16E4FED1C2C4}" id="{BDDA7B4B-B1F4-44B2-A550-3674E961B52E}">
    <text>partial lockdown (north)</text>
  </threadedComment>
  <threadedComment ref="B18" dT="2020-03-21T22:13:52.19" personId="{46504131-ADD3-4530-BCC7-16E4FED1C2C4}" id="{4CDB76F3-57CC-4212-B53F-F8F165375B94}">
    <text>school closure (Italy)</text>
  </threadedComment>
  <threadedComment ref="B21" dT="2020-03-21T22:14:24.84" personId="{46504131-ADD3-4530-BCC7-16E4FED1C2C4}" id="{CE65C50C-3F83-4631-A90E-C07B7C5721E9}">
    <text>full lockdown (northern Italy)</text>
  </threadedComment>
  <threadedComment ref="B23" dT="2020-03-21T22:14:52.14" personId="{46504131-ADD3-4530-BCC7-16E4FED1C2C4}" id="{92B8577E-1708-4B0F-85FD-31A0291F718A}">
    <text>partial lockdown (Italy)</text>
  </threadedComment>
  <threadedComment ref="B25" dT="2020-03-21T22:15:16.77" personId="{46504131-ADD3-4530-BCC7-16E4FED1C2C4}" id="{67CE4491-269D-478E-850E-4FD0904AA888}">
    <text>full lockdown (Italy)</text>
  </threadedComment>
  <threadedComment ref="B36" dT="2020-03-23T21:41:16.67" personId="{46504131-ADD3-4530-BCC7-16E4FED1C2C4}" id="{12A51D8D-BC18-4F3B-A122-CB2A491B9543}">
    <text>reinforced lockdown (Italy)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 Id="rId9"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CF35-3B7D-42E1-B4D0-DDB86726833D}">
  <dimension ref="A1:O50"/>
  <sheetViews>
    <sheetView topLeftCell="A40" workbookViewId="0">
      <selection sqref="A1:XFD136"/>
    </sheetView>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15.109375" bestFit="1" customWidth="1"/>
    <col min="8" max="8" width="25" bestFit="1" customWidth="1"/>
    <col min="9" max="9" width="15" bestFit="1" customWidth="1"/>
    <col min="10" max="10" width="15.88671875" bestFit="1" customWidth="1"/>
    <col min="11" max="11" width="10.5546875" bestFit="1" customWidth="1"/>
    <col min="12" max="12" width="12.21875" bestFit="1" customWidth="1"/>
    <col min="13" max="13" width="10.33203125" bestFit="1" customWidth="1"/>
    <col min="14" max="14" width="19.5546875" bestFit="1" customWidth="1"/>
    <col min="15" max="15" width="21.109375" bestFit="1" customWidth="1"/>
  </cols>
  <sheetData>
    <row r="1" spans="1:15" x14ac:dyDescent="0.3">
      <c r="A1" t="s">
        <v>13</v>
      </c>
      <c r="B1" t="s">
        <v>14</v>
      </c>
      <c r="C1" t="s">
        <v>15</v>
      </c>
      <c r="D1" t="s">
        <v>16</v>
      </c>
      <c r="E1" t="s">
        <v>17</v>
      </c>
      <c r="F1" t="s">
        <v>18</v>
      </c>
      <c r="G1" t="s">
        <v>93</v>
      </c>
      <c r="H1" t="s">
        <v>94</v>
      </c>
      <c r="I1" t="s">
        <v>95</v>
      </c>
      <c r="J1" t="s">
        <v>19</v>
      </c>
      <c r="K1" t="s">
        <v>20</v>
      </c>
      <c r="L1" t="s">
        <v>21</v>
      </c>
      <c r="M1" t="s">
        <v>22</v>
      </c>
      <c r="N1" t="s">
        <v>25</v>
      </c>
      <c r="O1" t="s">
        <v>26</v>
      </c>
    </row>
    <row r="2" spans="1:15" x14ac:dyDescent="0.3">
      <c r="A2" s="14">
        <v>43885.75</v>
      </c>
      <c r="B2" s="13" t="s">
        <v>23</v>
      </c>
      <c r="C2" s="2">
        <v>101</v>
      </c>
      <c r="D2" s="2">
        <v>26</v>
      </c>
      <c r="E2" s="2">
        <v>127</v>
      </c>
      <c r="F2" s="2">
        <v>94</v>
      </c>
      <c r="G2" s="2">
        <v>221</v>
      </c>
      <c r="H2" s="2">
        <v>0</v>
      </c>
      <c r="I2" s="2">
        <v>221</v>
      </c>
      <c r="J2" s="2">
        <v>1</v>
      </c>
      <c r="K2" s="2">
        <v>7</v>
      </c>
      <c r="L2" s="2">
        <v>229</v>
      </c>
      <c r="M2" s="2">
        <v>4324</v>
      </c>
      <c r="N2" s="13" t="s">
        <v>27</v>
      </c>
      <c r="O2" s="13" t="s">
        <v>27</v>
      </c>
    </row>
    <row r="3" spans="1:15" x14ac:dyDescent="0.3">
      <c r="A3" s="14">
        <v>43886.75</v>
      </c>
      <c r="B3" s="13" t="s">
        <v>23</v>
      </c>
      <c r="C3" s="2">
        <v>114</v>
      </c>
      <c r="D3" s="2">
        <v>35</v>
      </c>
      <c r="E3" s="2">
        <v>150</v>
      </c>
      <c r="F3" s="2">
        <v>162</v>
      </c>
      <c r="G3" s="2">
        <v>311</v>
      </c>
      <c r="H3" s="2">
        <v>90</v>
      </c>
      <c r="I3" s="2">
        <v>93</v>
      </c>
      <c r="J3" s="2">
        <v>1</v>
      </c>
      <c r="K3" s="2">
        <v>10</v>
      </c>
      <c r="L3" s="2">
        <v>322</v>
      </c>
      <c r="M3" s="2">
        <v>8623</v>
      </c>
      <c r="N3" s="13" t="s">
        <v>27</v>
      </c>
      <c r="O3" s="13" t="s">
        <v>27</v>
      </c>
    </row>
    <row r="4" spans="1:15" x14ac:dyDescent="0.3">
      <c r="A4" s="14">
        <v>43887.75</v>
      </c>
      <c r="B4" s="13" t="s">
        <v>23</v>
      </c>
      <c r="C4" s="2">
        <v>128</v>
      </c>
      <c r="D4" s="2">
        <v>36</v>
      </c>
      <c r="E4" s="2">
        <v>164</v>
      </c>
      <c r="F4" s="2">
        <v>221</v>
      </c>
      <c r="G4" s="2">
        <v>385</v>
      </c>
      <c r="H4" s="2">
        <v>74</v>
      </c>
      <c r="I4" s="2">
        <v>78</v>
      </c>
      <c r="J4" s="2">
        <v>3</v>
      </c>
      <c r="K4" s="2">
        <v>12</v>
      </c>
      <c r="L4" s="2">
        <v>400</v>
      </c>
      <c r="M4" s="2">
        <v>9587</v>
      </c>
      <c r="N4" s="13" t="s">
        <v>27</v>
      </c>
      <c r="O4" s="13" t="s">
        <v>27</v>
      </c>
    </row>
    <row r="5" spans="1:15" x14ac:dyDescent="0.3">
      <c r="A5" s="14">
        <v>43888.75</v>
      </c>
      <c r="B5" s="13" t="s">
        <v>23</v>
      </c>
      <c r="C5" s="2">
        <v>248</v>
      </c>
      <c r="D5" s="2">
        <v>56</v>
      </c>
      <c r="E5" s="2">
        <v>304</v>
      </c>
      <c r="F5" s="2">
        <v>284</v>
      </c>
      <c r="G5" s="2">
        <v>588</v>
      </c>
      <c r="H5" s="2">
        <v>203</v>
      </c>
      <c r="I5" s="2">
        <v>250</v>
      </c>
      <c r="J5" s="2">
        <v>45</v>
      </c>
      <c r="K5" s="2">
        <v>17</v>
      </c>
      <c r="L5" s="2">
        <v>650</v>
      </c>
      <c r="M5" s="2">
        <v>12014</v>
      </c>
      <c r="N5" s="13" t="s">
        <v>27</v>
      </c>
      <c r="O5" s="13" t="s">
        <v>27</v>
      </c>
    </row>
    <row r="6" spans="1:15" x14ac:dyDescent="0.3">
      <c r="A6" s="14">
        <v>43889.75</v>
      </c>
      <c r="B6" s="13" t="s">
        <v>23</v>
      </c>
      <c r="C6" s="2">
        <v>345</v>
      </c>
      <c r="D6" s="2">
        <v>64</v>
      </c>
      <c r="E6" s="2">
        <v>409</v>
      </c>
      <c r="F6" s="2">
        <v>412</v>
      </c>
      <c r="G6" s="2">
        <v>821</v>
      </c>
      <c r="H6" s="2">
        <v>233</v>
      </c>
      <c r="I6" s="2">
        <v>238</v>
      </c>
      <c r="J6" s="2">
        <v>46</v>
      </c>
      <c r="K6" s="2">
        <v>21</v>
      </c>
      <c r="L6" s="2">
        <v>888</v>
      </c>
      <c r="M6" s="2">
        <v>15695</v>
      </c>
      <c r="N6" s="13" t="s">
        <v>27</v>
      </c>
      <c r="O6" s="13" t="s">
        <v>27</v>
      </c>
    </row>
    <row r="7" spans="1:15" x14ac:dyDescent="0.3">
      <c r="A7" s="14">
        <v>43890.75</v>
      </c>
      <c r="B7" s="13" t="s">
        <v>23</v>
      </c>
      <c r="C7" s="2">
        <v>401</v>
      </c>
      <c r="D7" s="2">
        <v>105</v>
      </c>
      <c r="E7" s="2">
        <v>506</v>
      </c>
      <c r="F7" s="2">
        <v>543</v>
      </c>
      <c r="G7" s="2">
        <v>1049</v>
      </c>
      <c r="H7" s="2">
        <v>228</v>
      </c>
      <c r="I7" s="2">
        <v>240</v>
      </c>
      <c r="J7" s="2">
        <v>50</v>
      </c>
      <c r="K7" s="2">
        <v>29</v>
      </c>
      <c r="L7" s="2">
        <v>1128</v>
      </c>
      <c r="M7" s="2">
        <v>18661</v>
      </c>
      <c r="N7" s="13" t="s">
        <v>27</v>
      </c>
      <c r="O7" s="13" t="s">
        <v>27</v>
      </c>
    </row>
    <row r="8" spans="1:15" x14ac:dyDescent="0.3">
      <c r="A8" s="14">
        <v>43891.75</v>
      </c>
      <c r="B8" s="13" t="s">
        <v>23</v>
      </c>
      <c r="C8" s="2">
        <v>639</v>
      </c>
      <c r="D8" s="2">
        <v>140</v>
      </c>
      <c r="E8" s="2">
        <v>779</v>
      </c>
      <c r="F8" s="2">
        <v>798</v>
      </c>
      <c r="G8" s="2">
        <v>1577</v>
      </c>
      <c r="H8" s="2">
        <v>528</v>
      </c>
      <c r="I8" s="2">
        <v>566</v>
      </c>
      <c r="J8" s="2">
        <v>83</v>
      </c>
      <c r="K8" s="2">
        <v>34</v>
      </c>
      <c r="L8" s="2">
        <v>1694</v>
      </c>
      <c r="M8" s="2">
        <v>21127</v>
      </c>
      <c r="N8" s="13" t="s">
        <v>27</v>
      </c>
      <c r="O8" s="13" t="s">
        <v>27</v>
      </c>
    </row>
    <row r="9" spans="1:15" x14ac:dyDescent="0.3">
      <c r="A9" s="14">
        <v>43892.75</v>
      </c>
      <c r="B9" s="13" t="s">
        <v>23</v>
      </c>
      <c r="C9" s="2">
        <v>742</v>
      </c>
      <c r="D9" s="2">
        <v>166</v>
      </c>
      <c r="E9" s="2">
        <v>908</v>
      </c>
      <c r="F9" s="2">
        <v>927</v>
      </c>
      <c r="G9" s="2">
        <v>1835</v>
      </c>
      <c r="H9" s="2">
        <v>258</v>
      </c>
      <c r="I9" s="2">
        <v>342</v>
      </c>
      <c r="J9" s="2">
        <v>149</v>
      </c>
      <c r="K9" s="2">
        <v>52</v>
      </c>
      <c r="L9" s="2">
        <v>2036</v>
      </c>
      <c r="M9" s="2">
        <v>23345</v>
      </c>
      <c r="N9" s="13" t="s">
        <v>27</v>
      </c>
      <c r="O9" s="13" t="s">
        <v>27</v>
      </c>
    </row>
    <row r="10" spans="1:15" x14ac:dyDescent="0.3">
      <c r="A10" s="14">
        <v>43893.75</v>
      </c>
      <c r="B10" s="13" t="s">
        <v>23</v>
      </c>
      <c r="C10" s="2">
        <v>1034</v>
      </c>
      <c r="D10" s="2">
        <v>229</v>
      </c>
      <c r="E10" s="2">
        <v>1263</v>
      </c>
      <c r="F10" s="2">
        <v>1000</v>
      </c>
      <c r="G10" s="2">
        <v>2263</v>
      </c>
      <c r="H10" s="2">
        <v>428</v>
      </c>
      <c r="I10" s="2">
        <v>466</v>
      </c>
      <c r="J10" s="2">
        <v>160</v>
      </c>
      <c r="K10" s="2">
        <v>79</v>
      </c>
      <c r="L10" s="2">
        <v>2502</v>
      </c>
      <c r="M10" s="2">
        <v>25856</v>
      </c>
      <c r="N10" s="13" t="s">
        <v>27</v>
      </c>
      <c r="O10" s="13" t="s">
        <v>27</v>
      </c>
    </row>
    <row r="11" spans="1:15" x14ac:dyDescent="0.3">
      <c r="A11" s="14">
        <v>43894.75</v>
      </c>
      <c r="B11" s="13" t="s">
        <v>23</v>
      </c>
      <c r="C11" s="2">
        <v>1346</v>
      </c>
      <c r="D11" s="2">
        <v>295</v>
      </c>
      <c r="E11" s="2">
        <v>1641</v>
      </c>
      <c r="F11" s="2">
        <v>1065</v>
      </c>
      <c r="G11" s="2">
        <v>2706</v>
      </c>
      <c r="H11" s="2">
        <v>443</v>
      </c>
      <c r="I11" s="2">
        <v>587</v>
      </c>
      <c r="J11" s="2">
        <v>276</v>
      </c>
      <c r="K11" s="2">
        <v>107</v>
      </c>
      <c r="L11" s="2">
        <v>3089</v>
      </c>
      <c r="M11" s="2">
        <v>29837</v>
      </c>
      <c r="N11" s="13" t="s">
        <v>27</v>
      </c>
      <c r="O11" s="13" t="s">
        <v>27</v>
      </c>
    </row>
    <row r="12" spans="1:15" x14ac:dyDescent="0.3">
      <c r="A12" s="14">
        <v>43895.75</v>
      </c>
      <c r="B12" s="13" t="s">
        <v>23</v>
      </c>
      <c r="C12" s="2">
        <v>1790</v>
      </c>
      <c r="D12" s="2">
        <v>351</v>
      </c>
      <c r="E12" s="2">
        <v>2141</v>
      </c>
      <c r="F12" s="2">
        <v>1155</v>
      </c>
      <c r="G12" s="2">
        <v>3296</v>
      </c>
      <c r="H12" s="2">
        <v>590</v>
      </c>
      <c r="I12" s="2">
        <v>769</v>
      </c>
      <c r="J12" s="2">
        <v>414</v>
      </c>
      <c r="K12" s="2">
        <v>148</v>
      </c>
      <c r="L12" s="2">
        <v>3858</v>
      </c>
      <c r="M12" s="2">
        <v>32362</v>
      </c>
      <c r="N12" s="13" t="s">
        <v>27</v>
      </c>
      <c r="O12" s="13" t="s">
        <v>27</v>
      </c>
    </row>
    <row r="13" spans="1:15" x14ac:dyDescent="0.3">
      <c r="A13" s="14">
        <v>43896.75</v>
      </c>
      <c r="B13" s="13" t="s">
        <v>23</v>
      </c>
      <c r="C13" s="2">
        <v>2394</v>
      </c>
      <c r="D13" s="2">
        <v>462</v>
      </c>
      <c r="E13" s="2">
        <v>2856</v>
      </c>
      <c r="F13" s="2">
        <v>1060</v>
      </c>
      <c r="G13" s="2">
        <v>3916</v>
      </c>
      <c r="H13" s="2">
        <v>620</v>
      </c>
      <c r="I13" s="2">
        <v>778</v>
      </c>
      <c r="J13" s="2">
        <v>523</v>
      </c>
      <c r="K13" s="2">
        <v>197</v>
      </c>
      <c r="L13" s="2">
        <v>4636</v>
      </c>
      <c r="M13" s="2">
        <v>36359</v>
      </c>
      <c r="N13" s="13" t="s">
        <v>27</v>
      </c>
      <c r="O13" s="13" t="s">
        <v>27</v>
      </c>
    </row>
    <row r="14" spans="1:15" x14ac:dyDescent="0.3">
      <c r="A14" s="14">
        <v>43897.75</v>
      </c>
      <c r="B14" s="13" t="s">
        <v>23</v>
      </c>
      <c r="C14" s="2">
        <v>2651</v>
      </c>
      <c r="D14" s="2">
        <v>567</v>
      </c>
      <c r="E14" s="2">
        <v>3218</v>
      </c>
      <c r="F14" s="2">
        <v>1843</v>
      </c>
      <c r="G14" s="2">
        <v>5061</v>
      </c>
      <c r="H14" s="2">
        <v>1145</v>
      </c>
      <c r="I14" s="2">
        <v>1247</v>
      </c>
      <c r="J14" s="2">
        <v>589</v>
      </c>
      <c r="K14" s="2">
        <v>233</v>
      </c>
      <c r="L14" s="2">
        <v>5883</v>
      </c>
      <c r="M14" s="2">
        <v>42062</v>
      </c>
      <c r="N14" s="13" t="s">
        <v>28</v>
      </c>
      <c r="O14" s="13" t="s">
        <v>29</v>
      </c>
    </row>
    <row r="15" spans="1:15" x14ac:dyDescent="0.3">
      <c r="A15" s="14">
        <v>43898.75</v>
      </c>
      <c r="B15" s="13" t="s">
        <v>23</v>
      </c>
      <c r="C15" s="2">
        <v>3557</v>
      </c>
      <c r="D15" s="2">
        <v>650</v>
      </c>
      <c r="E15" s="2">
        <v>4207</v>
      </c>
      <c r="F15" s="2">
        <v>2180</v>
      </c>
      <c r="G15" s="2">
        <v>6387</v>
      </c>
      <c r="H15" s="2">
        <v>1326</v>
      </c>
      <c r="I15" s="2">
        <v>1492</v>
      </c>
      <c r="J15" s="2">
        <v>622</v>
      </c>
      <c r="K15" s="2">
        <v>366</v>
      </c>
      <c r="L15" s="2">
        <v>7375</v>
      </c>
      <c r="M15" s="2">
        <v>49937</v>
      </c>
      <c r="N15" s="13" t="s">
        <v>27</v>
      </c>
      <c r="O15" s="13" t="s">
        <v>27</v>
      </c>
    </row>
    <row r="16" spans="1:15" x14ac:dyDescent="0.3">
      <c r="A16" s="14">
        <v>43899.75</v>
      </c>
      <c r="B16" s="13" t="s">
        <v>23</v>
      </c>
      <c r="C16" s="2">
        <v>4316</v>
      </c>
      <c r="D16" s="2">
        <v>733</v>
      </c>
      <c r="E16" s="2">
        <v>5049</v>
      </c>
      <c r="F16" s="2">
        <v>2936</v>
      </c>
      <c r="G16" s="2">
        <v>7985</v>
      </c>
      <c r="H16" s="2">
        <v>1598</v>
      </c>
      <c r="I16" s="2">
        <v>1797</v>
      </c>
      <c r="J16" s="2">
        <v>724</v>
      </c>
      <c r="K16" s="2">
        <v>463</v>
      </c>
      <c r="L16" s="2">
        <v>9172</v>
      </c>
      <c r="M16" s="2">
        <v>53826</v>
      </c>
      <c r="N16" s="13" t="s">
        <v>27</v>
      </c>
      <c r="O16" s="13" t="s">
        <v>27</v>
      </c>
    </row>
    <row r="17" spans="1:15" x14ac:dyDescent="0.3">
      <c r="A17" s="14">
        <v>43900.75</v>
      </c>
      <c r="B17" s="13" t="s">
        <v>23</v>
      </c>
      <c r="C17" s="2">
        <v>5038</v>
      </c>
      <c r="D17" s="2">
        <v>877</v>
      </c>
      <c r="E17" s="2">
        <v>5915</v>
      </c>
      <c r="F17" s="2">
        <v>2599</v>
      </c>
      <c r="G17" s="2">
        <v>8514</v>
      </c>
      <c r="H17" s="2">
        <v>529</v>
      </c>
      <c r="I17" s="2">
        <v>977</v>
      </c>
      <c r="J17" s="2">
        <v>1004</v>
      </c>
      <c r="K17" s="2">
        <v>631</v>
      </c>
      <c r="L17" s="2">
        <v>10149</v>
      </c>
      <c r="M17" s="2">
        <v>60761</v>
      </c>
      <c r="N17" s="13" t="s">
        <v>30</v>
      </c>
      <c r="O17" s="13" t="s">
        <v>31</v>
      </c>
    </row>
    <row r="18" spans="1:15" x14ac:dyDescent="0.3">
      <c r="A18" s="14">
        <v>43901.708333333336</v>
      </c>
      <c r="B18" s="13" t="s">
        <v>23</v>
      </c>
      <c r="C18" s="2">
        <v>5838</v>
      </c>
      <c r="D18" s="2">
        <v>1028</v>
      </c>
      <c r="E18" s="2">
        <v>6866</v>
      </c>
      <c r="F18" s="2">
        <v>3724</v>
      </c>
      <c r="G18" s="2">
        <v>10590</v>
      </c>
      <c r="H18" s="2">
        <v>2076</v>
      </c>
      <c r="I18" s="2">
        <v>2313</v>
      </c>
      <c r="J18" s="2">
        <v>1045</v>
      </c>
      <c r="K18" s="2">
        <v>827</v>
      </c>
      <c r="L18" s="2">
        <v>12462</v>
      </c>
      <c r="M18" s="2">
        <v>73154</v>
      </c>
      <c r="N18" s="13" t="s">
        <v>32</v>
      </c>
      <c r="O18" s="13" t="s">
        <v>33</v>
      </c>
    </row>
    <row r="19" spans="1:15" x14ac:dyDescent="0.3">
      <c r="A19" s="14">
        <v>43902.708333333336</v>
      </c>
      <c r="B19" s="13" t="s">
        <v>23</v>
      </c>
      <c r="C19" s="2">
        <v>6650</v>
      </c>
      <c r="D19" s="2">
        <v>1153</v>
      </c>
      <c r="E19" s="2">
        <v>7803</v>
      </c>
      <c r="F19" s="2">
        <v>5036</v>
      </c>
      <c r="G19" s="2">
        <v>12839</v>
      </c>
      <c r="H19" s="2">
        <v>2249</v>
      </c>
      <c r="I19" s="2">
        <v>2651</v>
      </c>
      <c r="J19" s="2">
        <v>1258</v>
      </c>
      <c r="K19" s="2">
        <v>1016</v>
      </c>
      <c r="L19" s="2">
        <v>15113</v>
      </c>
      <c r="M19" s="2">
        <v>86011</v>
      </c>
      <c r="N19" s="13" t="s">
        <v>27</v>
      </c>
      <c r="O19" s="13" t="s">
        <v>27</v>
      </c>
    </row>
    <row r="20" spans="1:15" x14ac:dyDescent="0.3">
      <c r="A20" s="14">
        <v>43903.708333333336</v>
      </c>
      <c r="B20" s="13" t="s">
        <v>23</v>
      </c>
      <c r="C20" s="2">
        <v>7426</v>
      </c>
      <c r="D20" s="2">
        <v>1328</v>
      </c>
      <c r="E20" s="2">
        <v>8754</v>
      </c>
      <c r="F20" s="2">
        <v>6201</v>
      </c>
      <c r="G20" s="2">
        <v>14955</v>
      </c>
      <c r="H20" s="2">
        <v>2116</v>
      </c>
      <c r="I20" s="2">
        <v>2547</v>
      </c>
      <c r="J20" s="2">
        <v>1439</v>
      </c>
      <c r="K20" s="2">
        <v>1266</v>
      </c>
      <c r="L20" s="2">
        <v>17660</v>
      </c>
      <c r="M20" s="2">
        <v>97488</v>
      </c>
      <c r="N20" s="13" t="s">
        <v>27</v>
      </c>
      <c r="O20" s="13" t="s">
        <v>27</v>
      </c>
    </row>
    <row r="21" spans="1:15" x14ac:dyDescent="0.3">
      <c r="A21" s="14">
        <v>43904.708333333336</v>
      </c>
      <c r="B21" s="13" t="s">
        <v>23</v>
      </c>
      <c r="C21" s="2">
        <v>8372</v>
      </c>
      <c r="D21" s="2">
        <v>1518</v>
      </c>
      <c r="E21" s="2">
        <v>9890</v>
      </c>
      <c r="F21" s="2">
        <v>7860</v>
      </c>
      <c r="G21" s="2">
        <v>17750</v>
      </c>
      <c r="H21" s="2">
        <v>2795</v>
      </c>
      <c r="I21" s="2">
        <v>3497</v>
      </c>
      <c r="J21" s="2">
        <v>1966</v>
      </c>
      <c r="K21" s="2">
        <v>1441</v>
      </c>
      <c r="L21" s="2">
        <v>21157</v>
      </c>
      <c r="M21" s="2">
        <v>109170</v>
      </c>
      <c r="N21" s="13" t="s">
        <v>27</v>
      </c>
      <c r="O21" s="13" t="s">
        <v>27</v>
      </c>
    </row>
    <row r="22" spans="1:15" x14ac:dyDescent="0.3">
      <c r="A22" s="14">
        <v>43905.708333333336</v>
      </c>
      <c r="B22" s="13" t="s">
        <v>23</v>
      </c>
      <c r="C22" s="2">
        <v>9663</v>
      </c>
      <c r="D22" s="2">
        <v>1672</v>
      </c>
      <c r="E22" s="2">
        <v>11335</v>
      </c>
      <c r="F22" s="2">
        <v>9268</v>
      </c>
      <c r="G22" s="2">
        <v>20603</v>
      </c>
      <c r="H22" s="2">
        <v>2853</v>
      </c>
      <c r="I22" s="2">
        <v>3590</v>
      </c>
      <c r="J22" s="2">
        <v>2335</v>
      </c>
      <c r="K22" s="2">
        <v>1809</v>
      </c>
      <c r="L22" s="2">
        <v>24747</v>
      </c>
      <c r="M22" s="2">
        <v>124899</v>
      </c>
      <c r="N22" s="13" t="s">
        <v>27</v>
      </c>
      <c r="O22" s="13" t="s">
        <v>27</v>
      </c>
    </row>
    <row r="23" spans="1:15" x14ac:dyDescent="0.3">
      <c r="A23" s="14">
        <v>43906.708333333336</v>
      </c>
      <c r="B23" s="13" t="s">
        <v>23</v>
      </c>
      <c r="C23" s="2">
        <v>11025</v>
      </c>
      <c r="D23" s="2">
        <v>1851</v>
      </c>
      <c r="E23" s="2">
        <v>12876</v>
      </c>
      <c r="F23" s="2">
        <v>10197</v>
      </c>
      <c r="G23" s="2">
        <v>23073</v>
      </c>
      <c r="H23" s="2">
        <v>2470</v>
      </c>
      <c r="I23" s="2">
        <v>3233</v>
      </c>
      <c r="J23" s="2">
        <v>2749</v>
      </c>
      <c r="K23" s="2">
        <v>2158</v>
      </c>
      <c r="L23" s="2">
        <v>27980</v>
      </c>
      <c r="M23" s="2">
        <v>137962</v>
      </c>
      <c r="N23" s="13" t="s">
        <v>34</v>
      </c>
      <c r="O23" s="13" t="s">
        <v>35</v>
      </c>
    </row>
    <row r="24" spans="1:15" x14ac:dyDescent="0.3">
      <c r="A24" s="14">
        <v>43907.708333333336</v>
      </c>
      <c r="B24" s="13" t="s">
        <v>23</v>
      </c>
      <c r="C24" s="2">
        <v>12894</v>
      </c>
      <c r="D24" s="2">
        <v>2060</v>
      </c>
      <c r="E24" s="2">
        <v>14954</v>
      </c>
      <c r="F24" s="2">
        <v>11108</v>
      </c>
      <c r="G24" s="2">
        <v>26062</v>
      </c>
      <c r="H24" s="2">
        <v>2989</v>
      </c>
      <c r="I24" s="2">
        <v>3526</v>
      </c>
      <c r="J24" s="2">
        <v>2941</v>
      </c>
      <c r="K24" s="2">
        <v>2503</v>
      </c>
      <c r="L24" s="2">
        <v>31506</v>
      </c>
      <c r="M24" s="2">
        <v>148657</v>
      </c>
      <c r="N24" s="13" t="s">
        <v>36</v>
      </c>
      <c r="O24" s="13" t="s">
        <v>37</v>
      </c>
    </row>
    <row r="25" spans="1:15" x14ac:dyDescent="0.3">
      <c r="A25" s="14">
        <v>43908.708333333336</v>
      </c>
      <c r="B25" s="13" t="s">
        <v>23</v>
      </c>
      <c r="C25" s="2">
        <v>14363</v>
      </c>
      <c r="D25" s="2">
        <v>2257</v>
      </c>
      <c r="E25" s="2">
        <v>16620</v>
      </c>
      <c r="F25" s="2">
        <v>12090</v>
      </c>
      <c r="G25" s="2">
        <v>28710</v>
      </c>
      <c r="H25" s="2">
        <v>2648</v>
      </c>
      <c r="I25" s="2">
        <v>4207</v>
      </c>
      <c r="J25" s="2">
        <v>4025</v>
      </c>
      <c r="K25" s="2">
        <v>2978</v>
      </c>
      <c r="L25" s="2">
        <v>35713</v>
      </c>
      <c r="M25" s="2">
        <v>165541</v>
      </c>
      <c r="N25" s="13" t="s">
        <v>38</v>
      </c>
      <c r="O25" s="13" t="s">
        <v>39</v>
      </c>
    </row>
    <row r="26" spans="1:15" x14ac:dyDescent="0.3">
      <c r="A26" s="14">
        <v>43909.708333333336</v>
      </c>
      <c r="B26" s="13" t="s">
        <v>23</v>
      </c>
      <c r="C26" s="2">
        <v>15757</v>
      </c>
      <c r="D26" s="2">
        <v>2498</v>
      </c>
      <c r="E26" s="2">
        <v>18255</v>
      </c>
      <c r="F26" s="2">
        <v>14935</v>
      </c>
      <c r="G26" s="2">
        <v>33190</v>
      </c>
      <c r="H26" s="2">
        <v>4480</v>
      </c>
      <c r="I26" s="2">
        <v>5322</v>
      </c>
      <c r="J26" s="2">
        <v>4440</v>
      </c>
      <c r="K26" s="2">
        <v>3405</v>
      </c>
      <c r="L26" s="2">
        <v>41035</v>
      </c>
      <c r="M26" s="2">
        <v>182777</v>
      </c>
      <c r="N26" s="13" t="s">
        <v>27</v>
      </c>
      <c r="O26" s="13" t="s">
        <v>27</v>
      </c>
    </row>
    <row r="27" spans="1:15" x14ac:dyDescent="0.3">
      <c r="A27" s="14">
        <v>43910.708333333336</v>
      </c>
      <c r="B27" s="13" t="s">
        <v>23</v>
      </c>
      <c r="C27" s="2">
        <v>16020</v>
      </c>
      <c r="D27" s="2">
        <v>2655</v>
      </c>
      <c r="E27" s="2">
        <v>18675</v>
      </c>
      <c r="F27" s="2">
        <v>19185</v>
      </c>
      <c r="G27" s="2">
        <v>37860</v>
      </c>
      <c r="H27" s="2">
        <v>4670</v>
      </c>
      <c r="I27" s="2">
        <v>5986</v>
      </c>
      <c r="J27" s="2">
        <v>5129</v>
      </c>
      <c r="K27" s="2">
        <v>4032</v>
      </c>
      <c r="L27" s="2">
        <v>47021</v>
      </c>
      <c r="M27" s="2">
        <v>206886</v>
      </c>
      <c r="N27" s="13" t="s">
        <v>27</v>
      </c>
      <c r="O27" s="13" t="s">
        <v>27</v>
      </c>
    </row>
    <row r="28" spans="1:15" x14ac:dyDescent="0.3">
      <c r="A28" s="14">
        <v>43911.708333333336</v>
      </c>
      <c r="B28" s="13" t="s">
        <v>23</v>
      </c>
      <c r="C28" s="2">
        <v>17708</v>
      </c>
      <c r="D28" s="2">
        <v>2857</v>
      </c>
      <c r="E28" s="2">
        <v>20565</v>
      </c>
      <c r="F28" s="2">
        <v>22116</v>
      </c>
      <c r="G28" s="2">
        <v>42681</v>
      </c>
      <c r="H28" s="2">
        <v>4821</v>
      </c>
      <c r="I28" s="2">
        <v>6557</v>
      </c>
      <c r="J28" s="2">
        <v>6072</v>
      </c>
      <c r="K28" s="2">
        <v>4825</v>
      </c>
      <c r="L28" s="2">
        <v>53578</v>
      </c>
      <c r="M28" s="2">
        <v>233222</v>
      </c>
      <c r="N28" s="13" t="s">
        <v>27</v>
      </c>
      <c r="O28" s="13" t="s">
        <v>27</v>
      </c>
    </row>
    <row r="29" spans="1:15" x14ac:dyDescent="0.3">
      <c r="A29" s="14">
        <v>43912.708333333336</v>
      </c>
      <c r="B29" s="13" t="s">
        <v>23</v>
      </c>
      <c r="C29" s="2">
        <v>19846</v>
      </c>
      <c r="D29" s="2">
        <v>3009</v>
      </c>
      <c r="E29" s="2">
        <v>22855</v>
      </c>
      <c r="F29" s="2">
        <v>23783</v>
      </c>
      <c r="G29" s="2">
        <v>46638</v>
      </c>
      <c r="H29" s="2">
        <v>3957</v>
      </c>
      <c r="I29" s="2">
        <v>5560</v>
      </c>
      <c r="J29" s="2">
        <v>7024</v>
      </c>
      <c r="K29" s="2">
        <v>5476</v>
      </c>
      <c r="L29" s="2">
        <v>59138</v>
      </c>
      <c r="M29" s="2">
        <v>258402</v>
      </c>
      <c r="N29" s="13" t="s">
        <v>27</v>
      </c>
      <c r="O29" s="13" t="s">
        <v>27</v>
      </c>
    </row>
    <row r="30" spans="1:15" x14ac:dyDescent="0.3">
      <c r="A30" s="14">
        <v>43913.708333333336</v>
      </c>
      <c r="B30" s="13" t="s">
        <v>23</v>
      </c>
      <c r="C30" s="2">
        <v>20692</v>
      </c>
      <c r="D30" s="2">
        <v>3204</v>
      </c>
      <c r="E30" s="2">
        <v>23896</v>
      </c>
      <c r="F30" s="2">
        <v>26522</v>
      </c>
      <c r="G30" s="2">
        <v>50418</v>
      </c>
      <c r="H30" s="2">
        <v>3780</v>
      </c>
      <c r="I30" s="2">
        <v>4789</v>
      </c>
      <c r="J30" s="2">
        <v>7432</v>
      </c>
      <c r="K30" s="2">
        <v>6077</v>
      </c>
      <c r="L30" s="2">
        <v>63927</v>
      </c>
      <c r="M30" s="2">
        <v>275468</v>
      </c>
      <c r="N30" s="13" t="s">
        <v>27</v>
      </c>
      <c r="O30" s="13" t="s">
        <v>27</v>
      </c>
    </row>
    <row r="31" spans="1:15" x14ac:dyDescent="0.3">
      <c r="A31" s="14">
        <v>43914.708333333336</v>
      </c>
      <c r="B31" s="13" t="s">
        <v>23</v>
      </c>
      <c r="C31" s="2">
        <v>21937</v>
      </c>
      <c r="D31" s="2">
        <v>3396</v>
      </c>
      <c r="E31" s="2">
        <v>25333</v>
      </c>
      <c r="F31" s="2">
        <v>28697</v>
      </c>
      <c r="G31" s="2">
        <v>54030</v>
      </c>
      <c r="H31" s="2">
        <v>3612</v>
      </c>
      <c r="I31" s="2">
        <v>5249</v>
      </c>
      <c r="J31" s="2">
        <v>8326</v>
      </c>
      <c r="K31" s="2">
        <v>6820</v>
      </c>
      <c r="L31" s="2">
        <v>69176</v>
      </c>
      <c r="M31" s="2">
        <v>296964</v>
      </c>
      <c r="N31" s="13" t="s">
        <v>27</v>
      </c>
      <c r="O31" s="13" t="s">
        <v>27</v>
      </c>
    </row>
    <row r="32" spans="1:15" x14ac:dyDescent="0.3">
      <c r="A32" s="14">
        <v>43915.708333333336</v>
      </c>
      <c r="B32" s="13" t="s">
        <v>23</v>
      </c>
      <c r="C32" s="2">
        <v>23112</v>
      </c>
      <c r="D32" s="2">
        <v>3489</v>
      </c>
      <c r="E32" s="2">
        <v>26601</v>
      </c>
      <c r="F32" s="2">
        <v>30920</v>
      </c>
      <c r="G32" s="2">
        <v>57521</v>
      </c>
      <c r="H32" s="2">
        <v>3491</v>
      </c>
      <c r="I32" s="2">
        <v>5210</v>
      </c>
      <c r="J32" s="2">
        <v>9362</v>
      </c>
      <c r="K32" s="2">
        <v>7503</v>
      </c>
      <c r="L32" s="2">
        <v>74386</v>
      </c>
      <c r="M32" s="2">
        <v>324445</v>
      </c>
      <c r="N32" s="13" t="s">
        <v>27</v>
      </c>
      <c r="O32" s="13" t="s">
        <v>27</v>
      </c>
    </row>
    <row r="33" spans="1:15" x14ac:dyDescent="0.3">
      <c r="A33" s="14">
        <v>43916.708333333336</v>
      </c>
      <c r="B33" s="13" t="s">
        <v>23</v>
      </c>
      <c r="C33" s="2">
        <v>24753</v>
      </c>
      <c r="D33" s="2">
        <v>3612</v>
      </c>
      <c r="E33" s="2">
        <v>28365</v>
      </c>
      <c r="F33" s="2">
        <v>33648</v>
      </c>
      <c r="G33" s="2">
        <v>62013</v>
      </c>
      <c r="H33" s="2">
        <v>4492</v>
      </c>
      <c r="I33" s="2">
        <v>6153</v>
      </c>
      <c r="J33" s="2">
        <v>10361</v>
      </c>
      <c r="K33" s="2">
        <v>8165</v>
      </c>
      <c r="L33" s="2">
        <v>80539</v>
      </c>
      <c r="M33" s="2">
        <v>361060</v>
      </c>
      <c r="N33" s="13" t="s">
        <v>89</v>
      </c>
      <c r="O33" s="13" t="s">
        <v>90</v>
      </c>
    </row>
    <row r="34" spans="1:15" x14ac:dyDescent="0.3">
      <c r="A34" s="14">
        <v>43917.708333333336</v>
      </c>
      <c r="B34" s="13" t="s">
        <v>23</v>
      </c>
      <c r="C34" s="2">
        <v>26029</v>
      </c>
      <c r="D34" s="2">
        <v>3732</v>
      </c>
      <c r="E34" s="2">
        <v>29761</v>
      </c>
      <c r="F34" s="2">
        <v>36653</v>
      </c>
      <c r="G34" s="2">
        <v>66414</v>
      </c>
      <c r="H34" s="2">
        <v>4401</v>
      </c>
      <c r="I34" s="2">
        <v>5959</v>
      </c>
      <c r="J34" s="2">
        <v>10950</v>
      </c>
      <c r="K34" s="2">
        <v>9134</v>
      </c>
      <c r="L34" s="2">
        <v>86498</v>
      </c>
      <c r="M34" s="2">
        <v>394079</v>
      </c>
      <c r="N34" s="13" t="s">
        <v>27</v>
      </c>
      <c r="O34" s="13" t="s">
        <v>27</v>
      </c>
    </row>
    <row r="35" spans="1:15" x14ac:dyDescent="0.3">
      <c r="A35" s="14">
        <v>43918.708333333336</v>
      </c>
      <c r="B35" s="13" t="s">
        <v>23</v>
      </c>
      <c r="C35" s="2">
        <v>26676</v>
      </c>
      <c r="D35" s="2">
        <v>3856</v>
      </c>
      <c r="E35" s="2">
        <v>30532</v>
      </c>
      <c r="F35" s="2">
        <v>39533</v>
      </c>
      <c r="G35" s="2">
        <v>70065</v>
      </c>
      <c r="H35" s="2">
        <v>3651</v>
      </c>
      <c r="I35" s="2">
        <v>5974</v>
      </c>
      <c r="J35" s="2">
        <v>12384</v>
      </c>
      <c r="K35" s="2">
        <v>10023</v>
      </c>
      <c r="L35" s="2">
        <v>92472</v>
      </c>
      <c r="M35" s="2">
        <v>429526</v>
      </c>
      <c r="N35" s="13" t="s">
        <v>27</v>
      </c>
      <c r="O35" s="13" t="s">
        <v>27</v>
      </c>
    </row>
    <row r="36" spans="1:15" x14ac:dyDescent="0.3">
      <c r="A36" s="14">
        <v>43919.708333333336</v>
      </c>
      <c r="B36" s="13" t="s">
        <v>23</v>
      </c>
      <c r="C36" s="2">
        <v>27386</v>
      </c>
      <c r="D36" s="2">
        <v>3906</v>
      </c>
      <c r="E36" s="2">
        <v>31292</v>
      </c>
      <c r="F36" s="2">
        <v>42588</v>
      </c>
      <c r="G36" s="2">
        <v>73880</v>
      </c>
      <c r="H36" s="2">
        <v>3815</v>
      </c>
      <c r="I36" s="2">
        <v>5217</v>
      </c>
      <c r="J36" s="2">
        <v>13030</v>
      </c>
      <c r="K36" s="2">
        <v>10779</v>
      </c>
      <c r="L36" s="2">
        <v>97689</v>
      </c>
      <c r="M36" s="2">
        <v>454030</v>
      </c>
      <c r="N36" s="13" t="s">
        <v>96</v>
      </c>
      <c r="O36" s="13" t="s">
        <v>97</v>
      </c>
    </row>
    <row r="37" spans="1:15" x14ac:dyDescent="0.3">
      <c r="A37" s="14">
        <v>43920.708333333336</v>
      </c>
      <c r="B37" s="13" t="s">
        <v>23</v>
      </c>
      <c r="C37" s="2">
        <v>27795</v>
      </c>
      <c r="D37" s="2">
        <v>3981</v>
      </c>
      <c r="E37" s="2">
        <v>31776</v>
      </c>
      <c r="F37" s="2">
        <v>43752</v>
      </c>
      <c r="G37" s="2">
        <v>75528</v>
      </c>
      <c r="H37" s="2">
        <v>1648</v>
      </c>
      <c r="I37" s="2">
        <v>4050</v>
      </c>
      <c r="J37" s="2">
        <v>14620</v>
      </c>
      <c r="K37" s="2">
        <v>11591</v>
      </c>
      <c r="L37" s="2">
        <v>101739</v>
      </c>
      <c r="M37" s="2">
        <v>477359</v>
      </c>
      <c r="N37" s="13" t="s">
        <v>27</v>
      </c>
      <c r="O37" s="13" t="s">
        <v>27</v>
      </c>
    </row>
    <row r="38" spans="1:15" x14ac:dyDescent="0.3">
      <c r="A38" s="14">
        <v>43921.708333333336</v>
      </c>
      <c r="B38" s="13" t="s">
        <v>23</v>
      </c>
      <c r="C38" s="2">
        <v>28192</v>
      </c>
      <c r="D38" s="2">
        <v>4023</v>
      </c>
      <c r="E38" s="2">
        <v>32215</v>
      </c>
      <c r="F38" s="2">
        <v>45420</v>
      </c>
      <c r="G38" s="2">
        <v>77635</v>
      </c>
      <c r="H38" s="2">
        <v>2107</v>
      </c>
      <c r="I38" s="2">
        <v>4053</v>
      </c>
      <c r="J38" s="2">
        <v>15729</v>
      </c>
      <c r="K38" s="2">
        <v>12428</v>
      </c>
      <c r="L38" s="2">
        <v>105792</v>
      </c>
      <c r="M38" s="2">
        <v>506968</v>
      </c>
      <c r="N38" s="13" t="s">
        <v>27</v>
      </c>
      <c r="O38" s="13" t="s">
        <v>27</v>
      </c>
    </row>
    <row r="39" spans="1:15" x14ac:dyDescent="0.3">
      <c r="A39" s="14">
        <v>43922.708333333336</v>
      </c>
      <c r="B39" s="13" t="s">
        <v>23</v>
      </c>
      <c r="C39" s="2">
        <v>28403</v>
      </c>
      <c r="D39" s="2">
        <v>4035</v>
      </c>
      <c r="E39" s="2">
        <v>32438</v>
      </c>
      <c r="F39" s="2">
        <v>48134</v>
      </c>
      <c r="G39" s="2">
        <v>80572</v>
      </c>
      <c r="H39" s="2">
        <v>2937</v>
      </c>
      <c r="I39" s="2">
        <v>4782</v>
      </c>
      <c r="J39" s="2">
        <v>16847</v>
      </c>
      <c r="K39" s="2">
        <v>13155</v>
      </c>
      <c r="L39" s="2">
        <v>110574</v>
      </c>
      <c r="M39" s="2">
        <v>541423</v>
      </c>
      <c r="N39" s="13" t="s">
        <v>27</v>
      </c>
      <c r="O39" s="13" t="s">
        <v>27</v>
      </c>
    </row>
    <row r="40" spans="1:15" x14ac:dyDescent="0.3">
      <c r="A40" s="14">
        <v>43923.708333333336</v>
      </c>
      <c r="B40" s="13" t="s">
        <v>23</v>
      </c>
      <c r="C40" s="2">
        <v>28540</v>
      </c>
      <c r="D40" s="2">
        <v>4053</v>
      </c>
      <c r="E40" s="2">
        <v>32593</v>
      </c>
      <c r="F40" s="2">
        <v>50456</v>
      </c>
      <c r="G40" s="2">
        <v>83049</v>
      </c>
      <c r="H40" s="2">
        <v>2477</v>
      </c>
      <c r="I40" s="2">
        <v>4668</v>
      </c>
      <c r="J40" s="2">
        <v>18278</v>
      </c>
      <c r="K40" s="2">
        <v>13915</v>
      </c>
      <c r="L40" s="2">
        <v>115242</v>
      </c>
      <c r="M40" s="2">
        <v>581232</v>
      </c>
      <c r="N40" s="13" t="s">
        <v>27</v>
      </c>
      <c r="O40" s="13" t="s">
        <v>27</v>
      </c>
    </row>
    <row r="41" spans="1:15" x14ac:dyDescent="0.3">
      <c r="A41" s="14">
        <v>43924.708333333336</v>
      </c>
      <c r="B41" s="13" t="s">
        <v>23</v>
      </c>
      <c r="C41" s="2">
        <v>28741</v>
      </c>
      <c r="D41" s="2">
        <v>4068</v>
      </c>
      <c r="E41" s="2">
        <v>32809</v>
      </c>
      <c r="F41" s="2">
        <v>52579</v>
      </c>
      <c r="G41" s="2">
        <v>85388</v>
      </c>
      <c r="H41" s="2">
        <v>2339</v>
      </c>
      <c r="I41" s="2">
        <v>4585</v>
      </c>
      <c r="J41" s="2">
        <v>19758</v>
      </c>
      <c r="K41" s="2">
        <v>14681</v>
      </c>
      <c r="L41" s="2">
        <v>119827</v>
      </c>
      <c r="M41" s="2">
        <v>619849</v>
      </c>
      <c r="N41" s="13" t="s">
        <v>27</v>
      </c>
      <c r="O41" s="13" t="s">
        <v>27</v>
      </c>
    </row>
    <row r="42" spans="1:15" x14ac:dyDescent="0.3">
      <c r="A42" s="14">
        <v>43925.708333333336</v>
      </c>
      <c r="B42" s="13" t="s">
        <v>23</v>
      </c>
      <c r="C42" s="2">
        <v>29010</v>
      </c>
      <c r="D42" s="2">
        <v>3994</v>
      </c>
      <c r="E42" s="2">
        <v>33004</v>
      </c>
      <c r="F42" s="2">
        <v>55270</v>
      </c>
      <c r="G42" s="2">
        <v>88274</v>
      </c>
      <c r="H42" s="2">
        <v>2886</v>
      </c>
      <c r="I42" s="2">
        <v>4805</v>
      </c>
      <c r="J42" s="2">
        <v>20996</v>
      </c>
      <c r="K42" s="2">
        <v>15362</v>
      </c>
      <c r="L42" s="2">
        <v>124632</v>
      </c>
      <c r="M42" s="2">
        <v>657224</v>
      </c>
      <c r="N42" s="13" t="s">
        <v>27</v>
      </c>
      <c r="O42" s="13" t="s">
        <v>27</v>
      </c>
    </row>
    <row r="43" spans="1:15" x14ac:dyDescent="0.3">
      <c r="A43" s="14">
        <v>43926.708333333336</v>
      </c>
      <c r="B43" s="13" t="s">
        <v>23</v>
      </c>
      <c r="C43" s="2">
        <v>28949</v>
      </c>
      <c r="D43" s="2">
        <v>3977</v>
      </c>
      <c r="E43" s="2">
        <v>32926</v>
      </c>
      <c r="F43" s="2">
        <v>58320</v>
      </c>
      <c r="G43" s="2">
        <v>91246</v>
      </c>
      <c r="H43" s="2">
        <v>2972</v>
      </c>
      <c r="I43" s="2">
        <v>4316</v>
      </c>
      <c r="J43" s="2">
        <v>21815</v>
      </c>
      <c r="K43" s="2">
        <v>15887</v>
      </c>
      <c r="L43" s="2">
        <v>128948</v>
      </c>
      <c r="M43" s="2">
        <v>691461</v>
      </c>
      <c r="N43" s="13" t="s">
        <v>27</v>
      </c>
      <c r="O43" s="13" t="s">
        <v>27</v>
      </c>
    </row>
    <row r="44" spans="1:15" x14ac:dyDescent="0.3">
      <c r="A44" s="14">
        <v>43927.708333333336</v>
      </c>
      <c r="B44" s="13" t="s">
        <v>23</v>
      </c>
      <c r="C44" s="2">
        <v>28976</v>
      </c>
      <c r="D44" s="2">
        <v>3898</v>
      </c>
      <c r="E44" s="2">
        <v>32874</v>
      </c>
      <c r="F44" s="2">
        <v>60313</v>
      </c>
      <c r="G44" s="2">
        <v>93187</v>
      </c>
      <c r="H44" s="2">
        <v>1941</v>
      </c>
      <c r="I44" s="2">
        <v>3599</v>
      </c>
      <c r="J44" s="2">
        <v>22837</v>
      </c>
      <c r="K44" s="2">
        <v>16523</v>
      </c>
      <c r="L44" s="2">
        <v>132547</v>
      </c>
      <c r="M44" s="2">
        <v>721732</v>
      </c>
      <c r="N44" s="13" t="s">
        <v>27</v>
      </c>
      <c r="O44" s="13" t="s">
        <v>27</v>
      </c>
    </row>
    <row r="45" spans="1:15" x14ac:dyDescent="0.3">
      <c r="A45" s="14">
        <v>43928.708333333336</v>
      </c>
      <c r="B45" s="13" t="s">
        <v>23</v>
      </c>
      <c r="C45" s="2">
        <v>28718</v>
      </c>
      <c r="D45" s="2">
        <v>3792</v>
      </c>
      <c r="E45" s="2">
        <v>32510</v>
      </c>
      <c r="F45" s="2">
        <v>61557</v>
      </c>
      <c r="G45" s="2">
        <v>94067</v>
      </c>
      <c r="H45" s="2">
        <v>880</v>
      </c>
      <c r="I45" s="2">
        <v>3039</v>
      </c>
      <c r="J45" s="2">
        <v>24392</v>
      </c>
      <c r="K45" s="2">
        <v>17127</v>
      </c>
      <c r="L45" s="2">
        <v>135586</v>
      </c>
      <c r="M45" s="2">
        <v>755445</v>
      </c>
      <c r="N45" s="13" t="s">
        <v>27</v>
      </c>
      <c r="O45" s="13" t="s">
        <v>27</v>
      </c>
    </row>
    <row r="46" spans="1:15" x14ac:dyDescent="0.3">
      <c r="A46" s="14">
        <v>43929.708333333336</v>
      </c>
      <c r="B46" s="13" t="s">
        <v>23</v>
      </c>
      <c r="C46" s="2">
        <v>28485</v>
      </c>
      <c r="D46" s="2">
        <v>3693</v>
      </c>
      <c r="E46" s="2">
        <v>32178</v>
      </c>
      <c r="F46" s="2">
        <v>63084</v>
      </c>
      <c r="G46" s="2">
        <v>95262</v>
      </c>
      <c r="H46" s="2">
        <v>1195</v>
      </c>
      <c r="I46" s="2">
        <v>3836</v>
      </c>
      <c r="J46" s="2">
        <v>26491</v>
      </c>
      <c r="K46" s="2">
        <v>17669</v>
      </c>
      <c r="L46" s="2">
        <v>139422</v>
      </c>
      <c r="M46" s="2">
        <v>807125</v>
      </c>
      <c r="N46" s="13" t="s">
        <v>27</v>
      </c>
      <c r="O46" s="13" t="s">
        <v>27</v>
      </c>
    </row>
    <row r="47" spans="1:15" x14ac:dyDescent="0.3">
      <c r="A47" s="14">
        <v>43930.708333333336</v>
      </c>
      <c r="B47" s="13" t="s">
        <v>23</v>
      </c>
      <c r="C47" s="2">
        <v>28399</v>
      </c>
      <c r="D47" s="2">
        <v>3605</v>
      </c>
      <c r="E47" s="2">
        <v>32004</v>
      </c>
      <c r="F47" s="2">
        <v>64873</v>
      </c>
      <c r="G47" s="2">
        <v>96877</v>
      </c>
      <c r="H47" s="2">
        <v>1615</v>
      </c>
      <c r="I47" s="2">
        <v>4204</v>
      </c>
      <c r="J47" s="2">
        <v>28470</v>
      </c>
      <c r="K47" s="2">
        <v>18279</v>
      </c>
      <c r="L47" s="2">
        <v>143626</v>
      </c>
      <c r="M47" s="2">
        <v>853369</v>
      </c>
      <c r="N47" s="13" t="s">
        <v>27</v>
      </c>
      <c r="O47" s="13" t="s">
        <v>27</v>
      </c>
    </row>
    <row r="48" spans="1:15" x14ac:dyDescent="0.3">
      <c r="A48" s="14">
        <v>43931.708333333336</v>
      </c>
      <c r="B48" s="13" t="s">
        <v>23</v>
      </c>
      <c r="C48" s="2">
        <v>28242</v>
      </c>
      <c r="D48" s="2">
        <v>3497</v>
      </c>
      <c r="E48" s="2">
        <v>31739</v>
      </c>
      <c r="F48" s="2">
        <v>66534</v>
      </c>
      <c r="G48" s="2">
        <v>98273</v>
      </c>
      <c r="H48" s="2">
        <v>1396</v>
      </c>
      <c r="I48" s="2">
        <v>3951</v>
      </c>
      <c r="J48" s="2">
        <v>30455</v>
      </c>
      <c r="K48" s="2">
        <v>18849</v>
      </c>
      <c r="L48" s="2">
        <v>147577</v>
      </c>
      <c r="M48" s="2">
        <v>906864</v>
      </c>
      <c r="N48" s="13" t="s">
        <v>122</v>
      </c>
      <c r="O48" s="13" t="s">
        <v>123</v>
      </c>
    </row>
    <row r="49" spans="1:15" x14ac:dyDescent="0.3">
      <c r="A49" s="14">
        <v>43932.708333333336</v>
      </c>
      <c r="B49" s="13" t="s">
        <v>23</v>
      </c>
      <c r="C49" s="2">
        <v>28144</v>
      </c>
      <c r="D49" s="2">
        <v>3381</v>
      </c>
      <c r="E49" s="2">
        <v>31525</v>
      </c>
      <c r="F49" s="2">
        <v>68744</v>
      </c>
      <c r="G49" s="2">
        <v>100269</v>
      </c>
      <c r="H49" s="2">
        <v>1996</v>
      </c>
      <c r="I49" s="2">
        <v>4694</v>
      </c>
      <c r="J49" s="2">
        <v>32534</v>
      </c>
      <c r="K49" s="2">
        <v>19468</v>
      </c>
      <c r="L49" s="2">
        <v>152271</v>
      </c>
      <c r="M49" s="2">
        <v>963473</v>
      </c>
      <c r="N49" s="13" t="s">
        <v>27</v>
      </c>
      <c r="O49" s="13" t="s">
        <v>27</v>
      </c>
    </row>
    <row r="50" spans="1:15" x14ac:dyDescent="0.3">
      <c r="A50" s="14">
        <v>43933.708333333336</v>
      </c>
      <c r="B50" s="13" t="s">
        <v>23</v>
      </c>
      <c r="C50" s="2">
        <v>27847</v>
      </c>
      <c r="D50" s="2">
        <v>3343</v>
      </c>
      <c r="E50" s="2">
        <v>31190</v>
      </c>
      <c r="F50" s="2">
        <v>71063</v>
      </c>
      <c r="G50" s="2">
        <v>102253</v>
      </c>
      <c r="H50" s="2">
        <v>1984</v>
      </c>
      <c r="I50" s="2">
        <v>4092</v>
      </c>
      <c r="J50" s="2">
        <v>34211</v>
      </c>
      <c r="K50" s="2">
        <v>19899</v>
      </c>
      <c r="L50" s="2">
        <v>156363</v>
      </c>
      <c r="M50" s="2">
        <v>1010193</v>
      </c>
      <c r="N50" s="13" t="s">
        <v>124</v>
      </c>
      <c r="O50" s="13" t="s">
        <v>125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F6F9-923D-422A-9A53-198F3DB97684}">
  <dimension ref="A1:S1030"/>
  <sheetViews>
    <sheetView topLeftCell="H452" workbookViewId="0">
      <selection activeCell="O11" sqref="O11 O32 O53 O74 O95 O116 O137 O158 O179 O200 O221 O242 O263 O284 O305 O326 O347 O368 O389 O410 O431 O452 O473 O494 O515 O536 O557 O578 O599 O620 O641 O662 O683 O704 O725 O746 O767 O788 O809 O830 O851 O872 O893 O914 O935 O956 O977 O998 O1019"/>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15.109375" bestFit="1" customWidth="1"/>
    <col min="12" max="12" width="25" bestFit="1" customWidth="1"/>
    <col min="13" max="13" width="15" bestFit="1" customWidth="1"/>
    <col min="14" max="14" width="15.88671875" bestFit="1" customWidth="1"/>
    <col min="15" max="15" width="10.5546875" bestFit="1" customWidth="1"/>
    <col min="16" max="16" width="12.21875" bestFit="1" customWidth="1"/>
    <col min="17" max="17" width="10.33203125" bestFit="1" customWidth="1"/>
    <col min="18" max="18" width="9.88671875" bestFit="1" customWidth="1"/>
    <col min="19" max="19" width="10.6640625" bestFit="1" customWidth="1"/>
  </cols>
  <sheetData>
    <row r="1" spans="1:19" x14ac:dyDescent="0.3">
      <c r="A1" t="s">
        <v>13</v>
      </c>
      <c r="B1" t="s">
        <v>14</v>
      </c>
      <c r="C1" t="s">
        <v>40</v>
      </c>
      <c r="D1" t="s">
        <v>41</v>
      </c>
      <c r="E1" t="s">
        <v>42</v>
      </c>
      <c r="F1" t="s">
        <v>43</v>
      </c>
      <c r="G1" t="s">
        <v>15</v>
      </c>
      <c r="H1" t="s">
        <v>16</v>
      </c>
      <c r="I1" t="s">
        <v>17</v>
      </c>
      <c r="J1" t="s">
        <v>18</v>
      </c>
      <c r="K1" t="s">
        <v>93</v>
      </c>
      <c r="L1" t="s">
        <v>94</v>
      </c>
      <c r="M1" t="s">
        <v>95</v>
      </c>
      <c r="N1" t="s">
        <v>19</v>
      </c>
      <c r="O1" t="s">
        <v>20</v>
      </c>
      <c r="P1" t="s">
        <v>21</v>
      </c>
      <c r="Q1" t="s">
        <v>22</v>
      </c>
      <c r="R1" t="s">
        <v>25</v>
      </c>
      <c r="S1" t="s">
        <v>26</v>
      </c>
    </row>
    <row r="2" spans="1:19" hidden="1" x14ac:dyDescent="0.3">
      <c r="A2" s="14">
        <v>43885.75</v>
      </c>
      <c r="B2" s="13" t="s">
        <v>23</v>
      </c>
      <c r="C2" s="2">
        <v>13</v>
      </c>
      <c r="D2" s="13" t="s">
        <v>44</v>
      </c>
      <c r="E2" s="2">
        <v>4235122196</v>
      </c>
      <c r="F2" s="2">
        <v>1339843823</v>
      </c>
      <c r="G2" s="2">
        <v>0</v>
      </c>
      <c r="H2" s="2">
        <v>0</v>
      </c>
      <c r="I2" s="2">
        <v>0</v>
      </c>
      <c r="J2" s="2">
        <v>0</v>
      </c>
      <c r="K2" s="2">
        <v>0</v>
      </c>
      <c r="L2" s="2">
        <v>0</v>
      </c>
      <c r="M2" s="2">
        <v>0</v>
      </c>
      <c r="N2" s="2">
        <v>0</v>
      </c>
      <c r="O2" s="2">
        <v>0</v>
      </c>
      <c r="P2" s="2">
        <v>0</v>
      </c>
      <c r="Q2" s="2">
        <v>5</v>
      </c>
      <c r="R2" s="13" t="s">
        <v>27</v>
      </c>
      <c r="S2" s="13" t="s">
        <v>27</v>
      </c>
    </row>
    <row r="3" spans="1:19" hidden="1" x14ac:dyDescent="0.3">
      <c r="A3" s="14">
        <v>43885.75</v>
      </c>
      <c r="B3" s="13" t="s">
        <v>23</v>
      </c>
      <c r="C3" s="2">
        <v>17</v>
      </c>
      <c r="D3" s="13" t="s">
        <v>45</v>
      </c>
      <c r="E3" s="2">
        <v>4063947052</v>
      </c>
      <c r="F3" s="2">
        <v>1580514834</v>
      </c>
      <c r="G3" s="2">
        <v>0</v>
      </c>
      <c r="H3" s="2">
        <v>0</v>
      </c>
      <c r="I3" s="2">
        <v>0</v>
      </c>
      <c r="J3" s="2">
        <v>0</v>
      </c>
      <c r="K3" s="2">
        <v>0</v>
      </c>
      <c r="L3" s="2">
        <v>0</v>
      </c>
      <c r="M3" s="2">
        <v>0</v>
      </c>
      <c r="N3" s="2">
        <v>0</v>
      </c>
      <c r="O3" s="2">
        <v>0</v>
      </c>
      <c r="P3" s="2">
        <v>0</v>
      </c>
      <c r="Q3" s="2">
        <v>0</v>
      </c>
      <c r="R3" s="13" t="s">
        <v>27</v>
      </c>
      <c r="S3" s="13" t="s">
        <v>27</v>
      </c>
    </row>
    <row r="4" spans="1:19" hidden="1" x14ac:dyDescent="0.3">
      <c r="A4" s="14">
        <v>43885.75</v>
      </c>
      <c r="B4" s="13" t="s">
        <v>23</v>
      </c>
      <c r="C4" s="2">
        <v>4</v>
      </c>
      <c r="D4" s="13" t="s">
        <v>46</v>
      </c>
      <c r="E4" s="2">
        <v>4649933453</v>
      </c>
      <c r="F4" s="2">
        <v>1135662422</v>
      </c>
      <c r="G4" s="2">
        <v>0</v>
      </c>
      <c r="H4" s="2">
        <v>0</v>
      </c>
      <c r="I4" s="2">
        <v>0</v>
      </c>
      <c r="J4" s="2">
        <v>0</v>
      </c>
      <c r="K4" s="2">
        <v>0</v>
      </c>
      <c r="L4" s="2">
        <v>0</v>
      </c>
      <c r="M4" s="2">
        <v>0</v>
      </c>
      <c r="N4" s="2">
        <v>0</v>
      </c>
      <c r="O4" s="2">
        <v>0</v>
      </c>
      <c r="P4" s="2">
        <v>0</v>
      </c>
      <c r="Q4" s="2">
        <v>1</v>
      </c>
      <c r="R4" s="13" t="s">
        <v>27</v>
      </c>
      <c r="S4" s="13" t="s">
        <v>27</v>
      </c>
    </row>
    <row r="5" spans="1:19" hidden="1" x14ac:dyDescent="0.3">
      <c r="A5" s="14">
        <v>43885.75</v>
      </c>
      <c r="B5" s="13" t="s">
        <v>23</v>
      </c>
      <c r="C5" s="2">
        <v>18</v>
      </c>
      <c r="D5" s="13" t="s">
        <v>47</v>
      </c>
      <c r="E5" s="2">
        <v>3890597598</v>
      </c>
      <c r="F5" s="2">
        <v>1659440194</v>
      </c>
      <c r="G5" s="2">
        <v>0</v>
      </c>
      <c r="H5" s="2">
        <v>0</v>
      </c>
      <c r="I5" s="2">
        <v>0</v>
      </c>
      <c r="J5" s="2">
        <v>0</v>
      </c>
      <c r="K5" s="2">
        <v>0</v>
      </c>
      <c r="L5" s="2">
        <v>0</v>
      </c>
      <c r="M5" s="2">
        <v>0</v>
      </c>
      <c r="N5" s="2">
        <v>0</v>
      </c>
      <c r="O5" s="2">
        <v>0</v>
      </c>
      <c r="P5" s="2">
        <v>0</v>
      </c>
      <c r="Q5" s="2">
        <v>1</v>
      </c>
      <c r="R5" s="13" t="s">
        <v>27</v>
      </c>
      <c r="S5" s="13" t="s">
        <v>27</v>
      </c>
    </row>
    <row r="6" spans="1:19" hidden="1" x14ac:dyDescent="0.3">
      <c r="A6" s="14">
        <v>43885.75</v>
      </c>
      <c r="B6" s="13" t="s">
        <v>23</v>
      </c>
      <c r="C6" s="2">
        <v>15</v>
      </c>
      <c r="D6" s="13" t="s">
        <v>48</v>
      </c>
      <c r="E6" s="2">
        <v>4083956555</v>
      </c>
      <c r="F6" s="2">
        <v>1425084984</v>
      </c>
      <c r="G6" s="2">
        <v>0</v>
      </c>
      <c r="H6" s="2">
        <v>0</v>
      </c>
      <c r="I6" s="2">
        <v>0</v>
      </c>
      <c r="J6" s="2">
        <v>0</v>
      </c>
      <c r="K6" s="2">
        <v>0</v>
      </c>
      <c r="L6" s="2">
        <v>0</v>
      </c>
      <c r="M6" s="2">
        <v>0</v>
      </c>
      <c r="N6" s="2">
        <v>0</v>
      </c>
      <c r="O6" s="2">
        <v>0</v>
      </c>
      <c r="P6" s="2">
        <v>0</v>
      </c>
      <c r="Q6" s="2">
        <v>10</v>
      </c>
      <c r="R6" s="13" t="s">
        <v>27</v>
      </c>
      <c r="S6" s="13" t="s">
        <v>27</v>
      </c>
    </row>
    <row r="7" spans="1:19" hidden="1" x14ac:dyDescent="0.3">
      <c r="A7" s="14">
        <v>43885.75</v>
      </c>
      <c r="B7" s="13" t="s">
        <v>23</v>
      </c>
      <c r="C7" s="2">
        <v>8</v>
      </c>
      <c r="D7" s="13" t="s">
        <v>98</v>
      </c>
      <c r="E7" s="2">
        <v>4449436681</v>
      </c>
      <c r="F7" s="2">
        <v>113417208</v>
      </c>
      <c r="G7" s="2">
        <v>10</v>
      </c>
      <c r="H7" s="2">
        <v>2</v>
      </c>
      <c r="I7" s="2">
        <v>12</v>
      </c>
      <c r="J7" s="2">
        <v>6</v>
      </c>
      <c r="K7" s="2">
        <v>18</v>
      </c>
      <c r="L7" s="2">
        <v>0</v>
      </c>
      <c r="M7" s="2">
        <v>18</v>
      </c>
      <c r="N7" s="2">
        <v>0</v>
      </c>
      <c r="O7" s="2">
        <v>0</v>
      </c>
      <c r="P7" s="2">
        <v>18</v>
      </c>
      <c r="Q7" s="2">
        <v>148</v>
      </c>
      <c r="R7" s="13" t="s">
        <v>27</v>
      </c>
      <c r="S7" s="13" t="s">
        <v>27</v>
      </c>
    </row>
    <row r="8" spans="1:19" hidden="1" x14ac:dyDescent="0.3">
      <c r="A8" s="14">
        <v>43885.75</v>
      </c>
      <c r="B8" s="13" t="s">
        <v>23</v>
      </c>
      <c r="C8" s="2">
        <v>6</v>
      </c>
      <c r="D8" s="13" t="s">
        <v>49</v>
      </c>
      <c r="E8" s="2">
        <v>456494354</v>
      </c>
      <c r="F8" s="2">
        <v>1376813649</v>
      </c>
      <c r="G8" s="2">
        <v>0</v>
      </c>
      <c r="H8" s="2">
        <v>0</v>
      </c>
      <c r="I8" s="2">
        <v>0</v>
      </c>
      <c r="J8" s="2">
        <v>0</v>
      </c>
      <c r="K8" s="2">
        <v>0</v>
      </c>
      <c r="L8" s="2">
        <v>0</v>
      </c>
      <c r="M8" s="2">
        <v>0</v>
      </c>
      <c r="N8" s="2">
        <v>0</v>
      </c>
      <c r="O8" s="2">
        <v>0</v>
      </c>
      <c r="P8" s="2">
        <v>0</v>
      </c>
      <c r="Q8" s="2">
        <v>58</v>
      </c>
      <c r="R8" s="13" t="s">
        <v>27</v>
      </c>
      <c r="S8" s="13" t="s">
        <v>27</v>
      </c>
    </row>
    <row r="9" spans="1:19" hidden="1" x14ac:dyDescent="0.3">
      <c r="A9" s="14">
        <v>43885.75</v>
      </c>
      <c r="B9" s="13" t="s">
        <v>23</v>
      </c>
      <c r="C9" s="2">
        <v>12</v>
      </c>
      <c r="D9" s="13" t="s">
        <v>50</v>
      </c>
      <c r="E9" s="2">
        <v>4189277044</v>
      </c>
      <c r="F9" s="2">
        <v>1248366722</v>
      </c>
      <c r="G9" s="2">
        <v>1</v>
      </c>
      <c r="H9" s="2">
        <v>1</v>
      </c>
      <c r="I9" s="2">
        <v>2</v>
      </c>
      <c r="J9" s="2">
        <v>0</v>
      </c>
      <c r="K9" s="2">
        <v>2</v>
      </c>
      <c r="L9" s="2">
        <v>0</v>
      </c>
      <c r="M9" s="2">
        <v>2</v>
      </c>
      <c r="N9" s="2">
        <v>1</v>
      </c>
      <c r="O9" s="2">
        <v>0</v>
      </c>
      <c r="P9" s="2">
        <v>3</v>
      </c>
      <c r="Q9" s="2">
        <v>124</v>
      </c>
      <c r="R9" s="13" t="s">
        <v>27</v>
      </c>
      <c r="S9" s="13" t="s">
        <v>27</v>
      </c>
    </row>
    <row r="10" spans="1:19" hidden="1" x14ac:dyDescent="0.3">
      <c r="A10" s="14">
        <v>43885.75</v>
      </c>
      <c r="B10" s="13" t="s">
        <v>23</v>
      </c>
      <c r="C10" s="2">
        <v>7</v>
      </c>
      <c r="D10" s="13" t="s">
        <v>51</v>
      </c>
      <c r="E10" s="2">
        <v>4441149315</v>
      </c>
      <c r="F10" s="2">
        <v>89326992</v>
      </c>
      <c r="G10" s="2">
        <v>0</v>
      </c>
      <c r="H10" s="2">
        <v>0</v>
      </c>
      <c r="I10" s="2">
        <v>0</v>
      </c>
      <c r="J10" s="2">
        <v>0</v>
      </c>
      <c r="K10" s="2">
        <v>0</v>
      </c>
      <c r="L10" s="2">
        <v>0</v>
      </c>
      <c r="M10" s="2">
        <v>0</v>
      </c>
      <c r="N10" s="2">
        <v>0</v>
      </c>
      <c r="O10" s="2">
        <v>0</v>
      </c>
      <c r="P10" s="2">
        <v>0</v>
      </c>
      <c r="Q10" s="2">
        <v>1</v>
      </c>
      <c r="R10" s="13" t="s">
        <v>27</v>
      </c>
      <c r="S10" s="13" t="s">
        <v>27</v>
      </c>
    </row>
    <row r="11" spans="1:19" x14ac:dyDescent="0.3">
      <c r="A11" s="14">
        <v>43885.75</v>
      </c>
      <c r="B11" s="13" t="s">
        <v>23</v>
      </c>
      <c r="C11" s="2">
        <v>3</v>
      </c>
      <c r="D11" s="13" t="s">
        <v>52</v>
      </c>
      <c r="E11" s="2">
        <v>4546679409</v>
      </c>
      <c r="F11" s="2">
        <v>9190347404</v>
      </c>
      <c r="G11" s="2">
        <v>76</v>
      </c>
      <c r="H11" s="2">
        <v>19</v>
      </c>
      <c r="I11" s="2">
        <v>95</v>
      </c>
      <c r="J11" s="2">
        <v>71</v>
      </c>
      <c r="K11" s="2">
        <v>166</v>
      </c>
      <c r="L11" s="2">
        <v>0</v>
      </c>
      <c r="M11" s="2">
        <v>166</v>
      </c>
      <c r="N11" s="2">
        <v>0</v>
      </c>
      <c r="O11" s="2">
        <v>6</v>
      </c>
      <c r="P11" s="2">
        <v>172</v>
      </c>
      <c r="Q11" s="2">
        <v>1463</v>
      </c>
      <c r="R11" s="13" t="s">
        <v>27</v>
      </c>
      <c r="S11" s="13" t="s">
        <v>27</v>
      </c>
    </row>
    <row r="12" spans="1:19" hidden="1" x14ac:dyDescent="0.3">
      <c r="A12" s="14">
        <v>43885.75</v>
      </c>
      <c r="B12" s="13" t="s">
        <v>23</v>
      </c>
      <c r="C12" s="2">
        <v>11</v>
      </c>
      <c r="D12" s="13" t="s">
        <v>53</v>
      </c>
      <c r="E12" s="2">
        <v>4361675973</v>
      </c>
      <c r="F12" s="2">
        <v>135188753</v>
      </c>
      <c r="G12" s="2">
        <v>0</v>
      </c>
      <c r="H12" s="2">
        <v>0</v>
      </c>
      <c r="I12" s="2">
        <v>0</v>
      </c>
      <c r="J12" s="2">
        <v>0</v>
      </c>
      <c r="K12" s="2">
        <v>0</v>
      </c>
      <c r="L12" s="2">
        <v>0</v>
      </c>
      <c r="M12" s="2">
        <v>0</v>
      </c>
      <c r="N12" s="2">
        <v>0</v>
      </c>
      <c r="O12" s="2">
        <v>0</v>
      </c>
      <c r="P12" s="2">
        <v>0</v>
      </c>
      <c r="Q12" s="2">
        <v>16</v>
      </c>
      <c r="R12" s="13" t="s">
        <v>27</v>
      </c>
      <c r="S12" s="13" t="s">
        <v>27</v>
      </c>
    </row>
    <row r="13" spans="1:19" hidden="1" x14ac:dyDescent="0.3">
      <c r="A13" s="14">
        <v>43885.75</v>
      </c>
      <c r="B13" s="13" t="s">
        <v>23</v>
      </c>
      <c r="C13" s="2">
        <v>14</v>
      </c>
      <c r="D13" s="13" t="s">
        <v>54</v>
      </c>
      <c r="E13" s="2">
        <v>4155774754</v>
      </c>
      <c r="F13" s="2">
        <v>1465916051</v>
      </c>
      <c r="G13" s="2">
        <v>0</v>
      </c>
      <c r="H13" s="2">
        <v>0</v>
      </c>
      <c r="I13" s="2">
        <v>0</v>
      </c>
      <c r="J13" s="2">
        <v>0</v>
      </c>
      <c r="K13" s="2">
        <v>0</v>
      </c>
      <c r="L13" s="2">
        <v>0</v>
      </c>
      <c r="M13" s="2">
        <v>0</v>
      </c>
      <c r="N13" s="2">
        <v>0</v>
      </c>
      <c r="O13" s="2">
        <v>0</v>
      </c>
      <c r="P13" s="2">
        <v>0</v>
      </c>
      <c r="Q13" s="2">
        <v>0</v>
      </c>
      <c r="R13" s="13" t="s">
        <v>27</v>
      </c>
      <c r="S13" s="13" t="s">
        <v>27</v>
      </c>
    </row>
    <row r="14" spans="1:19" hidden="1" x14ac:dyDescent="0.3">
      <c r="A14" s="14">
        <v>43885.75</v>
      </c>
      <c r="B14" s="13" t="s">
        <v>23</v>
      </c>
      <c r="C14" s="2">
        <v>1</v>
      </c>
      <c r="D14" s="13" t="s">
        <v>55</v>
      </c>
      <c r="E14" s="2">
        <v>450732745</v>
      </c>
      <c r="F14" s="2">
        <v>7680687483</v>
      </c>
      <c r="G14" s="2">
        <v>2</v>
      </c>
      <c r="H14" s="2">
        <v>0</v>
      </c>
      <c r="I14" s="2">
        <v>2</v>
      </c>
      <c r="J14" s="2">
        <v>1</v>
      </c>
      <c r="K14" s="2">
        <v>3</v>
      </c>
      <c r="L14" s="2">
        <v>0</v>
      </c>
      <c r="M14" s="2">
        <v>3</v>
      </c>
      <c r="N14" s="2">
        <v>0</v>
      </c>
      <c r="O14" s="2">
        <v>0</v>
      </c>
      <c r="P14" s="2">
        <v>3</v>
      </c>
      <c r="Q14" s="2">
        <v>141</v>
      </c>
      <c r="R14" s="13" t="s">
        <v>27</v>
      </c>
      <c r="S14" s="13" t="s">
        <v>27</v>
      </c>
    </row>
    <row r="15" spans="1:19" hidden="1" x14ac:dyDescent="0.3">
      <c r="A15" s="14">
        <v>43885.75</v>
      </c>
      <c r="B15" s="13" t="s">
        <v>23</v>
      </c>
      <c r="C15" s="2">
        <v>16</v>
      </c>
      <c r="D15" s="13" t="s">
        <v>56</v>
      </c>
      <c r="E15" s="2">
        <v>4112559576</v>
      </c>
      <c r="F15" s="2">
        <v>1686736689</v>
      </c>
      <c r="G15" s="2">
        <v>0</v>
      </c>
      <c r="H15" s="2">
        <v>0</v>
      </c>
      <c r="I15" s="2">
        <v>0</v>
      </c>
      <c r="J15" s="2">
        <v>0</v>
      </c>
      <c r="K15" s="2">
        <v>0</v>
      </c>
      <c r="L15" s="2">
        <v>0</v>
      </c>
      <c r="M15" s="2">
        <v>0</v>
      </c>
      <c r="N15" s="2">
        <v>0</v>
      </c>
      <c r="O15" s="2">
        <v>0</v>
      </c>
      <c r="P15" s="2">
        <v>0</v>
      </c>
      <c r="Q15" s="2">
        <v>0</v>
      </c>
      <c r="R15" s="13" t="s">
        <v>27</v>
      </c>
      <c r="S15" s="13" t="s">
        <v>27</v>
      </c>
    </row>
    <row r="16" spans="1:19" hidden="1" x14ac:dyDescent="0.3">
      <c r="A16" s="14">
        <v>43885.75</v>
      </c>
      <c r="B16" s="13" t="s">
        <v>23</v>
      </c>
      <c r="C16" s="2">
        <v>20</v>
      </c>
      <c r="D16" s="13" t="s">
        <v>57</v>
      </c>
      <c r="E16" s="2">
        <v>3921531192</v>
      </c>
      <c r="F16" s="2">
        <v>9110616306</v>
      </c>
      <c r="G16" s="2">
        <v>0</v>
      </c>
      <c r="H16" s="2">
        <v>0</v>
      </c>
      <c r="I16" s="2">
        <v>0</v>
      </c>
      <c r="J16" s="2">
        <v>0</v>
      </c>
      <c r="K16" s="2">
        <v>0</v>
      </c>
      <c r="L16" s="2">
        <v>0</v>
      </c>
      <c r="M16" s="2">
        <v>0</v>
      </c>
      <c r="N16" s="2">
        <v>0</v>
      </c>
      <c r="O16" s="2">
        <v>0</v>
      </c>
      <c r="P16" s="2">
        <v>0</v>
      </c>
      <c r="Q16" s="2">
        <v>1</v>
      </c>
      <c r="R16" s="13" t="s">
        <v>27</v>
      </c>
      <c r="S16" s="13" t="s">
        <v>27</v>
      </c>
    </row>
    <row r="17" spans="1:19" hidden="1" x14ac:dyDescent="0.3">
      <c r="A17" s="14">
        <v>43885.75</v>
      </c>
      <c r="B17" s="13" t="s">
        <v>23</v>
      </c>
      <c r="C17" s="2">
        <v>19</v>
      </c>
      <c r="D17" s="13" t="s">
        <v>58</v>
      </c>
      <c r="E17" s="2">
        <v>3811569725</v>
      </c>
      <c r="F17" s="2">
        <v>133623567</v>
      </c>
      <c r="G17" s="2">
        <v>0</v>
      </c>
      <c r="H17" s="2">
        <v>0</v>
      </c>
      <c r="I17" s="2">
        <v>0</v>
      </c>
      <c r="J17" s="2">
        <v>0</v>
      </c>
      <c r="K17" s="2">
        <v>0</v>
      </c>
      <c r="L17" s="2">
        <v>0</v>
      </c>
      <c r="M17" s="2">
        <v>0</v>
      </c>
      <c r="N17" s="2">
        <v>0</v>
      </c>
      <c r="O17" s="2">
        <v>0</v>
      </c>
      <c r="P17" s="2">
        <v>0</v>
      </c>
      <c r="Q17" s="2">
        <v>5</v>
      </c>
      <c r="R17" s="13" t="s">
        <v>27</v>
      </c>
      <c r="S17" s="13" t="s">
        <v>27</v>
      </c>
    </row>
    <row r="18" spans="1:19" hidden="1" x14ac:dyDescent="0.3">
      <c r="A18" s="14">
        <v>43885.75</v>
      </c>
      <c r="B18" s="13" t="s">
        <v>23</v>
      </c>
      <c r="C18" s="2">
        <v>9</v>
      </c>
      <c r="D18" s="13" t="s">
        <v>59</v>
      </c>
      <c r="E18" s="2">
        <v>4376923077</v>
      </c>
      <c r="F18" s="2">
        <v>1125588885</v>
      </c>
      <c r="G18" s="2">
        <v>0</v>
      </c>
      <c r="H18" s="2">
        <v>0</v>
      </c>
      <c r="I18" s="2">
        <v>0</v>
      </c>
      <c r="J18" s="2">
        <v>0</v>
      </c>
      <c r="K18" s="2">
        <v>0</v>
      </c>
      <c r="L18" s="2">
        <v>0</v>
      </c>
      <c r="M18" s="2">
        <v>0</v>
      </c>
      <c r="N18" s="2">
        <v>0</v>
      </c>
      <c r="O18" s="2">
        <v>0</v>
      </c>
      <c r="P18" s="2">
        <v>0</v>
      </c>
      <c r="Q18" s="2">
        <v>140</v>
      </c>
      <c r="R18" s="13" t="s">
        <v>27</v>
      </c>
      <c r="S18" s="13" t="s">
        <v>27</v>
      </c>
    </row>
    <row r="19" spans="1:19" hidden="1" x14ac:dyDescent="0.3">
      <c r="A19" s="14">
        <v>43885.75</v>
      </c>
      <c r="B19" s="13" t="s">
        <v>23</v>
      </c>
      <c r="C19" s="2">
        <v>4</v>
      </c>
      <c r="D19" s="13" t="s">
        <v>60</v>
      </c>
      <c r="E19" s="2">
        <v>4606893511</v>
      </c>
      <c r="F19" s="2">
        <v>1112123097</v>
      </c>
      <c r="G19" s="2">
        <v>0</v>
      </c>
      <c r="H19" s="2">
        <v>0</v>
      </c>
      <c r="I19" s="2">
        <v>0</v>
      </c>
      <c r="J19" s="2">
        <v>0</v>
      </c>
      <c r="K19" s="2">
        <v>0</v>
      </c>
      <c r="L19" s="2">
        <v>0</v>
      </c>
      <c r="M19" s="2">
        <v>0</v>
      </c>
      <c r="N19" s="2">
        <v>0</v>
      </c>
      <c r="O19" s="2">
        <v>0</v>
      </c>
      <c r="P19" s="2">
        <v>0</v>
      </c>
      <c r="Q19" s="2">
        <v>3</v>
      </c>
      <c r="R19" s="13" t="s">
        <v>27</v>
      </c>
      <c r="S19" s="13" t="s">
        <v>27</v>
      </c>
    </row>
    <row r="20" spans="1:19" hidden="1" x14ac:dyDescent="0.3">
      <c r="A20" s="14">
        <v>43885.75</v>
      </c>
      <c r="B20" s="13" t="s">
        <v>23</v>
      </c>
      <c r="C20" s="2">
        <v>10</v>
      </c>
      <c r="D20" s="13" t="s">
        <v>61</v>
      </c>
      <c r="E20" s="2">
        <v>4310675841</v>
      </c>
      <c r="F20" s="2">
        <v>1238824698</v>
      </c>
      <c r="G20" s="2">
        <v>0</v>
      </c>
      <c r="H20" s="2">
        <v>0</v>
      </c>
      <c r="I20" s="2">
        <v>0</v>
      </c>
      <c r="J20" s="2">
        <v>0</v>
      </c>
      <c r="K20" s="2">
        <v>0</v>
      </c>
      <c r="L20" s="2">
        <v>0</v>
      </c>
      <c r="M20" s="2">
        <v>0</v>
      </c>
      <c r="N20" s="2">
        <v>0</v>
      </c>
      <c r="O20" s="2">
        <v>0</v>
      </c>
      <c r="P20" s="2">
        <v>0</v>
      </c>
      <c r="Q20" s="2">
        <v>0</v>
      </c>
      <c r="R20" s="13" t="s">
        <v>27</v>
      </c>
      <c r="S20" s="13" t="s">
        <v>27</v>
      </c>
    </row>
    <row r="21" spans="1:19" hidden="1" x14ac:dyDescent="0.3">
      <c r="A21" s="14">
        <v>43885.75</v>
      </c>
      <c r="B21" s="13" t="s">
        <v>23</v>
      </c>
      <c r="C21" s="2">
        <v>2</v>
      </c>
      <c r="D21" s="13" t="s">
        <v>62</v>
      </c>
      <c r="E21" s="2">
        <v>4573750286</v>
      </c>
      <c r="F21" s="2">
        <v>7320149366</v>
      </c>
      <c r="G21" s="2">
        <v>0</v>
      </c>
      <c r="H21" s="2">
        <v>0</v>
      </c>
      <c r="I21" s="2">
        <v>0</v>
      </c>
      <c r="J21" s="2">
        <v>0</v>
      </c>
      <c r="K21" s="2">
        <v>0</v>
      </c>
      <c r="L21" s="2">
        <v>0</v>
      </c>
      <c r="M21" s="2">
        <v>0</v>
      </c>
      <c r="N21" s="2">
        <v>0</v>
      </c>
      <c r="O21" s="2">
        <v>0</v>
      </c>
      <c r="P21" s="2">
        <v>0</v>
      </c>
      <c r="Q21" s="2">
        <v>7</v>
      </c>
      <c r="R21" s="13" t="s">
        <v>27</v>
      </c>
      <c r="S21" s="13" t="s">
        <v>27</v>
      </c>
    </row>
    <row r="22" spans="1:19" hidden="1" x14ac:dyDescent="0.3">
      <c r="A22" s="14">
        <v>43885.75</v>
      </c>
      <c r="B22" s="13" t="s">
        <v>23</v>
      </c>
      <c r="C22" s="2">
        <v>5</v>
      </c>
      <c r="D22" s="13" t="s">
        <v>63</v>
      </c>
      <c r="E22" s="2">
        <v>4543490485</v>
      </c>
      <c r="F22" s="2">
        <v>1233845213</v>
      </c>
      <c r="G22" s="2">
        <v>12</v>
      </c>
      <c r="H22" s="2">
        <v>4</v>
      </c>
      <c r="I22" s="2">
        <v>16</v>
      </c>
      <c r="J22" s="2">
        <v>16</v>
      </c>
      <c r="K22" s="2">
        <v>32</v>
      </c>
      <c r="L22" s="2">
        <v>0</v>
      </c>
      <c r="M22" s="2">
        <v>32</v>
      </c>
      <c r="N22" s="2">
        <v>0</v>
      </c>
      <c r="O22" s="2">
        <v>1</v>
      </c>
      <c r="P22" s="2">
        <v>33</v>
      </c>
      <c r="Q22" s="2">
        <v>2200</v>
      </c>
      <c r="R22" s="13" t="s">
        <v>27</v>
      </c>
      <c r="S22" s="13" t="s">
        <v>27</v>
      </c>
    </row>
    <row r="23" spans="1:19" hidden="1" x14ac:dyDescent="0.3">
      <c r="A23" s="14">
        <v>43886.75</v>
      </c>
      <c r="B23" s="13" t="s">
        <v>23</v>
      </c>
      <c r="C23" s="2">
        <v>13</v>
      </c>
      <c r="D23" s="13" t="s">
        <v>44</v>
      </c>
      <c r="E23" s="2">
        <v>4235122196</v>
      </c>
      <c r="F23" s="2">
        <v>1339843823</v>
      </c>
      <c r="G23" s="2">
        <v>0</v>
      </c>
      <c r="H23" s="2">
        <v>0</v>
      </c>
      <c r="I23" s="2">
        <v>0</v>
      </c>
      <c r="J23" s="2">
        <v>0</v>
      </c>
      <c r="K23" s="2">
        <v>0</v>
      </c>
      <c r="L23" s="2">
        <v>0</v>
      </c>
      <c r="M23" s="2">
        <v>0</v>
      </c>
      <c r="N23" s="2">
        <v>0</v>
      </c>
      <c r="O23" s="2">
        <v>0</v>
      </c>
      <c r="P23" s="2">
        <v>0</v>
      </c>
      <c r="Q23" s="2">
        <v>5</v>
      </c>
      <c r="R23" s="13" t="s">
        <v>27</v>
      </c>
      <c r="S23" s="13" t="s">
        <v>27</v>
      </c>
    </row>
    <row r="24" spans="1:19" hidden="1" x14ac:dyDescent="0.3">
      <c r="A24" s="14">
        <v>43886.75</v>
      </c>
      <c r="B24" s="13" t="s">
        <v>23</v>
      </c>
      <c r="C24" s="2">
        <v>17</v>
      </c>
      <c r="D24" s="13" t="s">
        <v>45</v>
      </c>
      <c r="E24" s="2">
        <v>4063947052</v>
      </c>
      <c r="F24" s="2">
        <v>1580514834</v>
      </c>
      <c r="G24" s="2">
        <v>0</v>
      </c>
      <c r="H24" s="2">
        <v>0</v>
      </c>
      <c r="I24" s="2">
        <v>0</v>
      </c>
      <c r="J24" s="2">
        <v>0</v>
      </c>
      <c r="K24" s="2">
        <v>0</v>
      </c>
      <c r="L24" s="2">
        <v>0</v>
      </c>
      <c r="M24" s="2">
        <v>0</v>
      </c>
      <c r="N24" s="2">
        <v>0</v>
      </c>
      <c r="O24" s="2">
        <v>0</v>
      </c>
      <c r="P24" s="2">
        <v>0</v>
      </c>
      <c r="Q24" s="2">
        <v>0</v>
      </c>
      <c r="R24" s="13" t="s">
        <v>27</v>
      </c>
      <c r="S24" s="13" t="s">
        <v>27</v>
      </c>
    </row>
    <row r="25" spans="1:19" hidden="1" x14ac:dyDescent="0.3">
      <c r="A25" s="14">
        <v>43886.75</v>
      </c>
      <c r="B25" s="13" t="s">
        <v>23</v>
      </c>
      <c r="C25" s="2">
        <v>4</v>
      </c>
      <c r="D25" s="13" t="s">
        <v>46</v>
      </c>
      <c r="E25" s="2">
        <v>4649933453</v>
      </c>
      <c r="F25" s="2">
        <v>1135662422</v>
      </c>
      <c r="G25" s="2">
        <v>1</v>
      </c>
      <c r="H25" s="2">
        <v>0</v>
      </c>
      <c r="I25" s="2">
        <v>1</v>
      </c>
      <c r="J25" s="2">
        <v>0</v>
      </c>
      <c r="K25" s="2">
        <v>1</v>
      </c>
      <c r="L25" s="2">
        <v>1</v>
      </c>
      <c r="M25" s="2">
        <v>1</v>
      </c>
      <c r="N25" s="2">
        <v>0</v>
      </c>
      <c r="O25" s="2">
        <v>0</v>
      </c>
      <c r="P25" s="2">
        <v>1</v>
      </c>
      <c r="Q25" s="2">
        <v>1</v>
      </c>
      <c r="R25" s="13" t="s">
        <v>27</v>
      </c>
      <c r="S25" s="13" t="s">
        <v>27</v>
      </c>
    </row>
    <row r="26" spans="1:19" hidden="1" x14ac:dyDescent="0.3">
      <c r="A26" s="14">
        <v>43886.75</v>
      </c>
      <c r="B26" s="13" t="s">
        <v>23</v>
      </c>
      <c r="C26" s="2">
        <v>18</v>
      </c>
      <c r="D26" s="13" t="s">
        <v>47</v>
      </c>
      <c r="E26" s="2">
        <v>3890597598</v>
      </c>
      <c r="F26" s="2">
        <v>1659440194</v>
      </c>
      <c r="G26" s="2">
        <v>0</v>
      </c>
      <c r="H26" s="2">
        <v>0</v>
      </c>
      <c r="I26" s="2">
        <v>0</v>
      </c>
      <c r="J26" s="2">
        <v>0</v>
      </c>
      <c r="K26" s="2">
        <v>0</v>
      </c>
      <c r="L26" s="2">
        <v>0</v>
      </c>
      <c r="M26" s="2">
        <v>0</v>
      </c>
      <c r="N26" s="2">
        <v>0</v>
      </c>
      <c r="O26" s="2">
        <v>0</v>
      </c>
      <c r="P26" s="2">
        <v>0</v>
      </c>
      <c r="Q26" s="2">
        <v>2</v>
      </c>
      <c r="R26" s="13" t="s">
        <v>27</v>
      </c>
      <c r="S26" s="13" t="s">
        <v>27</v>
      </c>
    </row>
    <row r="27" spans="1:19" hidden="1" x14ac:dyDescent="0.3">
      <c r="A27" s="14">
        <v>43886.75</v>
      </c>
      <c r="B27" s="13" t="s">
        <v>23</v>
      </c>
      <c r="C27" s="2">
        <v>15</v>
      </c>
      <c r="D27" s="13" t="s">
        <v>48</v>
      </c>
      <c r="E27" s="2">
        <v>4083956555</v>
      </c>
      <c r="F27" s="2">
        <v>1425084984</v>
      </c>
      <c r="G27" s="2">
        <v>0</v>
      </c>
      <c r="H27" s="2">
        <v>0</v>
      </c>
      <c r="I27" s="2">
        <v>0</v>
      </c>
      <c r="J27" s="2">
        <v>0</v>
      </c>
      <c r="K27" s="2">
        <v>0</v>
      </c>
      <c r="L27" s="2">
        <v>0</v>
      </c>
      <c r="M27" s="2">
        <v>0</v>
      </c>
      <c r="N27" s="2">
        <v>0</v>
      </c>
      <c r="O27" s="2">
        <v>0</v>
      </c>
      <c r="P27" s="2">
        <v>0</v>
      </c>
      <c r="Q27" s="2">
        <v>10</v>
      </c>
      <c r="R27" s="13" t="s">
        <v>27</v>
      </c>
      <c r="S27" s="13" t="s">
        <v>27</v>
      </c>
    </row>
    <row r="28" spans="1:19" hidden="1" x14ac:dyDescent="0.3">
      <c r="A28" s="14">
        <v>43886.75</v>
      </c>
      <c r="B28" s="13" t="s">
        <v>23</v>
      </c>
      <c r="C28" s="2">
        <v>8</v>
      </c>
      <c r="D28" s="13" t="s">
        <v>98</v>
      </c>
      <c r="E28" s="2">
        <v>4449436681</v>
      </c>
      <c r="F28" s="2">
        <v>113417208</v>
      </c>
      <c r="G28" s="2">
        <v>15</v>
      </c>
      <c r="H28" s="2">
        <v>2</v>
      </c>
      <c r="I28" s="2">
        <v>17</v>
      </c>
      <c r="J28" s="2">
        <v>9</v>
      </c>
      <c r="K28" s="2">
        <v>26</v>
      </c>
      <c r="L28" s="2">
        <v>8</v>
      </c>
      <c r="M28" s="2">
        <v>8</v>
      </c>
      <c r="N28" s="2">
        <v>0</v>
      </c>
      <c r="O28" s="2">
        <v>0</v>
      </c>
      <c r="P28" s="2">
        <v>26</v>
      </c>
      <c r="Q28" s="2">
        <v>391</v>
      </c>
      <c r="R28" s="13" t="s">
        <v>27</v>
      </c>
      <c r="S28" s="13" t="s">
        <v>27</v>
      </c>
    </row>
    <row r="29" spans="1:19" hidden="1" x14ac:dyDescent="0.3">
      <c r="A29" s="14">
        <v>43886.75</v>
      </c>
      <c r="B29" s="13" t="s">
        <v>23</v>
      </c>
      <c r="C29" s="2">
        <v>6</v>
      </c>
      <c r="D29" s="13" t="s">
        <v>49</v>
      </c>
      <c r="E29" s="2">
        <v>456494354</v>
      </c>
      <c r="F29" s="2">
        <v>1376813649</v>
      </c>
      <c r="G29" s="2">
        <v>0</v>
      </c>
      <c r="H29" s="2">
        <v>0</v>
      </c>
      <c r="I29" s="2">
        <v>0</v>
      </c>
      <c r="J29" s="2">
        <v>0</v>
      </c>
      <c r="K29" s="2">
        <v>0</v>
      </c>
      <c r="L29" s="2">
        <v>0</v>
      </c>
      <c r="M29" s="2">
        <v>0</v>
      </c>
      <c r="N29" s="2">
        <v>0</v>
      </c>
      <c r="O29" s="2">
        <v>0</v>
      </c>
      <c r="P29" s="2">
        <v>0</v>
      </c>
      <c r="Q29" s="2">
        <v>89</v>
      </c>
      <c r="R29" s="13" t="s">
        <v>27</v>
      </c>
      <c r="S29" s="13" t="s">
        <v>27</v>
      </c>
    </row>
    <row r="30" spans="1:19" hidden="1" x14ac:dyDescent="0.3">
      <c r="A30" s="14">
        <v>43886.75</v>
      </c>
      <c r="B30" s="13" t="s">
        <v>23</v>
      </c>
      <c r="C30" s="2">
        <v>12</v>
      </c>
      <c r="D30" s="13" t="s">
        <v>50</v>
      </c>
      <c r="E30" s="2">
        <v>4189277044</v>
      </c>
      <c r="F30" s="2">
        <v>1248366722</v>
      </c>
      <c r="G30" s="2">
        <v>1</v>
      </c>
      <c r="H30" s="2">
        <v>1</v>
      </c>
      <c r="I30" s="2">
        <v>2</v>
      </c>
      <c r="J30" s="2">
        <v>0</v>
      </c>
      <c r="K30" s="2">
        <v>2</v>
      </c>
      <c r="L30" s="2">
        <v>0</v>
      </c>
      <c r="M30" s="2">
        <v>0</v>
      </c>
      <c r="N30" s="2">
        <v>1</v>
      </c>
      <c r="O30" s="2">
        <v>0</v>
      </c>
      <c r="P30" s="2">
        <v>3</v>
      </c>
      <c r="Q30" s="2">
        <v>124</v>
      </c>
      <c r="R30" s="13" t="s">
        <v>27</v>
      </c>
      <c r="S30" s="13" t="s">
        <v>27</v>
      </c>
    </row>
    <row r="31" spans="1:19" hidden="1" x14ac:dyDescent="0.3">
      <c r="A31" s="14">
        <v>43886.75</v>
      </c>
      <c r="B31" s="13" t="s">
        <v>23</v>
      </c>
      <c r="C31" s="2">
        <v>7</v>
      </c>
      <c r="D31" s="13" t="s">
        <v>51</v>
      </c>
      <c r="E31" s="2">
        <v>4441149315</v>
      </c>
      <c r="F31" s="2">
        <v>89326992</v>
      </c>
      <c r="G31" s="2">
        <v>1</v>
      </c>
      <c r="H31" s="2">
        <v>0</v>
      </c>
      <c r="I31" s="2">
        <v>1</v>
      </c>
      <c r="J31" s="2">
        <v>0</v>
      </c>
      <c r="K31" s="2">
        <v>1</v>
      </c>
      <c r="L31" s="2">
        <v>1</v>
      </c>
      <c r="M31" s="2">
        <v>1</v>
      </c>
      <c r="N31" s="2">
        <v>0</v>
      </c>
      <c r="O31" s="2">
        <v>0</v>
      </c>
      <c r="P31" s="2">
        <v>1</v>
      </c>
      <c r="Q31" s="2">
        <v>39</v>
      </c>
      <c r="R31" s="13" t="s">
        <v>27</v>
      </c>
      <c r="S31" s="13" t="s">
        <v>27</v>
      </c>
    </row>
    <row r="32" spans="1:19" x14ac:dyDescent="0.3">
      <c r="A32" s="14">
        <v>43886.75</v>
      </c>
      <c r="B32" s="13" t="s">
        <v>23</v>
      </c>
      <c r="C32" s="2">
        <v>3</v>
      </c>
      <c r="D32" s="13" t="s">
        <v>52</v>
      </c>
      <c r="E32" s="2">
        <v>4546679409</v>
      </c>
      <c r="F32" s="2">
        <v>9190347404</v>
      </c>
      <c r="G32" s="2">
        <v>79</v>
      </c>
      <c r="H32" s="2">
        <v>25</v>
      </c>
      <c r="I32" s="2">
        <v>104</v>
      </c>
      <c r="J32" s="2">
        <v>127</v>
      </c>
      <c r="K32" s="2">
        <v>231</v>
      </c>
      <c r="L32" s="2">
        <v>65</v>
      </c>
      <c r="M32" s="2">
        <v>68</v>
      </c>
      <c r="N32" s="2">
        <v>0</v>
      </c>
      <c r="O32" s="2">
        <v>9</v>
      </c>
      <c r="P32" s="2">
        <v>240</v>
      </c>
      <c r="Q32" s="2">
        <v>3700</v>
      </c>
      <c r="R32" s="13" t="s">
        <v>27</v>
      </c>
      <c r="S32" s="13" t="s">
        <v>27</v>
      </c>
    </row>
    <row r="33" spans="1:19" hidden="1" x14ac:dyDescent="0.3">
      <c r="A33" s="14">
        <v>43886.75</v>
      </c>
      <c r="B33" s="13" t="s">
        <v>23</v>
      </c>
      <c r="C33" s="2">
        <v>11</v>
      </c>
      <c r="D33" s="13" t="s">
        <v>53</v>
      </c>
      <c r="E33" s="2">
        <v>4361675973</v>
      </c>
      <c r="F33" s="2">
        <v>135188753</v>
      </c>
      <c r="G33" s="2">
        <v>0</v>
      </c>
      <c r="H33" s="2">
        <v>0</v>
      </c>
      <c r="I33" s="2">
        <v>0</v>
      </c>
      <c r="J33" s="2">
        <v>0</v>
      </c>
      <c r="K33" s="2">
        <v>0</v>
      </c>
      <c r="L33" s="2">
        <v>0</v>
      </c>
      <c r="M33" s="2">
        <v>0</v>
      </c>
      <c r="N33" s="2">
        <v>0</v>
      </c>
      <c r="O33" s="2">
        <v>0</v>
      </c>
      <c r="P33" s="2">
        <v>0</v>
      </c>
      <c r="Q33" s="2">
        <v>21</v>
      </c>
      <c r="R33" s="13" t="s">
        <v>27</v>
      </c>
      <c r="S33" s="13" t="s">
        <v>27</v>
      </c>
    </row>
    <row r="34" spans="1:19" hidden="1" x14ac:dyDescent="0.3">
      <c r="A34" s="14">
        <v>43886.75</v>
      </c>
      <c r="B34" s="13" t="s">
        <v>23</v>
      </c>
      <c r="C34" s="2">
        <v>14</v>
      </c>
      <c r="D34" s="13" t="s">
        <v>54</v>
      </c>
      <c r="E34" s="2">
        <v>4155774754</v>
      </c>
      <c r="F34" s="2">
        <v>1465916051</v>
      </c>
      <c r="G34" s="2">
        <v>0</v>
      </c>
      <c r="H34" s="2">
        <v>0</v>
      </c>
      <c r="I34" s="2">
        <v>0</v>
      </c>
      <c r="J34" s="2">
        <v>0</v>
      </c>
      <c r="K34" s="2">
        <v>0</v>
      </c>
      <c r="L34" s="2">
        <v>0</v>
      </c>
      <c r="M34" s="2">
        <v>0</v>
      </c>
      <c r="N34" s="2">
        <v>0</v>
      </c>
      <c r="O34" s="2">
        <v>0</v>
      </c>
      <c r="P34" s="2">
        <v>0</v>
      </c>
      <c r="Q34" s="2">
        <v>0</v>
      </c>
      <c r="R34" s="13" t="s">
        <v>27</v>
      </c>
      <c r="S34" s="13" t="s">
        <v>27</v>
      </c>
    </row>
    <row r="35" spans="1:19" hidden="1" x14ac:dyDescent="0.3">
      <c r="A35" s="14">
        <v>43886.75</v>
      </c>
      <c r="B35" s="13" t="s">
        <v>23</v>
      </c>
      <c r="C35" s="2">
        <v>1</v>
      </c>
      <c r="D35" s="13" t="s">
        <v>55</v>
      </c>
      <c r="E35" s="2">
        <v>450732745</v>
      </c>
      <c r="F35" s="2">
        <v>7680687483</v>
      </c>
      <c r="G35" s="2">
        <v>2</v>
      </c>
      <c r="H35" s="2">
        <v>0</v>
      </c>
      <c r="I35" s="2">
        <v>2</v>
      </c>
      <c r="J35" s="2">
        <v>1</v>
      </c>
      <c r="K35" s="2">
        <v>3</v>
      </c>
      <c r="L35" s="2">
        <v>0</v>
      </c>
      <c r="M35" s="2">
        <v>0</v>
      </c>
      <c r="N35" s="2">
        <v>0</v>
      </c>
      <c r="O35" s="2">
        <v>0</v>
      </c>
      <c r="P35" s="2">
        <v>3</v>
      </c>
      <c r="Q35" s="2">
        <v>141</v>
      </c>
      <c r="R35" s="13" t="s">
        <v>27</v>
      </c>
      <c r="S35" s="13" t="s">
        <v>27</v>
      </c>
    </row>
    <row r="36" spans="1:19" hidden="1" x14ac:dyDescent="0.3">
      <c r="A36" s="14">
        <v>43886.75</v>
      </c>
      <c r="B36" s="13" t="s">
        <v>23</v>
      </c>
      <c r="C36" s="2">
        <v>16</v>
      </c>
      <c r="D36" s="13" t="s">
        <v>56</v>
      </c>
      <c r="E36" s="2">
        <v>4112559576</v>
      </c>
      <c r="F36" s="2">
        <v>1686736689</v>
      </c>
      <c r="G36" s="2">
        <v>0</v>
      </c>
      <c r="H36" s="2">
        <v>0</v>
      </c>
      <c r="I36" s="2">
        <v>0</v>
      </c>
      <c r="J36" s="2">
        <v>0</v>
      </c>
      <c r="K36" s="2">
        <v>0</v>
      </c>
      <c r="L36" s="2">
        <v>0</v>
      </c>
      <c r="M36" s="2">
        <v>0</v>
      </c>
      <c r="N36" s="2">
        <v>0</v>
      </c>
      <c r="O36" s="2">
        <v>0</v>
      </c>
      <c r="P36" s="2">
        <v>0</v>
      </c>
      <c r="Q36" s="2">
        <v>0</v>
      </c>
      <c r="R36" s="13" t="s">
        <v>27</v>
      </c>
      <c r="S36" s="13" t="s">
        <v>27</v>
      </c>
    </row>
    <row r="37" spans="1:19" hidden="1" x14ac:dyDescent="0.3">
      <c r="A37" s="14">
        <v>43886.75</v>
      </c>
      <c r="B37" s="13" t="s">
        <v>23</v>
      </c>
      <c r="C37" s="2">
        <v>20</v>
      </c>
      <c r="D37" s="13" t="s">
        <v>57</v>
      </c>
      <c r="E37" s="2">
        <v>3921531192</v>
      </c>
      <c r="F37" s="2">
        <v>9110616306</v>
      </c>
      <c r="G37" s="2">
        <v>0</v>
      </c>
      <c r="H37" s="2">
        <v>0</v>
      </c>
      <c r="I37" s="2">
        <v>0</v>
      </c>
      <c r="J37" s="2">
        <v>0</v>
      </c>
      <c r="K37" s="2">
        <v>0</v>
      </c>
      <c r="L37" s="2">
        <v>0</v>
      </c>
      <c r="M37" s="2">
        <v>0</v>
      </c>
      <c r="N37" s="2">
        <v>0</v>
      </c>
      <c r="O37" s="2">
        <v>0</v>
      </c>
      <c r="P37" s="2">
        <v>0</v>
      </c>
      <c r="Q37" s="2">
        <v>1</v>
      </c>
      <c r="R37" s="13" t="s">
        <v>27</v>
      </c>
      <c r="S37" s="13" t="s">
        <v>27</v>
      </c>
    </row>
    <row r="38" spans="1:19" hidden="1" x14ac:dyDescent="0.3">
      <c r="A38" s="14">
        <v>43886.75</v>
      </c>
      <c r="B38" s="13" t="s">
        <v>23</v>
      </c>
      <c r="C38" s="2">
        <v>19</v>
      </c>
      <c r="D38" s="13" t="s">
        <v>58</v>
      </c>
      <c r="E38" s="2">
        <v>3811569725</v>
      </c>
      <c r="F38" s="2">
        <v>133623567</v>
      </c>
      <c r="G38" s="2">
        <v>1</v>
      </c>
      <c r="H38" s="2">
        <v>0</v>
      </c>
      <c r="I38" s="2">
        <v>1</v>
      </c>
      <c r="J38" s="2">
        <v>2</v>
      </c>
      <c r="K38" s="2">
        <v>3</v>
      </c>
      <c r="L38" s="2">
        <v>3</v>
      </c>
      <c r="M38" s="2">
        <v>3</v>
      </c>
      <c r="N38" s="2">
        <v>0</v>
      </c>
      <c r="O38" s="2">
        <v>0</v>
      </c>
      <c r="P38" s="2">
        <v>3</v>
      </c>
      <c r="Q38" s="2">
        <v>5</v>
      </c>
      <c r="R38" s="13" t="s">
        <v>27</v>
      </c>
      <c r="S38" s="13" t="s">
        <v>27</v>
      </c>
    </row>
    <row r="39" spans="1:19" hidden="1" x14ac:dyDescent="0.3">
      <c r="A39" s="14">
        <v>43886.75</v>
      </c>
      <c r="B39" s="13" t="s">
        <v>23</v>
      </c>
      <c r="C39" s="2">
        <v>9</v>
      </c>
      <c r="D39" s="13" t="s">
        <v>59</v>
      </c>
      <c r="E39" s="2">
        <v>4376923077</v>
      </c>
      <c r="F39" s="2">
        <v>1125588885</v>
      </c>
      <c r="G39" s="2">
        <v>2</v>
      </c>
      <c r="H39" s="2">
        <v>0</v>
      </c>
      <c r="I39" s="2">
        <v>2</v>
      </c>
      <c r="J39" s="2">
        <v>0</v>
      </c>
      <c r="K39" s="2">
        <v>2</v>
      </c>
      <c r="L39" s="2">
        <v>2</v>
      </c>
      <c r="M39" s="2">
        <v>2</v>
      </c>
      <c r="N39" s="2">
        <v>0</v>
      </c>
      <c r="O39" s="2">
        <v>0</v>
      </c>
      <c r="P39" s="2">
        <v>2</v>
      </c>
      <c r="Q39" s="2">
        <v>296</v>
      </c>
      <c r="R39" s="13" t="s">
        <v>27</v>
      </c>
      <c r="S39" s="13" t="s">
        <v>27</v>
      </c>
    </row>
    <row r="40" spans="1:19" hidden="1" x14ac:dyDescent="0.3">
      <c r="A40" s="14">
        <v>43886.75</v>
      </c>
      <c r="B40" s="13" t="s">
        <v>23</v>
      </c>
      <c r="C40" s="2">
        <v>4</v>
      </c>
      <c r="D40" s="13" t="s">
        <v>60</v>
      </c>
      <c r="E40" s="2">
        <v>4606893511</v>
      </c>
      <c r="F40" s="2">
        <v>1112123097</v>
      </c>
      <c r="G40" s="2">
        <v>0</v>
      </c>
      <c r="H40" s="2">
        <v>0</v>
      </c>
      <c r="I40" s="2">
        <v>0</v>
      </c>
      <c r="J40" s="2">
        <v>0</v>
      </c>
      <c r="K40" s="2">
        <v>0</v>
      </c>
      <c r="L40" s="2">
        <v>0</v>
      </c>
      <c r="M40" s="2">
        <v>0</v>
      </c>
      <c r="N40" s="2">
        <v>0</v>
      </c>
      <c r="O40" s="2">
        <v>0</v>
      </c>
      <c r="P40" s="2">
        <v>0</v>
      </c>
      <c r="Q40" s="2">
        <v>3</v>
      </c>
      <c r="R40" s="13" t="s">
        <v>27</v>
      </c>
      <c r="S40" s="13" t="s">
        <v>27</v>
      </c>
    </row>
    <row r="41" spans="1:19" hidden="1" x14ac:dyDescent="0.3">
      <c r="A41" s="14">
        <v>43886.75</v>
      </c>
      <c r="B41" s="13" t="s">
        <v>23</v>
      </c>
      <c r="C41" s="2">
        <v>10</v>
      </c>
      <c r="D41" s="13" t="s">
        <v>61</v>
      </c>
      <c r="E41" s="2">
        <v>4310675841</v>
      </c>
      <c r="F41" s="2">
        <v>1238824698</v>
      </c>
      <c r="G41" s="2">
        <v>0</v>
      </c>
      <c r="H41" s="2">
        <v>0</v>
      </c>
      <c r="I41" s="2">
        <v>0</v>
      </c>
      <c r="J41" s="2">
        <v>0</v>
      </c>
      <c r="K41" s="2">
        <v>0</v>
      </c>
      <c r="L41" s="2">
        <v>0</v>
      </c>
      <c r="M41" s="2">
        <v>0</v>
      </c>
      <c r="N41" s="2">
        <v>0</v>
      </c>
      <c r="O41" s="2">
        <v>0</v>
      </c>
      <c r="P41" s="2">
        <v>0</v>
      </c>
      <c r="Q41" s="2">
        <v>8</v>
      </c>
      <c r="R41" s="13" t="s">
        <v>27</v>
      </c>
      <c r="S41" s="13" t="s">
        <v>27</v>
      </c>
    </row>
    <row r="42" spans="1:19" hidden="1" x14ac:dyDescent="0.3">
      <c r="A42" s="14">
        <v>43886.75</v>
      </c>
      <c r="B42" s="13" t="s">
        <v>23</v>
      </c>
      <c r="C42" s="2">
        <v>2</v>
      </c>
      <c r="D42" s="13" t="s">
        <v>62</v>
      </c>
      <c r="E42" s="2">
        <v>4573750286</v>
      </c>
      <c r="F42" s="2">
        <v>7320149366</v>
      </c>
      <c r="G42" s="2">
        <v>0</v>
      </c>
      <c r="H42" s="2">
        <v>0</v>
      </c>
      <c r="I42" s="2">
        <v>0</v>
      </c>
      <c r="J42" s="2">
        <v>0</v>
      </c>
      <c r="K42" s="2">
        <v>0</v>
      </c>
      <c r="L42" s="2">
        <v>0</v>
      </c>
      <c r="M42" s="2">
        <v>0</v>
      </c>
      <c r="N42" s="2">
        <v>0</v>
      </c>
      <c r="O42" s="2">
        <v>0</v>
      </c>
      <c r="P42" s="2">
        <v>0</v>
      </c>
      <c r="Q42" s="2">
        <v>7</v>
      </c>
      <c r="R42" s="13" t="s">
        <v>27</v>
      </c>
      <c r="S42" s="13" t="s">
        <v>27</v>
      </c>
    </row>
    <row r="43" spans="1:19" hidden="1" x14ac:dyDescent="0.3">
      <c r="A43" s="14">
        <v>43886.75</v>
      </c>
      <c r="B43" s="13" t="s">
        <v>23</v>
      </c>
      <c r="C43" s="2">
        <v>5</v>
      </c>
      <c r="D43" s="13" t="s">
        <v>63</v>
      </c>
      <c r="E43" s="2">
        <v>4543490485</v>
      </c>
      <c r="F43" s="2">
        <v>1233845213</v>
      </c>
      <c r="G43" s="2">
        <v>12</v>
      </c>
      <c r="H43" s="2">
        <v>7</v>
      </c>
      <c r="I43" s="2">
        <v>19</v>
      </c>
      <c r="J43" s="2">
        <v>23</v>
      </c>
      <c r="K43" s="2">
        <v>42</v>
      </c>
      <c r="L43" s="2">
        <v>10</v>
      </c>
      <c r="M43" s="2">
        <v>10</v>
      </c>
      <c r="N43" s="2">
        <v>0</v>
      </c>
      <c r="O43" s="2">
        <v>1</v>
      </c>
      <c r="P43" s="2">
        <v>43</v>
      </c>
      <c r="Q43" s="2">
        <v>3780</v>
      </c>
      <c r="R43" s="13" t="s">
        <v>27</v>
      </c>
      <c r="S43" s="13" t="s">
        <v>27</v>
      </c>
    </row>
    <row r="44" spans="1:19" hidden="1" x14ac:dyDescent="0.3">
      <c r="A44" s="14">
        <v>43887.75</v>
      </c>
      <c r="B44" s="13" t="s">
        <v>23</v>
      </c>
      <c r="C44" s="2">
        <v>13</v>
      </c>
      <c r="D44" s="13" t="s">
        <v>44</v>
      </c>
      <c r="E44" s="2">
        <v>4235122196</v>
      </c>
      <c r="F44" s="2">
        <v>1339843823</v>
      </c>
      <c r="G44" s="2">
        <v>0</v>
      </c>
      <c r="H44" s="2">
        <v>0</v>
      </c>
      <c r="I44" s="2">
        <v>0</v>
      </c>
      <c r="J44" s="2">
        <v>0</v>
      </c>
      <c r="K44" s="2">
        <v>0</v>
      </c>
      <c r="L44" s="2">
        <v>0</v>
      </c>
      <c r="M44" s="2">
        <v>0</v>
      </c>
      <c r="N44" s="2">
        <v>0</v>
      </c>
      <c r="O44" s="2">
        <v>0</v>
      </c>
      <c r="P44" s="2">
        <v>0</v>
      </c>
      <c r="Q44" s="2">
        <v>13</v>
      </c>
      <c r="R44" s="13" t="s">
        <v>27</v>
      </c>
      <c r="S44" s="13" t="s">
        <v>27</v>
      </c>
    </row>
    <row r="45" spans="1:19" hidden="1" x14ac:dyDescent="0.3">
      <c r="A45" s="14">
        <v>43887.75</v>
      </c>
      <c r="B45" s="13" t="s">
        <v>23</v>
      </c>
      <c r="C45" s="2">
        <v>17</v>
      </c>
      <c r="D45" s="13" t="s">
        <v>45</v>
      </c>
      <c r="E45" s="2">
        <v>4063947052</v>
      </c>
      <c r="F45" s="2">
        <v>1580514834</v>
      </c>
      <c r="G45" s="2">
        <v>0</v>
      </c>
      <c r="H45" s="2">
        <v>0</v>
      </c>
      <c r="I45" s="2">
        <v>0</v>
      </c>
      <c r="J45" s="2">
        <v>0</v>
      </c>
      <c r="K45" s="2">
        <v>0</v>
      </c>
      <c r="L45" s="2">
        <v>0</v>
      </c>
      <c r="M45" s="2">
        <v>0</v>
      </c>
      <c r="N45" s="2">
        <v>0</v>
      </c>
      <c r="O45" s="2">
        <v>0</v>
      </c>
      <c r="P45" s="2">
        <v>0</v>
      </c>
      <c r="Q45" s="2">
        <v>0</v>
      </c>
      <c r="R45" s="13" t="s">
        <v>27</v>
      </c>
      <c r="S45" s="13" t="s">
        <v>27</v>
      </c>
    </row>
    <row r="46" spans="1:19" hidden="1" x14ac:dyDescent="0.3">
      <c r="A46" s="14">
        <v>43887.75</v>
      </c>
      <c r="B46" s="13" t="s">
        <v>23</v>
      </c>
      <c r="C46" s="2">
        <v>4</v>
      </c>
      <c r="D46" s="13" t="s">
        <v>46</v>
      </c>
      <c r="E46" s="2">
        <v>4649933453</v>
      </c>
      <c r="F46" s="2">
        <v>1135662422</v>
      </c>
      <c r="G46" s="2">
        <v>1</v>
      </c>
      <c r="H46" s="2">
        <v>0</v>
      </c>
      <c r="I46" s="2">
        <v>1</v>
      </c>
      <c r="J46" s="2">
        <v>0</v>
      </c>
      <c r="K46" s="2">
        <v>1</v>
      </c>
      <c r="L46" s="2">
        <v>0</v>
      </c>
      <c r="M46" s="2">
        <v>0</v>
      </c>
      <c r="N46" s="2">
        <v>0</v>
      </c>
      <c r="O46" s="2">
        <v>0</v>
      </c>
      <c r="P46" s="2">
        <v>1</v>
      </c>
      <c r="Q46" s="2">
        <v>1</v>
      </c>
      <c r="R46" s="13" t="s">
        <v>27</v>
      </c>
      <c r="S46" s="13" t="s">
        <v>27</v>
      </c>
    </row>
    <row r="47" spans="1:19" hidden="1" x14ac:dyDescent="0.3">
      <c r="A47" s="14">
        <v>43887.75</v>
      </c>
      <c r="B47" s="13" t="s">
        <v>23</v>
      </c>
      <c r="C47" s="2">
        <v>18</v>
      </c>
      <c r="D47" s="13" t="s">
        <v>47</v>
      </c>
      <c r="E47" s="2">
        <v>3890597598</v>
      </c>
      <c r="F47" s="2">
        <v>1659440194</v>
      </c>
      <c r="G47" s="2">
        <v>0</v>
      </c>
      <c r="H47" s="2">
        <v>0</v>
      </c>
      <c r="I47" s="2">
        <v>0</v>
      </c>
      <c r="J47" s="2">
        <v>0</v>
      </c>
      <c r="K47" s="2">
        <v>0</v>
      </c>
      <c r="L47" s="2">
        <v>0</v>
      </c>
      <c r="M47" s="2">
        <v>0</v>
      </c>
      <c r="N47" s="2">
        <v>0</v>
      </c>
      <c r="O47" s="2">
        <v>0</v>
      </c>
      <c r="P47" s="2">
        <v>0</v>
      </c>
      <c r="Q47" s="2">
        <v>3</v>
      </c>
      <c r="R47" s="13" t="s">
        <v>27</v>
      </c>
      <c r="S47" s="13" t="s">
        <v>27</v>
      </c>
    </row>
    <row r="48" spans="1:19" hidden="1" x14ac:dyDescent="0.3">
      <c r="A48" s="14">
        <v>43887.75</v>
      </c>
      <c r="B48" s="13" t="s">
        <v>23</v>
      </c>
      <c r="C48" s="2">
        <v>15</v>
      </c>
      <c r="D48" s="13" t="s">
        <v>48</v>
      </c>
      <c r="E48" s="2">
        <v>4083956555</v>
      </c>
      <c r="F48" s="2">
        <v>1425084984</v>
      </c>
      <c r="G48" s="2">
        <v>0</v>
      </c>
      <c r="H48" s="2">
        <v>0</v>
      </c>
      <c r="I48" s="2">
        <v>0</v>
      </c>
      <c r="J48" s="2">
        <v>0</v>
      </c>
      <c r="K48" s="2">
        <v>0</v>
      </c>
      <c r="L48" s="2">
        <v>0</v>
      </c>
      <c r="M48" s="2">
        <v>0</v>
      </c>
      <c r="N48" s="2">
        <v>0</v>
      </c>
      <c r="O48" s="2">
        <v>0</v>
      </c>
      <c r="P48" s="2">
        <v>0</v>
      </c>
      <c r="Q48" s="2">
        <v>10</v>
      </c>
      <c r="R48" s="13" t="s">
        <v>27</v>
      </c>
      <c r="S48" s="13" t="s">
        <v>27</v>
      </c>
    </row>
    <row r="49" spans="1:19" hidden="1" x14ac:dyDescent="0.3">
      <c r="A49" s="14">
        <v>43887.75</v>
      </c>
      <c r="B49" s="13" t="s">
        <v>23</v>
      </c>
      <c r="C49" s="2">
        <v>8</v>
      </c>
      <c r="D49" s="13" t="s">
        <v>98</v>
      </c>
      <c r="E49" s="2">
        <v>4449436681</v>
      </c>
      <c r="F49" s="2">
        <v>113417208</v>
      </c>
      <c r="G49" s="2">
        <v>20</v>
      </c>
      <c r="H49" s="2">
        <v>3</v>
      </c>
      <c r="I49" s="2">
        <v>23</v>
      </c>
      <c r="J49" s="2">
        <v>23</v>
      </c>
      <c r="K49" s="2">
        <v>46</v>
      </c>
      <c r="L49" s="2">
        <v>20</v>
      </c>
      <c r="M49" s="2">
        <v>21</v>
      </c>
      <c r="N49" s="2">
        <v>0</v>
      </c>
      <c r="O49" s="2">
        <v>1</v>
      </c>
      <c r="P49" s="2">
        <v>47</v>
      </c>
      <c r="Q49" s="2">
        <v>577</v>
      </c>
      <c r="R49" s="13" t="s">
        <v>27</v>
      </c>
      <c r="S49" s="13" t="s">
        <v>27</v>
      </c>
    </row>
    <row r="50" spans="1:19" hidden="1" x14ac:dyDescent="0.3">
      <c r="A50" s="14">
        <v>43887.75</v>
      </c>
      <c r="B50" s="13" t="s">
        <v>23</v>
      </c>
      <c r="C50" s="2">
        <v>6</v>
      </c>
      <c r="D50" s="13" t="s">
        <v>49</v>
      </c>
      <c r="E50" s="2">
        <v>456494354</v>
      </c>
      <c r="F50" s="2">
        <v>1376813649</v>
      </c>
      <c r="G50" s="2">
        <v>0</v>
      </c>
      <c r="H50" s="2">
        <v>0</v>
      </c>
      <c r="I50" s="2">
        <v>0</v>
      </c>
      <c r="J50" s="2">
        <v>0</v>
      </c>
      <c r="K50" s="2">
        <v>0</v>
      </c>
      <c r="L50" s="2">
        <v>0</v>
      </c>
      <c r="M50" s="2">
        <v>0</v>
      </c>
      <c r="N50" s="2">
        <v>0</v>
      </c>
      <c r="O50" s="2">
        <v>0</v>
      </c>
      <c r="P50" s="2">
        <v>0</v>
      </c>
      <c r="Q50" s="2">
        <v>114</v>
      </c>
      <c r="R50" s="13" t="s">
        <v>27</v>
      </c>
      <c r="S50" s="13" t="s">
        <v>27</v>
      </c>
    </row>
    <row r="51" spans="1:19" hidden="1" x14ac:dyDescent="0.3">
      <c r="A51" s="14">
        <v>43887.75</v>
      </c>
      <c r="B51" s="13" t="s">
        <v>23</v>
      </c>
      <c r="C51" s="2">
        <v>12</v>
      </c>
      <c r="D51" s="13" t="s">
        <v>50</v>
      </c>
      <c r="E51" s="2">
        <v>4189277044</v>
      </c>
      <c r="F51" s="2">
        <v>1248366722</v>
      </c>
      <c r="G51" s="2">
        <v>0</v>
      </c>
      <c r="H51" s="2">
        <v>0</v>
      </c>
      <c r="I51" s="2">
        <v>0</v>
      </c>
      <c r="J51" s="2">
        <v>0</v>
      </c>
      <c r="K51" s="2">
        <v>0</v>
      </c>
      <c r="L51" s="2">
        <v>-2</v>
      </c>
      <c r="M51" s="2">
        <v>0</v>
      </c>
      <c r="N51" s="2">
        <v>3</v>
      </c>
      <c r="O51" s="2">
        <v>0</v>
      </c>
      <c r="P51" s="2">
        <v>3</v>
      </c>
      <c r="Q51" s="2">
        <v>124</v>
      </c>
      <c r="R51" s="13" t="s">
        <v>27</v>
      </c>
      <c r="S51" s="13" t="s">
        <v>27</v>
      </c>
    </row>
    <row r="52" spans="1:19" hidden="1" x14ac:dyDescent="0.3">
      <c r="A52" s="14">
        <v>43887.75</v>
      </c>
      <c r="B52" s="13" t="s">
        <v>23</v>
      </c>
      <c r="C52" s="2">
        <v>7</v>
      </c>
      <c r="D52" s="13" t="s">
        <v>51</v>
      </c>
      <c r="E52" s="2">
        <v>4441149315</v>
      </c>
      <c r="F52" s="2">
        <v>89326992</v>
      </c>
      <c r="G52" s="2">
        <v>6</v>
      </c>
      <c r="H52" s="2">
        <v>0</v>
      </c>
      <c r="I52" s="2">
        <v>6</v>
      </c>
      <c r="J52" s="2">
        <v>5</v>
      </c>
      <c r="K52" s="2">
        <v>11</v>
      </c>
      <c r="L52" s="2">
        <v>10</v>
      </c>
      <c r="M52" s="2">
        <v>10</v>
      </c>
      <c r="N52" s="2">
        <v>0</v>
      </c>
      <c r="O52" s="2">
        <v>0</v>
      </c>
      <c r="P52" s="2">
        <v>11</v>
      </c>
      <c r="Q52" s="2">
        <v>66</v>
      </c>
      <c r="R52" s="13" t="s">
        <v>27</v>
      </c>
      <c r="S52" s="13" t="s">
        <v>27</v>
      </c>
    </row>
    <row r="53" spans="1:19" x14ac:dyDescent="0.3">
      <c r="A53" s="14">
        <v>43887.75</v>
      </c>
      <c r="B53" s="13" t="s">
        <v>23</v>
      </c>
      <c r="C53" s="2">
        <v>3</v>
      </c>
      <c r="D53" s="13" t="s">
        <v>52</v>
      </c>
      <c r="E53" s="2">
        <v>4546679409</v>
      </c>
      <c r="F53" s="2">
        <v>9190347404</v>
      </c>
      <c r="G53" s="2">
        <v>79</v>
      </c>
      <c r="H53" s="2">
        <v>25</v>
      </c>
      <c r="I53" s="2">
        <v>104</v>
      </c>
      <c r="J53" s="2">
        <v>145</v>
      </c>
      <c r="K53" s="2">
        <v>249</v>
      </c>
      <c r="L53" s="2">
        <v>18</v>
      </c>
      <c r="M53" s="2">
        <v>18</v>
      </c>
      <c r="N53" s="2">
        <v>0</v>
      </c>
      <c r="O53" s="2">
        <v>9</v>
      </c>
      <c r="P53" s="2">
        <v>258</v>
      </c>
      <c r="Q53" s="2">
        <v>3208</v>
      </c>
      <c r="R53" s="13" t="s">
        <v>27</v>
      </c>
      <c r="S53" s="13" t="s">
        <v>27</v>
      </c>
    </row>
    <row r="54" spans="1:19" hidden="1" x14ac:dyDescent="0.3">
      <c r="A54" s="14">
        <v>43887.75</v>
      </c>
      <c r="B54" s="13" t="s">
        <v>23</v>
      </c>
      <c r="C54" s="2">
        <v>11</v>
      </c>
      <c r="D54" s="13" t="s">
        <v>53</v>
      </c>
      <c r="E54" s="2">
        <v>4361675973</v>
      </c>
      <c r="F54" s="2">
        <v>135188753</v>
      </c>
      <c r="G54" s="2">
        <v>1</v>
      </c>
      <c r="H54" s="2">
        <v>0</v>
      </c>
      <c r="I54" s="2">
        <v>1</v>
      </c>
      <c r="J54" s="2">
        <v>0</v>
      </c>
      <c r="K54" s="2">
        <v>1</v>
      </c>
      <c r="L54" s="2">
        <v>1</v>
      </c>
      <c r="M54" s="2">
        <v>1</v>
      </c>
      <c r="N54" s="2">
        <v>0</v>
      </c>
      <c r="O54" s="2">
        <v>0</v>
      </c>
      <c r="P54" s="2">
        <v>1</v>
      </c>
      <c r="Q54" s="2">
        <v>28</v>
      </c>
      <c r="R54" s="13" t="s">
        <v>27</v>
      </c>
      <c r="S54" s="13" t="s">
        <v>27</v>
      </c>
    </row>
    <row r="55" spans="1:19" hidden="1" x14ac:dyDescent="0.3">
      <c r="A55" s="14">
        <v>43887.75</v>
      </c>
      <c r="B55" s="13" t="s">
        <v>23</v>
      </c>
      <c r="C55" s="2">
        <v>14</v>
      </c>
      <c r="D55" s="13" t="s">
        <v>54</v>
      </c>
      <c r="E55" s="2">
        <v>4155774754</v>
      </c>
      <c r="F55" s="2">
        <v>1465916051</v>
      </c>
      <c r="G55" s="2">
        <v>0</v>
      </c>
      <c r="H55" s="2">
        <v>0</v>
      </c>
      <c r="I55" s="2">
        <v>0</v>
      </c>
      <c r="J55" s="2">
        <v>0</v>
      </c>
      <c r="K55" s="2">
        <v>0</v>
      </c>
      <c r="L55" s="2">
        <v>0</v>
      </c>
      <c r="M55" s="2">
        <v>0</v>
      </c>
      <c r="N55" s="2">
        <v>0</v>
      </c>
      <c r="O55" s="2">
        <v>0</v>
      </c>
      <c r="P55" s="2">
        <v>0</v>
      </c>
      <c r="Q55" s="2">
        <v>0</v>
      </c>
      <c r="R55" s="13" t="s">
        <v>27</v>
      </c>
      <c r="S55" s="13" t="s">
        <v>27</v>
      </c>
    </row>
    <row r="56" spans="1:19" hidden="1" x14ac:dyDescent="0.3">
      <c r="A56" s="14">
        <v>43887.75</v>
      </c>
      <c r="B56" s="13" t="s">
        <v>23</v>
      </c>
      <c r="C56" s="2">
        <v>1</v>
      </c>
      <c r="D56" s="13" t="s">
        <v>55</v>
      </c>
      <c r="E56" s="2">
        <v>450732745</v>
      </c>
      <c r="F56" s="2">
        <v>7680687483</v>
      </c>
      <c r="G56" s="2">
        <v>2</v>
      </c>
      <c r="H56" s="2">
        <v>0</v>
      </c>
      <c r="I56" s="2">
        <v>2</v>
      </c>
      <c r="J56" s="2">
        <v>1</v>
      </c>
      <c r="K56" s="2">
        <v>3</v>
      </c>
      <c r="L56" s="2">
        <v>0</v>
      </c>
      <c r="M56" s="2">
        <v>0</v>
      </c>
      <c r="N56" s="2">
        <v>0</v>
      </c>
      <c r="O56" s="2">
        <v>0</v>
      </c>
      <c r="P56" s="2">
        <v>3</v>
      </c>
      <c r="Q56" s="2">
        <v>156</v>
      </c>
      <c r="R56" s="13" t="s">
        <v>27</v>
      </c>
      <c r="S56" s="13" t="s">
        <v>27</v>
      </c>
    </row>
    <row r="57" spans="1:19" hidden="1" x14ac:dyDescent="0.3">
      <c r="A57" s="14">
        <v>43887.75</v>
      </c>
      <c r="B57" s="13" t="s">
        <v>23</v>
      </c>
      <c r="C57" s="2">
        <v>16</v>
      </c>
      <c r="D57" s="13" t="s">
        <v>56</v>
      </c>
      <c r="E57" s="2">
        <v>4112559576</v>
      </c>
      <c r="F57" s="2">
        <v>1686736689</v>
      </c>
      <c r="G57" s="2">
        <v>0</v>
      </c>
      <c r="H57" s="2">
        <v>0</v>
      </c>
      <c r="I57" s="2">
        <v>0</v>
      </c>
      <c r="J57" s="2">
        <v>0</v>
      </c>
      <c r="K57" s="2">
        <v>0</v>
      </c>
      <c r="L57" s="2">
        <v>0</v>
      </c>
      <c r="M57" s="2">
        <v>0</v>
      </c>
      <c r="N57" s="2">
        <v>0</v>
      </c>
      <c r="O57" s="2">
        <v>0</v>
      </c>
      <c r="P57" s="2">
        <v>0</v>
      </c>
      <c r="Q57" s="2">
        <v>0</v>
      </c>
      <c r="R57" s="13" t="s">
        <v>27</v>
      </c>
      <c r="S57" s="13" t="s">
        <v>27</v>
      </c>
    </row>
    <row r="58" spans="1:19" hidden="1" x14ac:dyDescent="0.3">
      <c r="A58" s="14">
        <v>43887.75</v>
      </c>
      <c r="B58" s="13" t="s">
        <v>23</v>
      </c>
      <c r="C58" s="2">
        <v>20</v>
      </c>
      <c r="D58" s="13" t="s">
        <v>57</v>
      </c>
      <c r="E58" s="2">
        <v>3921531192</v>
      </c>
      <c r="F58" s="2">
        <v>9110616306</v>
      </c>
      <c r="G58" s="2">
        <v>0</v>
      </c>
      <c r="H58" s="2">
        <v>0</v>
      </c>
      <c r="I58" s="2">
        <v>0</v>
      </c>
      <c r="J58" s="2">
        <v>0</v>
      </c>
      <c r="K58" s="2">
        <v>0</v>
      </c>
      <c r="L58" s="2">
        <v>0</v>
      </c>
      <c r="M58" s="2">
        <v>0</v>
      </c>
      <c r="N58" s="2">
        <v>0</v>
      </c>
      <c r="O58" s="2">
        <v>0</v>
      </c>
      <c r="P58" s="2">
        <v>0</v>
      </c>
      <c r="Q58" s="2">
        <v>1</v>
      </c>
      <c r="R58" s="13" t="s">
        <v>27</v>
      </c>
      <c r="S58" s="13" t="s">
        <v>27</v>
      </c>
    </row>
    <row r="59" spans="1:19" hidden="1" x14ac:dyDescent="0.3">
      <c r="A59" s="14">
        <v>43887.75</v>
      </c>
      <c r="B59" s="13" t="s">
        <v>23</v>
      </c>
      <c r="C59" s="2">
        <v>19</v>
      </c>
      <c r="D59" s="13" t="s">
        <v>58</v>
      </c>
      <c r="E59" s="2">
        <v>3811569725</v>
      </c>
      <c r="F59" s="2">
        <v>133623567</v>
      </c>
      <c r="G59" s="2">
        <v>1</v>
      </c>
      <c r="H59" s="2">
        <v>0</v>
      </c>
      <c r="I59" s="2">
        <v>1</v>
      </c>
      <c r="J59" s="2">
        <v>2</v>
      </c>
      <c r="K59" s="2">
        <v>3</v>
      </c>
      <c r="L59" s="2">
        <v>0</v>
      </c>
      <c r="M59" s="2">
        <v>0</v>
      </c>
      <c r="N59" s="2">
        <v>0</v>
      </c>
      <c r="O59" s="2">
        <v>0</v>
      </c>
      <c r="P59" s="2">
        <v>3</v>
      </c>
      <c r="Q59" s="2">
        <v>5</v>
      </c>
      <c r="R59" s="13" t="s">
        <v>27</v>
      </c>
      <c r="S59" s="13" t="s">
        <v>27</v>
      </c>
    </row>
    <row r="60" spans="1:19" hidden="1" x14ac:dyDescent="0.3">
      <c r="A60" s="14">
        <v>43887.75</v>
      </c>
      <c r="B60" s="13" t="s">
        <v>23</v>
      </c>
      <c r="C60" s="2">
        <v>9</v>
      </c>
      <c r="D60" s="13" t="s">
        <v>59</v>
      </c>
      <c r="E60" s="2">
        <v>4376923077</v>
      </c>
      <c r="F60" s="2">
        <v>1125588885</v>
      </c>
      <c r="G60" s="2">
        <v>2</v>
      </c>
      <c r="H60" s="2">
        <v>0</v>
      </c>
      <c r="I60" s="2">
        <v>2</v>
      </c>
      <c r="J60" s="2">
        <v>0</v>
      </c>
      <c r="K60" s="2">
        <v>2</v>
      </c>
      <c r="L60" s="2">
        <v>0</v>
      </c>
      <c r="M60" s="2">
        <v>0</v>
      </c>
      <c r="N60" s="2">
        <v>0</v>
      </c>
      <c r="O60" s="2">
        <v>0</v>
      </c>
      <c r="P60" s="2">
        <v>2</v>
      </c>
      <c r="Q60" s="2">
        <v>363</v>
      </c>
      <c r="R60" s="13" t="s">
        <v>27</v>
      </c>
      <c r="S60" s="13" t="s">
        <v>27</v>
      </c>
    </row>
    <row r="61" spans="1:19" hidden="1" x14ac:dyDescent="0.3">
      <c r="A61" s="14">
        <v>43887.75</v>
      </c>
      <c r="B61" s="13" t="s">
        <v>23</v>
      </c>
      <c r="C61" s="2">
        <v>4</v>
      </c>
      <c r="D61" s="13" t="s">
        <v>60</v>
      </c>
      <c r="E61" s="2">
        <v>4606893511</v>
      </c>
      <c r="F61" s="2">
        <v>1112123097</v>
      </c>
      <c r="G61" s="2">
        <v>0</v>
      </c>
      <c r="H61" s="2">
        <v>0</v>
      </c>
      <c r="I61" s="2">
        <v>0</v>
      </c>
      <c r="J61" s="2">
        <v>0</v>
      </c>
      <c r="K61" s="2">
        <v>0</v>
      </c>
      <c r="L61" s="2">
        <v>0</v>
      </c>
      <c r="M61" s="2">
        <v>0</v>
      </c>
      <c r="N61" s="2">
        <v>0</v>
      </c>
      <c r="O61" s="2">
        <v>0</v>
      </c>
      <c r="P61" s="2">
        <v>0</v>
      </c>
      <c r="Q61" s="2">
        <v>3</v>
      </c>
      <c r="R61" s="13" t="s">
        <v>27</v>
      </c>
      <c r="S61" s="13" t="s">
        <v>27</v>
      </c>
    </row>
    <row r="62" spans="1:19" hidden="1" x14ac:dyDescent="0.3">
      <c r="A62" s="14">
        <v>43887.75</v>
      </c>
      <c r="B62" s="13" t="s">
        <v>23</v>
      </c>
      <c r="C62" s="2">
        <v>10</v>
      </c>
      <c r="D62" s="13" t="s">
        <v>61</v>
      </c>
      <c r="E62" s="2">
        <v>4310675841</v>
      </c>
      <c r="F62" s="2">
        <v>1238824698</v>
      </c>
      <c r="G62" s="2">
        <v>0</v>
      </c>
      <c r="H62" s="2">
        <v>0</v>
      </c>
      <c r="I62" s="2">
        <v>0</v>
      </c>
      <c r="J62" s="2">
        <v>0</v>
      </c>
      <c r="K62" s="2">
        <v>0</v>
      </c>
      <c r="L62" s="2">
        <v>0</v>
      </c>
      <c r="M62" s="2">
        <v>0</v>
      </c>
      <c r="N62" s="2">
        <v>0</v>
      </c>
      <c r="O62" s="2">
        <v>0</v>
      </c>
      <c r="P62" s="2">
        <v>0</v>
      </c>
      <c r="Q62" s="2">
        <v>8</v>
      </c>
      <c r="R62" s="13" t="s">
        <v>27</v>
      </c>
      <c r="S62" s="13" t="s">
        <v>27</v>
      </c>
    </row>
    <row r="63" spans="1:19" hidden="1" x14ac:dyDescent="0.3">
      <c r="A63" s="14">
        <v>43887.75</v>
      </c>
      <c r="B63" s="13" t="s">
        <v>23</v>
      </c>
      <c r="C63" s="2">
        <v>2</v>
      </c>
      <c r="D63" s="13" t="s">
        <v>62</v>
      </c>
      <c r="E63" s="2">
        <v>4573750286</v>
      </c>
      <c r="F63" s="2">
        <v>7320149366</v>
      </c>
      <c r="G63" s="2">
        <v>0</v>
      </c>
      <c r="H63" s="2">
        <v>0</v>
      </c>
      <c r="I63" s="2">
        <v>0</v>
      </c>
      <c r="J63" s="2">
        <v>0</v>
      </c>
      <c r="K63" s="2">
        <v>0</v>
      </c>
      <c r="L63" s="2">
        <v>0</v>
      </c>
      <c r="M63" s="2">
        <v>0</v>
      </c>
      <c r="N63" s="2">
        <v>0</v>
      </c>
      <c r="O63" s="2">
        <v>0</v>
      </c>
      <c r="P63" s="2">
        <v>0</v>
      </c>
      <c r="Q63" s="2">
        <v>7</v>
      </c>
      <c r="R63" s="13" t="s">
        <v>27</v>
      </c>
      <c r="S63" s="13" t="s">
        <v>27</v>
      </c>
    </row>
    <row r="64" spans="1:19" hidden="1" x14ac:dyDescent="0.3">
      <c r="A64" s="14">
        <v>43887.75</v>
      </c>
      <c r="B64" s="13" t="s">
        <v>23</v>
      </c>
      <c r="C64" s="2">
        <v>5</v>
      </c>
      <c r="D64" s="13" t="s">
        <v>63</v>
      </c>
      <c r="E64" s="2">
        <v>4543490485</v>
      </c>
      <c r="F64" s="2">
        <v>1233845213</v>
      </c>
      <c r="G64" s="2">
        <v>16</v>
      </c>
      <c r="H64" s="2">
        <v>8</v>
      </c>
      <c r="I64" s="2">
        <v>24</v>
      </c>
      <c r="J64" s="2">
        <v>45</v>
      </c>
      <c r="K64" s="2">
        <v>69</v>
      </c>
      <c r="L64" s="2">
        <v>27</v>
      </c>
      <c r="M64" s="2">
        <v>28</v>
      </c>
      <c r="N64" s="2">
        <v>0</v>
      </c>
      <c r="O64" s="2">
        <v>2</v>
      </c>
      <c r="P64" s="2">
        <v>71</v>
      </c>
      <c r="Q64" s="2">
        <v>4900</v>
      </c>
      <c r="R64" s="13" t="s">
        <v>27</v>
      </c>
      <c r="S64" s="13" t="s">
        <v>27</v>
      </c>
    </row>
    <row r="65" spans="1:19" hidden="1" x14ac:dyDescent="0.3">
      <c r="A65" s="14">
        <v>43888.75</v>
      </c>
      <c r="B65" s="13" t="s">
        <v>23</v>
      </c>
      <c r="C65" s="2">
        <v>13</v>
      </c>
      <c r="D65" s="13" t="s">
        <v>44</v>
      </c>
      <c r="E65" s="2">
        <v>4235122196</v>
      </c>
      <c r="F65" s="2">
        <v>1339843823</v>
      </c>
      <c r="G65" s="2">
        <v>1</v>
      </c>
      <c r="H65" s="2">
        <v>0</v>
      </c>
      <c r="I65" s="2">
        <v>1</v>
      </c>
      <c r="J65" s="2">
        <v>0</v>
      </c>
      <c r="K65" s="2">
        <v>1</v>
      </c>
      <c r="L65" s="2">
        <v>1</v>
      </c>
      <c r="M65" s="2">
        <v>1</v>
      </c>
      <c r="N65" s="2">
        <v>0</v>
      </c>
      <c r="O65" s="2">
        <v>0</v>
      </c>
      <c r="P65" s="2">
        <v>1</v>
      </c>
      <c r="Q65" s="2">
        <v>33</v>
      </c>
      <c r="R65" s="13" t="s">
        <v>27</v>
      </c>
      <c r="S65" s="13" t="s">
        <v>27</v>
      </c>
    </row>
    <row r="66" spans="1:19" hidden="1" x14ac:dyDescent="0.3">
      <c r="A66" s="14">
        <v>43888.75</v>
      </c>
      <c r="B66" s="13" t="s">
        <v>23</v>
      </c>
      <c r="C66" s="2">
        <v>17</v>
      </c>
      <c r="D66" s="13" t="s">
        <v>45</v>
      </c>
      <c r="E66" s="2">
        <v>4063947052</v>
      </c>
      <c r="F66" s="2">
        <v>1580514834</v>
      </c>
      <c r="G66" s="2">
        <v>0</v>
      </c>
      <c r="H66" s="2">
        <v>0</v>
      </c>
      <c r="I66" s="2">
        <v>0</v>
      </c>
      <c r="J66" s="2">
        <v>0</v>
      </c>
      <c r="K66" s="2">
        <v>0</v>
      </c>
      <c r="L66" s="2">
        <v>0</v>
      </c>
      <c r="M66" s="2">
        <v>0</v>
      </c>
      <c r="N66" s="2">
        <v>0</v>
      </c>
      <c r="O66" s="2">
        <v>0</v>
      </c>
      <c r="P66" s="2">
        <v>0</v>
      </c>
      <c r="Q66" s="2">
        <v>0</v>
      </c>
      <c r="R66" s="13" t="s">
        <v>27</v>
      </c>
      <c r="S66" s="13" t="s">
        <v>27</v>
      </c>
    </row>
    <row r="67" spans="1:19" hidden="1" x14ac:dyDescent="0.3">
      <c r="A67" s="14">
        <v>43888.75</v>
      </c>
      <c r="B67" s="13" t="s">
        <v>23</v>
      </c>
      <c r="C67" s="2">
        <v>4</v>
      </c>
      <c r="D67" s="13" t="s">
        <v>46</v>
      </c>
      <c r="E67" s="2">
        <v>4649933453</v>
      </c>
      <c r="F67" s="2">
        <v>1135662422</v>
      </c>
      <c r="G67" s="2">
        <v>1</v>
      </c>
      <c r="H67" s="2">
        <v>0</v>
      </c>
      <c r="I67" s="2">
        <v>1</v>
      </c>
      <c r="J67" s="2">
        <v>0</v>
      </c>
      <c r="K67" s="2">
        <v>1</v>
      </c>
      <c r="L67" s="2">
        <v>0</v>
      </c>
      <c r="M67" s="2">
        <v>0</v>
      </c>
      <c r="N67" s="2">
        <v>0</v>
      </c>
      <c r="O67" s="2">
        <v>0</v>
      </c>
      <c r="P67" s="2">
        <v>1</v>
      </c>
      <c r="Q67" s="2">
        <v>2</v>
      </c>
      <c r="R67" s="13" t="s">
        <v>27</v>
      </c>
      <c r="S67" s="13" t="s">
        <v>27</v>
      </c>
    </row>
    <row r="68" spans="1:19" hidden="1" x14ac:dyDescent="0.3">
      <c r="A68" s="14">
        <v>43888.75</v>
      </c>
      <c r="B68" s="13" t="s">
        <v>23</v>
      </c>
      <c r="C68" s="2">
        <v>18</v>
      </c>
      <c r="D68" s="13" t="s">
        <v>47</v>
      </c>
      <c r="E68" s="2">
        <v>3890597598</v>
      </c>
      <c r="F68" s="2">
        <v>1659440194</v>
      </c>
      <c r="G68" s="2">
        <v>0</v>
      </c>
      <c r="H68" s="2">
        <v>0</v>
      </c>
      <c r="I68" s="2">
        <v>0</v>
      </c>
      <c r="J68" s="2">
        <v>0</v>
      </c>
      <c r="K68" s="2">
        <v>0</v>
      </c>
      <c r="L68" s="2">
        <v>0</v>
      </c>
      <c r="M68" s="2">
        <v>0</v>
      </c>
      <c r="N68" s="2">
        <v>0</v>
      </c>
      <c r="O68" s="2">
        <v>0</v>
      </c>
      <c r="P68" s="2">
        <v>0</v>
      </c>
      <c r="Q68" s="2">
        <v>14</v>
      </c>
      <c r="R68" s="13" t="s">
        <v>27</v>
      </c>
      <c r="S68" s="13" t="s">
        <v>27</v>
      </c>
    </row>
    <row r="69" spans="1:19" hidden="1" x14ac:dyDescent="0.3">
      <c r="A69" s="14">
        <v>43888.75</v>
      </c>
      <c r="B69" s="13" t="s">
        <v>23</v>
      </c>
      <c r="C69" s="2">
        <v>15</v>
      </c>
      <c r="D69" s="13" t="s">
        <v>48</v>
      </c>
      <c r="E69" s="2">
        <v>4083956555</v>
      </c>
      <c r="F69" s="2">
        <v>1425084984</v>
      </c>
      <c r="G69" s="2">
        <v>2</v>
      </c>
      <c r="H69" s="2">
        <v>0</v>
      </c>
      <c r="I69" s="2">
        <v>2</v>
      </c>
      <c r="J69" s="2">
        <v>1</v>
      </c>
      <c r="K69" s="2">
        <v>3</v>
      </c>
      <c r="L69" s="2">
        <v>3</v>
      </c>
      <c r="M69" s="2">
        <v>3</v>
      </c>
      <c r="N69" s="2">
        <v>0</v>
      </c>
      <c r="O69" s="2">
        <v>0</v>
      </c>
      <c r="P69" s="2">
        <v>3</v>
      </c>
      <c r="Q69" s="2">
        <v>10</v>
      </c>
      <c r="R69" s="13" t="s">
        <v>27</v>
      </c>
      <c r="S69" s="13" t="s">
        <v>27</v>
      </c>
    </row>
    <row r="70" spans="1:19" hidden="1" x14ac:dyDescent="0.3">
      <c r="A70" s="14">
        <v>43888.75</v>
      </c>
      <c r="B70" s="13" t="s">
        <v>23</v>
      </c>
      <c r="C70" s="2">
        <v>8</v>
      </c>
      <c r="D70" s="13" t="s">
        <v>98</v>
      </c>
      <c r="E70" s="2">
        <v>4449436681</v>
      </c>
      <c r="F70" s="2">
        <v>113417208</v>
      </c>
      <c r="G70" s="2">
        <v>36</v>
      </c>
      <c r="H70" s="2">
        <v>6</v>
      </c>
      <c r="I70" s="2">
        <v>42</v>
      </c>
      <c r="J70" s="2">
        <v>54</v>
      </c>
      <c r="K70" s="2">
        <v>96</v>
      </c>
      <c r="L70" s="2">
        <v>50</v>
      </c>
      <c r="M70" s="2">
        <v>50</v>
      </c>
      <c r="N70" s="2">
        <v>0</v>
      </c>
      <c r="O70" s="2">
        <v>1</v>
      </c>
      <c r="P70" s="2">
        <v>97</v>
      </c>
      <c r="Q70" s="2">
        <v>1033</v>
      </c>
      <c r="R70" s="13" t="s">
        <v>27</v>
      </c>
      <c r="S70" s="13" t="s">
        <v>27</v>
      </c>
    </row>
    <row r="71" spans="1:19" hidden="1" x14ac:dyDescent="0.3">
      <c r="A71" s="14">
        <v>43888.75</v>
      </c>
      <c r="B71" s="13" t="s">
        <v>23</v>
      </c>
      <c r="C71" s="2">
        <v>6</v>
      </c>
      <c r="D71" s="13" t="s">
        <v>49</v>
      </c>
      <c r="E71" s="2">
        <v>456494354</v>
      </c>
      <c r="F71" s="2">
        <v>1376813649</v>
      </c>
      <c r="G71" s="2">
        <v>0</v>
      </c>
      <c r="H71" s="2">
        <v>0</v>
      </c>
      <c r="I71" s="2">
        <v>0</v>
      </c>
      <c r="J71" s="2">
        <v>0</v>
      </c>
      <c r="K71" s="2">
        <v>0</v>
      </c>
      <c r="L71" s="2">
        <v>0</v>
      </c>
      <c r="M71" s="2">
        <v>0</v>
      </c>
      <c r="N71" s="2">
        <v>0</v>
      </c>
      <c r="O71" s="2">
        <v>0</v>
      </c>
      <c r="P71" s="2">
        <v>0</v>
      </c>
      <c r="Q71" s="2">
        <v>141</v>
      </c>
      <c r="R71" s="13" t="s">
        <v>27</v>
      </c>
      <c r="S71" s="13" t="s">
        <v>27</v>
      </c>
    </row>
    <row r="72" spans="1:19" hidden="1" x14ac:dyDescent="0.3">
      <c r="A72" s="14">
        <v>43888.75</v>
      </c>
      <c r="B72" s="13" t="s">
        <v>23</v>
      </c>
      <c r="C72" s="2">
        <v>12</v>
      </c>
      <c r="D72" s="13" t="s">
        <v>50</v>
      </c>
      <c r="E72" s="2">
        <v>4189277044</v>
      </c>
      <c r="F72" s="2">
        <v>1248366722</v>
      </c>
      <c r="G72" s="2">
        <v>0</v>
      </c>
      <c r="H72" s="2">
        <v>0</v>
      </c>
      <c r="I72" s="2">
        <v>0</v>
      </c>
      <c r="J72" s="2">
        <v>0</v>
      </c>
      <c r="K72" s="2">
        <v>0</v>
      </c>
      <c r="L72" s="2">
        <v>0</v>
      </c>
      <c r="M72" s="2">
        <v>0</v>
      </c>
      <c r="N72" s="2">
        <v>3</v>
      </c>
      <c r="O72" s="2">
        <v>0</v>
      </c>
      <c r="P72" s="2">
        <v>3</v>
      </c>
      <c r="Q72" s="2">
        <v>552</v>
      </c>
      <c r="R72" s="13" t="s">
        <v>27</v>
      </c>
      <c r="S72" s="13" t="s">
        <v>27</v>
      </c>
    </row>
    <row r="73" spans="1:19" hidden="1" x14ac:dyDescent="0.3">
      <c r="A73" s="14">
        <v>43888.75</v>
      </c>
      <c r="B73" s="13" t="s">
        <v>23</v>
      </c>
      <c r="C73" s="2">
        <v>7</v>
      </c>
      <c r="D73" s="13" t="s">
        <v>51</v>
      </c>
      <c r="E73" s="2">
        <v>4441149315</v>
      </c>
      <c r="F73" s="2">
        <v>89326992</v>
      </c>
      <c r="G73" s="2">
        <v>9</v>
      </c>
      <c r="H73" s="2">
        <v>0</v>
      </c>
      <c r="I73" s="2">
        <v>9</v>
      </c>
      <c r="J73" s="2">
        <v>10</v>
      </c>
      <c r="K73" s="2">
        <v>19</v>
      </c>
      <c r="L73" s="2">
        <v>8</v>
      </c>
      <c r="M73" s="2">
        <v>8</v>
      </c>
      <c r="N73" s="2">
        <v>0</v>
      </c>
      <c r="O73" s="2">
        <v>0</v>
      </c>
      <c r="P73" s="2">
        <v>19</v>
      </c>
      <c r="Q73" s="2">
        <v>78</v>
      </c>
      <c r="R73" s="13" t="s">
        <v>27</v>
      </c>
      <c r="S73" s="13" t="s">
        <v>27</v>
      </c>
    </row>
    <row r="74" spans="1:19" x14ac:dyDescent="0.3">
      <c r="A74" s="14">
        <v>43888.75</v>
      </c>
      <c r="B74" s="13" t="s">
        <v>23</v>
      </c>
      <c r="C74" s="2">
        <v>3</v>
      </c>
      <c r="D74" s="13" t="s">
        <v>52</v>
      </c>
      <c r="E74" s="2">
        <v>4546679409</v>
      </c>
      <c r="F74" s="2">
        <v>9190347404</v>
      </c>
      <c r="G74" s="2">
        <v>172</v>
      </c>
      <c r="H74" s="2">
        <v>41</v>
      </c>
      <c r="I74" s="2">
        <v>213</v>
      </c>
      <c r="J74" s="2">
        <v>136</v>
      </c>
      <c r="K74" s="2">
        <v>349</v>
      </c>
      <c r="L74" s="2">
        <v>100</v>
      </c>
      <c r="M74" s="2">
        <v>145</v>
      </c>
      <c r="N74" s="2">
        <v>40</v>
      </c>
      <c r="O74" s="2">
        <v>14</v>
      </c>
      <c r="P74" s="2">
        <v>403</v>
      </c>
      <c r="Q74" s="2">
        <v>3320</v>
      </c>
      <c r="R74" s="13" t="s">
        <v>27</v>
      </c>
      <c r="S74" s="13" t="s">
        <v>27</v>
      </c>
    </row>
    <row r="75" spans="1:19" hidden="1" x14ac:dyDescent="0.3">
      <c r="A75" s="14">
        <v>43888.75</v>
      </c>
      <c r="B75" s="13" t="s">
        <v>23</v>
      </c>
      <c r="C75" s="2">
        <v>11</v>
      </c>
      <c r="D75" s="13" t="s">
        <v>53</v>
      </c>
      <c r="E75" s="2">
        <v>4361675973</v>
      </c>
      <c r="F75" s="2">
        <v>135188753</v>
      </c>
      <c r="G75" s="2">
        <v>2</v>
      </c>
      <c r="H75" s="2">
        <v>1</v>
      </c>
      <c r="I75" s="2">
        <v>3</v>
      </c>
      <c r="J75" s="2">
        <v>0</v>
      </c>
      <c r="K75" s="2">
        <v>3</v>
      </c>
      <c r="L75" s="2">
        <v>2</v>
      </c>
      <c r="M75" s="2">
        <v>2</v>
      </c>
      <c r="N75" s="2">
        <v>0</v>
      </c>
      <c r="O75" s="2">
        <v>0</v>
      </c>
      <c r="P75" s="2">
        <v>3</v>
      </c>
      <c r="Q75" s="2">
        <v>46</v>
      </c>
      <c r="R75" s="13" t="s">
        <v>27</v>
      </c>
      <c r="S75" s="13" t="s">
        <v>27</v>
      </c>
    </row>
    <row r="76" spans="1:19" hidden="1" x14ac:dyDescent="0.3">
      <c r="A76" s="14">
        <v>43888.75</v>
      </c>
      <c r="B76" s="13" t="s">
        <v>23</v>
      </c>
      <c r="C76" s="2">
        <v>14</v>
      </c>
      <c r="D76" s="13" t="s">
        <v>54</v>
      </c>
      <c r="E76" s="2">
        <v>4155774754</v>
      </c>
      <c r="F76" s="2">
        <v>1465916051</v>
      </c>
      <c r="G76" s="2">
        <v>0</v>
      </c>
      <c r="H76" s="2">
        <v>0</v>
      </c>
      <c r="I76" s="2">
        <v>0</v>
      </c>
      <c r="J76" s="2">
        <v>0</v>
      </c>
      <c r="K76" s="2">
        <v>0</v>
      </c>
      <c r="L76" s="2">
        <v>0</v>
      </c>
      <c r="M76" s="2">
        <v>0</v>
      </c>
      <c r="N76" s="2">
        <v>0</v>
      </c>
      <c r="O76" s="2">
        <v>0</v>
      </c>
      <c r="P76" s="2">
        <v>0</v>
      </c>
      <c r="Q76" s="2">
        <v>0</v>
      </c>
      <c r="R76" s="13" t="s">
        <v>27</v>
      </c>
      <c r="S76" s="13" t="s">
        <v>27</v>
      </c>
    </row>
    <row r="77" spans="1:19" hidden="1" x14ac:dyDescent="0.3">
      <c r="A77" s="14">
        <v>43888.75</v>
      </c>
      <c r="B77" s="13" t="s">
        <v>23</v>
      </c>
      <c r="C77" s="2">
        <v>1</v>
      </c>
      <c r="D77" s="13" t="s">
        <v>55</v>
      </c>
      <c r="E77" s="2">
        <v>450732745</v>
      </c>
      <c r="F77" s="2">
        <v>7680687483</v>
      </c>
      <c r="G77" s="2">
        <v>2</v>
      </c>
      <c r="H77" s="2">
        <v>0</v>
      </c>
      <c r="I77" s="2">
        <v>2</v>
      </c>
      <c r="J77" s="2">
        <v>0</v>
      </c>
      <c r="K77" s="2">
        <v>2</v>
      </c>
      <c r="L77" s="2">
        <v>-1</v>
      </c>
      <c r="M77" s="2">
        <v>-1</v>
      </c>
      <c r="N77" s="2">
        <v>0</v>
      </c>
      <c r="O77" s="2">
        <v>0</v>
      </c>
      <c r="P77" s="2">
        <v>2</v>
      </c>
      <c r="Q77" s="2">
        <v>156</v>
      </c>
      <c r="R77" s="13" t="s">
        <v>27</v>
      </c>
      <c r="S77" s="13" t="s">
        <v>27</v>
      </c>
    </row>
    <row r="78" spans="1:19" hidden="1" x14ac:dyDescent="0.3">
      <c r="A78" s="14">
        <v>43888.75</v>
      </c>
      <c r="B78" s="13" t="s">
        <v>23</v>
      </c>
      <c r="C78" s="2">
        <v>16</v>
      </c>
      <c r="D78" s="13" t="s">
        <v>56</v>
      </c>
      <c r="E78" s="2">
        <v>4112559576</v>
      </c>
      <c r="F78" s="2">
        <v>1686736689</v>
      </c>
      <c r="G78" s="2">
        <v>1</v>
      </c>
      <c r="H78" s="2">
        <v>0</v>
      </c>
      <c r="I78" s="2">
        <v>1</v>
      </c>
      <c r="J78" s="2">
        <v>0</v>
      </c>
      <c r="K78" s="2">
        <v>1</v>
      </c>
      <c r="L78" s="2">
        <v>1</v>
      </c>
      <c r="M78" s="2">
        <v>1</v>
      </c>
      <c r="N78" s="2">
        <v>0</v>
      </c>
      <c r="O78" s="2">
        <v>0</v>
      </c>
      <c r="P78" s="2">
        <v>1</v>
      </c>
      <c r="Q78" s="2">
        <v>0</v>
      </c>
      <c r="R78" s="13" t="s">
        <v>27</v>
      </c>
      <c r="S78" s="13" t="s">
        <v>27</v>
      </c>
    </row>
    <row r="79" spans="1:19" hidden="1" x14ac:dyDescent="0.3">
      <c r="A79" s="14">
        <v>43888.75</v>
      </c>
      <c r="B79" s="13" t="s">
        <v>23</v>
      </c>
      <c r="C79" s="2">
        <v>20</v>
      </c>
      <c r="D79" s="13" t="s">
        <v>57</v>
      </c>
      <c r="E79" s="2">
        <v>3921531192</v>
      </c>
      <c r="F79" s="2">
        <v>9110616306</v>
      </c>
      <c r="G79" s="2">
        <v>0</v>
      </c>
      <c r="H79" s="2">
        <v>0</v>
      </c>
      <c r="I79" s="2">
        <v>0</v>
      </c>
      <c r="J79" s="2">
        <v>0</v>
      </c>
      <c r="K79" s="2">
        <v>0</v>
      </c>
      <c r="L79" s="2">
        <v>0</v>
      </c>
      <c r="M79" s="2">
        <v>0</v>
      </c>
      <c r="N79" s="2">
        <v>0</v>
      </c>
      <c r="O79" s="2">
        <v>0</v>
      </c>
      <c r="P79" s="2">
        <v>0</v>
      </c>
      <c r="Q79" s="2">
        <v>1</v>
      </c>
      <c r="R79" s="13" t="s">
        <v>27</v>
      </c>
      <c r="S79" s="13" t="s">
        <v>27</v>
      </c>
    </row>
    <row r="80" spans="1:19" hidden="1" x14ac:dyDescent="0.3">
      <c r="A80" s="14">
        <v>43888.75</v>
      </c>
      <c r="B80" s="13" t="s">
        <v>23</v>
      </c>
      <c r="C80" s="2">
        <v>19</v>
      </c>
      <c r="D80" s="13" t="s">
        <v>58</v>
      </c>
      <c r="E80" s="2">
        <v>3811569725</v>
      </c>
      <c r="F80" s="2">
        <v>133623567</v>
      </c>
      <c r="G80" s="2">
        <v>1</v>
      </c>
      <c r="H80" s="2">
        <v>0</v>
      </c>
      <c r="I80" s="2">
        <v>1</v>
      </c>
      <c r="J80" s="2">
        <v>1</v>
      </c>
      <c r="K80" s="2">
        <v>2</v>
      </c>
      <c r="L80" s="2">
        <v>-1</v>
      </c>
      <c r="M80" s="2">
        <v>1</v>
      </c>
      <c r="N80" s="2">
        <v>2</v>
      </c>
      <c r="O80" s="2">
        <v>0</v>
      </c>
      <c r="P80" s="2">
        <v>4</v>
      </c>
      <c r="Q80" s="2">
        <v>5</v>
      </c>
      <c r="R80" s="13" t="s">
        <v>27</v>
      </c>
      <c r="S80" s="13" t="s">
        <v>27</v>
      </c>
    </row>
    <row r="81" spans="1:19" hidden="1" x14ac:dyDescent="0.3">
      <c r="A81" s="14">
        <v>43888.75</v>
      </c>
      <c r="B81" s="13" t="s">
        <v>23</v>
      </c>
      <c r="C81" s="2">
        <v>9</v>
      </c>
      <c r="D81" s="13" t="s">
        <v>59</v>
      </c>
      <c r="E81" s="2">
        <v>4376923077</v>
      </c>
      <c r="F81" s="2">
        <v>1125588885</v>
      </c>
      <c r="G81" s="2">
        <v>2</v>
      </c>
      <c r="H81" s="2">
        <v>0</v>
      </c>
      <c r="I81" s="2">
        <v>2</v>
      </c>
      <c r="J81" s="2">
        <v>0</v>
      </c>
      <c r="K81" s="2">
        <v>2</v>
      </c>
      <c r="L81" s="2">
        <v>0</v>
      </c>
      <c r="M81" s="2">
        <v>0</v>
      </c>
      <c r="N81" s="2">
        <v>0</v>
      </c>
      <c r="O81" s="2">
        <v>0</v>
      </c>
      <c r="P81" s="2">
        <v>2</v>
      </c>
      <c r="Q81" s="2">
        <v>410</v>
      </c>
      <c r="R81" s="13" t="s">
        <v>27</v>
      </c>
      <c r="S81" s="13" t="s">
        <v>27</v>
      </c>
    </row>
    <row r="82" spans="1:19" hidden="1" x14ac:dyDescent="0.3">
      <c r="A82" s="14">
        <v>43888.75</v>
      </c>
      <c r="B82" s="13" t="s">
        <v>23</v>
      </c>
      <c r="C82" s="2">
        <v>4</v>
      </c>
      <c r="D82" s="13" t="s">
        <v>60</v>
      </c>
      <c r="E82" s="2">
        <v>4606893511</v>
      </c>
      <c r="F82" s="2">
        <v>1112123097</v>
      </c>
      <c r="G82" s="2">
        <v>0</v>
      </c>
      <c r="H82" s="2">
        <v>0</v>
      </c>
      <c r="I82" s="2">
        <v>0</v>
      </c>
      <c r="J82" s="2">
        <v>0</v>
      </c>
      <c r="K82" s="2">
        <v>0</v>
      </c>
      <c r="L82" s="2">
        <v>0</v>
      </c>
      <c r="M82" s="2">
        <v>0</v>
      </c>
      <c r="N82" s="2">
        <v>0</v>
      </c>
      <c r="O82" s="2">
        <v>0</v>
      </c>
      <c r="P82" s="2">
        <v>0</v>
      </c>
      <c r="Q82" s="2">
        <v>32</v>
      </c>
      <c r="R82" s="13" t="s">
        <v>27</v>
      </c>
      <c r="S82" s="13" t="s">
        <v>27</v>
      </c>
    </row>
    <row r="83" spans="1:19" hidden="1" x14ac:dyDescent="0.3">
      <c r="A83" s="14">
        <v>43888.75</v>
      </c>
      <c r="B83" s="13" t="s">
        <v>23</v>
      </c>
      <c r="C83" s="2">
        <v>10</v>
      </c>
      <c r="D83" s="13" t="s">
        <v>61</v>
      </c>
      <c r="E83" s="2">
        <v>4310675841</v>
      </c>
      <c r="F83" s="2">
        <v>1238824698</v>
      </c>
      <c r="G83" s="2">
        <v>0</v>
      </c>
      <c r="H83" s="2">
        <v>0</v>
      </c>
      <c r="I83" s="2">
        <v>0</v>
      </c>
      <c r="J83" s="2">
        <v>0</v>
      </c>
      <c r="K83" s="2">
        <v>0</v>
      </c>
      <c r="L83" s="2">
        <v>0</v>
      </c>
      <c r="M83" s="2">
        <v>0</v>
      </c>
      <c r="N83" s="2">
        <v>0</v>
      </c>
      <c r="O83" s="2">
        <v>0</v>
      </c>
      <c r="P83" s="2">
        <v>0</v>
      </c>
      <c r="Q83" s="2">
        <v>8</v>
      </c>
      <c r="R83" s="13" t="s">
        <v>27</v>
      </c>
      <c r="S83" s="13" t="s">
        <v>27</v>
      </c>
    </row>
    <row r="84" spans="1:19" hidden="1" x14ac:dyDescent="0.3">
      <c r="A84" s="14">
        <v>43888.75</v>
      </c>
      <c r="B84" s="13" t="s">
        <v>23</v>
      </c>
      <c r="C84" s="2">
        <v>2</v>
      </c>
      <c r="D84" s="13" t="s">
        <v>62</v>
      </c>
      <c r="E84" s="2">
        <v>4573750286</v>
      </c>
      <c r="F84" s="2">
        <v>7320149366</v>
      </c>
      <c r="G84" s="2">
        <v>0</v>
      </c>
      <c r="H84" s="2">
        <v>0</v>
      </c>
      <c r="I84" s="2">
        <v>0</v>
      </c>
      <c r="J84" s="2">
        <v>0</v>
      </c>
      <c r="K84" s="2">
        <v>0</v>
      </c>
      <c r="L84" s="2">
        <v>0</v>
      </c>
      <c r="M84" s="2">
        <v>0</v>
      </c>
      <c r="N84" s="2">
        <v>0</v>
      </c>
      <c r="O84" s="2">
        <v>0</v>
      </c>
      <c r="P84" s="2">
        <v>0</v>
      </c>
      <c r="Q84" s="2">
        <v>9</v>
      </c>
      <c r="R84" s="13" t="s">
        <v>27</v>
      </c>
      <c r="S84" s="13" t="s">
        <v>27</v>
      </c>
    </row>
    <row r="85" spans="1:19" hidden="1" x14ac:dyDescent="0.3">
      <c r="A85" s="14">
        <v>43888.75</v>
      </c>
      <c r="B85" s="13" t="s">
        <v>23</v>
      </c>
      <c r="C85" s="2">
        <v>5</v>
      </c>
      <c r="D85" s="13" t="s">
        <v>63</v>
      </c>
      <c r="E85" s="2">
        <v>4543490485</v>
      </c>
      <c r="F85" s="2">
        <v>1233845213</v>
      </c>
      <c r="G85" s="2">
        <v>19</v>
      </c>
      <c r="H85" s="2">
        <v>8</v>
      </c>
      <c r="I85" s="2">
        <v>27</v>
      </c>
      <c r="J85" s="2">
        <v>82</v>
      </c>
      <c r="K85" s="2">
        <v>109</v>
      </c>
      <c r="L85" s="2">
        <v>40</v>
      </c>
      <c r="M85" s="2">
        <v>40</v>
      </c>
      <c r="N85" s="2">
        <v>0</v>
      </c>
      <c r="O85" s="2">
        <v>2</v>
      </c>
      <c r="P85" s="2">
        <v>111</v>
      </c>
      <c r="Q85" s="2">
        <v>6164</v>
      </c>
      <c r="R85" s="13" t="s">
        <v>27</v>
      </c>
      <c r="S85" s="13" t="s">
        <v>27</v>
      </c>
    </row>
    <row r="86" spans="1:19" hidden="1" x14ac:dyDescent="0.3">
      <c r="A86" s="14">
        <v>43889.75</v>
      </c>
      <c r="B86" s="13" t="s">
        <v>23</v>
      </c>
      <c r="C86" s="2">
        <v>13</v>
      </c>
      <c r="D86" s="13" t="s">
        <v>44</v>
      </c>
      <c r="E86" s="2">
        <v>4235122196</v>
      </c>
      <c r="F86" s="2">
        <v>1339843823</v>
      </c>
      <c r="G86" s="2">
        <v>1</v>
      </c>
      <c r="H86" s="2">
        <v>0</v>
      </c>
      <c r="I86" s="2">
        <v>1</v>
      </c>
      <c r="J86" s="2">
        <v>0</v>
      </c>
      <c r="K86" s="2">
        <v>1</v>
      </c>
      <c r="L86" s="2">
        <v>0</v>
      </c>
      <c r="M86" s="2">
        <v>0</v>
      </c>
      <c r="N86" s="2">
        <v>0</v>
      </c>
      <c r="O86" s="2">
        <v>0</v>
      </c>
      <c r="P86" s="2">
        <v>1</v>
      </c>
      <c r="Q86" s="2">
        <v>33</v>
      </c>
      <c r="R86" s="13" t="s">
        <v>27</v>
      </c>
      <c r="S86" s="13" t="s">
        <v>27</v>
      </c>
    </row>
    <row r="87" spans="1:19" hidden="1" x14ac:dyDescent="0.3">
      <c r="A87" s="14">
        <v>43889.75</v>
      </c>
      <c r="B87" s="13" t="s">
        <v>23</v>
      </c>
      <c r="C87" s="2">
        <v>17</v>
      </c>
      <c r="D87" s="13" t="s">
        <v>45</v>
      </c>
      <c r="E87" s="2">
        <v>4063947052</v>
      </c>
      <c r="F87" s="2">
        <v>1580514834</v>
      </c>
      <c r="G87" s="2">
        <v>0</v>
      </c>
      <c r="H87" s="2">
        <v>0</v>
      </c>
      <c r="I87" s="2">
        <v>0</v>
      </c>
      <c r="J87" s="2">
        <v>0</v>
      </c>
      <c r="K87" s="2">
        <v>0</v>
      </c>
      <c r="L87" s="2">
        <v>0</v>
      </c>
      <c r="M87" s="2">
        <v>0</v>
      </c>
      <c r="N87" s="2">
        <v>0</v>
      </c>
      <c r="O87" s="2">
        <v>0</v>
      </c>
      <c r="P87" s="2">
        <v>0</v>
      </c>
      <c r="Q87" s="2">
        <v>0</v>
      </c>
      <c r="R87" s="13" t="s">
        <v>27</v>
      </c>
      <c r="S87" s="13" t="s">
        <v>27</v>
      </c>
    </row>
    <row r="88" spans="1:19" hidden="1" x14ac:dyDescent="0.3">
      <c r="A88" s="14">
        <v>43889.75</v>
      </c>
      <c r="B88" s="13" t="s">
        <v>23</v>
      </c>
      <c r="C88" s="2">
        <v>4</v>
      </c>
      <c r="D88" s="13" t="s">
        <v>46</v>
      </c>
      <c r="E88" s="2">
        <v>4649933453</v>
      </c>
      <c r="F88" s="2">
        <v>1135662422</v>
      </c>
      <c r="G88" s="2">
        <v>1</v>
      </c>
      <c r="H88" s="2">
        <v>0</v>
      </c>
      <c r="I88" s="2">
        <v>1</v>
      </c>
      <c r="J88" s="2">
        <v>0</v>
      </c>
      <c r="K88" s="2">
        <v>1</v>
      </c>
      <c r="L88" s="2">
        <v>0</v>
      </c>
      <c r="M88" s="2">
        <v>0</v>
      </c>
      <c r="N88" s="2">
        <v>0</v>
      </c>
      <c r="O88" s="2">
        <v>0</v>
      </c>
      <c r="P88" s="2">
        <v>1</v>
      </c>
      <c r="Q88" s="2">
        <v>2</v>
      </c>
      <c r="R88" s="13" t="s">
        <v>27</v>
      </c>
      <c r="S88" s="13" t="s">
        <v>27</v>
      </c>
    </row>
    <row r="89" spans="1:19" hidden="1" x14ac:dyDescent="0.3">
      <c r="A89" s="14">
        <v>43889.75</v>
      </c>
      <c r="B89" s="13" t="s">
        <v>23</v>
      </c>
      <c r="C89" s="2">
        <v>18</v>
      </c>
      <c r="D89" s="13" t="s">
        <v>47</v>
      </c>
      <c r="E89" s="2">
        <v>3890597598</v>
      </c>
      <c r="F89" s="2">
        <v>1659440194</v>
      </c>
      <c r="G89" s="2">
        <v>0</v>
      </c>
      <c r="H89" s="2">
        <v>0</v>
      </c>
      <c r="I89" s="2">
        <v>0</v>
      </c>
      <c r="J89" s="2">
        <v>1</v>
      </c>
      <c r="K89" s="2">
        <v>1</v>
      </c>
      <c r="L89" s="2">
        <v>1</v>
      </c>
      <c r="M89" s="2">
        <v>1</v>
      </c>
      <c r="N89" s="2">
        <v>0</v>
      </c>
      <c r="O89" s="2">
        <v>0</v>
      </c>
      <c r="P89" s="2">
        <v>1</v>
      </c>
      <c r="Q89" s="2">
        <v>21</v>
      </c>
      <c r="R89" s="13" t="s">
        <v>27</v>
      </c>
      <c r="S89" s="13" t="s">
        <v>27</v>
      </c>
    </row>
    <row r="90" spans="1:19" hidden="1" x14ac:dyDescent="0.3">
      <c r="A90" s="14">
        <v>43889.75</v>
      </c>
      <c r="B90" s="13" t="s">
        <v>23</v>
      </c>
      <c r="C90" s="2">
        <v>15</v>
      </c>
      <c r="D90" s="13" t="s">
        <v>48</v>
      </c>
      <c r="E90" s="2">
        <v>4083956555</v>
      </c>
      <c r="F90" s="2">
        <v>1425084984</v>
      </c>
      <c r="G90" s="2">
        <v>2</v>
      </c>
      <c r="H90" s="2">
        <v>0</v>
      </c>
      <c r="I90" s="2">
        <v>2</v>
      </c>
      <c r="J90" s="2">
        <v>2</v>
      </c>
      <c r="K90" s="2">
        <v>4</v>
      </c>
      <c r="L90" s="2">
        <v>1</v>
      </c>
      <c r="M90" s="2">
        <v>1</v>
      </c>
      <c r="N90" s="2">
        <v>0</v>
      </c>
      <c r="O90" s="2">
        <v>0</v>
      </c>
      <c r="P90" s="2">
        <v>4</v>
      </c>
      <c r="Q90" s="2">
        <v>213</v>
      </c>
      <c r="R90" s="13" t="s">
        <v>27</v>
      </c>
      <c r="S90" s="13" t="s">
        <v>27</v>
      </c>
    </row>
    <row r="91" spans="1:19" hidden="1" x14ac:dyDescent="0.3">
      <c r="A91" s="14">
        <v>43889.75</v>
      </c>
      <c r="B91" s="13" t="s">
        <v>23</v>
      </c>
      <c r="C91" s="2">
        <v>8</v>
      </c>
      <c r="D91" s="13" t="s">
        <v>98</v>
      </c>
      <c r="E91" s="2">
        <v>4449436681</v>
      </c>
      <c r="F91" s="2">
        <v>113417208</v>
      </c>
      <c r="G91" s="2">
        <v>56</v>
      </c>
      <c r="H91" s="2">
        <v>6</v>
      </c>
      <c r="I91" s="2">
        <v>62</v>
      </c>
      <c r="J91" s="2">
        <v>81</v>
      </c>
      <c r="K91" s="2">
        <v>143</v>
      </c>
      <c r="L91" s="2">
        <v>47</v>
      </c>
      <c r="M91" s="2">
        <v>48</v>
      </c>
      <c r="N91" s="2">
        <v>0</v>
      </c>
      <c r="O91" s="2">
        <v>2</v>
      </c>
      <c r="P91" s="2">
        <v>145</v>
      </c>
      <c r="Q91" s="2">
        <v>1277</v>
      </c>
      <c r="R91" s="13" t="s">
        <v>27</v>
      </c>
      <c r="S91" s="13" t="s">
        <v>27</v>
      </c>
    </row>
    <row r="92" spans="1:19" hidden="1" x14ac:dyDescent="0.3">
      <c r="A92" s="14">
        <v>43889.75</v>
      </c>
      <c r="B92" s="13" t="s">
        <v>23</v>
      </c>
      <c r="C92" s="2">
        <v>6</v>
      </c>
      <c r="D92" s="13" t="s">
        <v>49</v>
      </c>
      <c r="E92" s="2">
        <v>456494354</v>
      </c>
      <c r="F92" s="2">
        <v>1376813649</v>
      </c>
      <c r="G92" s="2">
        <v>0</v>
      </c>
      <c r="H92" s="2">
        <v>0</v>
      </c>
      <c r="I92" s="2">
        <v>0</v>
      </c>
      <c r="J92" s="2">
        <v>0</v>
      </c>
      <c r="K92" s="2">
        <v>0</v>
      </c>
      <c r="L92" s="2">
        <v>0</v>
      </c>
      <c r="M92" s="2">
        <v>0</v>
      </c>
      <c r="N92" s="2">
        <v>0</v>
      </c>
      <c r="O92" s="2">
        <v>0</v>
      </c>
      <c r="P92" s="2">
        <v>0</v>
      </c>
      <c r="Q92" s="2">
        <v>169</v>
      </c>
      <c r="R92" s="13" t="s">
        <v>27</v>
      </c>
      <c r="S92" s="13" t="s">
        <v>27</v>
      </c>
    </row>
    <row r="93" spans="1:19" hidden="1" x14ac:dyDescent="0.3">
      <c r="A93" s="14">
        <v>43889.75</v>
      </c>
      <c r="B93" s="13" t="s">
        <v>23</v>
      </c>
      <c r="C93" s="2">
        <v>12</v>
      </c>
      <c r="D93" s="13" t="s">
        <v>50</v>
      </c>
      <c r="E93" s="2">
        <v>4189277044</v>
      </c>
      <c r="F93" s="2">
        <v>1248366722</v>
      </c>
      <c r="G93" s="2">
        <v>0</v>
      </c>
      <c r="H93" s="2">
        <v>0</v>
      </c>
      <c r="I93" s="2">
        <v>0</v>
      </c>
      <c r="J93" s="2">
        <v>0</v>
      </c>
      <c r="K93" s="2">
        <v>0</v>
      </c>
      <c r="L93" s="2">
        <v>0</v>
      </c>
      <c r="M93" s="2">
        <v>0</v>
      </c>
      <c r="N93" s="2">
        <v>3</v>
      </c>
      <c r="O93" s="2">
        <v>0</v>
      </c>
      <c r="P93" s="2">
        <v>3</v>
      </c>
      <c r="Q93" s="2">
        <v>611</v>
      </c>
      <c r="R93" s="13" t="s">
        <v>27</v>
      </c>
      <c r="S93" s="13" t="s">
        <v>27</v>
      </c>
    </row>
    <row r="94" spans="1:19" hidden="1" x14ac:dyDescent="0.3">
      <c r="A94" s="14">
        <v>43889.75</v>
      </c>
      <c r="B94" s="13" t="s">
        <v>23</v>
      </c>
      <c r="C94" s="2">
        <v>7</v>
      </c>
      <c r="D94" s="13" t="s">
        <v>51</v>
      </c>
      <c r="E94" s="2">
        <v>4441149315</v>
      </c>
      <c r="F94" s="2">
        <v>89326992</v>
      </c>
      <c r="G94" s="2">
        <v>9</v>
      </c>
      <c r="H94" s="2">
        <v>0</v>
      </c>
      <c r="I94" s="2">
        <v>9</v>
      </c>
      <c r="J94" s="2">
        <v>10</v>
      </c>
      <c r="K94" s="2">
        <v>19</v>
      </c>
      <c r="L94" s="2">
        <v>0</v>
      </c>
      <c r="M94" s="2">
        <v>0</v>
      </c>
      <c r="N94" s="2">
        <v>0</v>
      </c>
      <c r="O94" s="2">
        <v>0</v>
      </c>
      <c r="P94" s="2">
        <v>19</v>
      </c>
      <c r="Q94" s="2">
        <v>112</v>
      </c>
      <c r="R94" s="13" t="s">
        <v>27</v>
      </c>
      <c r="S94" s="13" t="s">
        <v>27</v>
      </c>
    </row>
    <row r="95" spans="1:19" x14ac:dyDescent="0.3">
      <c r="A95" s="14">
        <v>43889.75</v>
      </c>
      <c r="B95" s="13" t="s">
        <v>23</v>
      </c>
      <c r="C95" s="2">
        <v>3</v>
      </c>
      <c r="D95" s="13" t="s">
        <v>52</v>
      </c>
      <c r="E95" s="2">
        <v>4546679409</v>
      </c>
      <c r="F95" s="2">
        <v>9190347404</v>
      </c>
      <c r="G95" s="2">
        <v>235</v>
      </c>
      <c r="H95" s="2">
        <v>47</v>
      </c>
      <c r="I95" s="2">
        <v>282</v>
      </c>
      <c r="J95" s="2">
        <v>192</v>
      </c>
      <c r="K95" s="2">
        <v>474</v>
      </c>
      <c r="L95" s="2">
        <v>125</v>
      </c>
      <c r="M95" s="2">
        <v>128</v>
      </c>
      <c r="N95" s="2">
        <v>40</v>
      </c>
      <c r="O95" s="2">
        <v>17</v>
      </c>
      <c r="P95" s="2">
        <v>531</v>
      </c>
      <c r="Q95" s="2">
        <v>4835</v>
      </c>
      <c r="R95" s="13" t="s">
        <v>27</v>
      </c>
      <c r="S95" s="13" t="s">
        <v>27</v>
      </c>
    </row>
    <row r="96" spans="1:19" hidden="1" x14ac:dyDescent="0.3">
      <c r="A96" s="14">
        <v>43889.75</v>
      </c>
      <c r="B96" s="13" t="s">
        <v>23</v>
      </c>
      <c r="C96" s="2">
        <v>11</v>
      </c>
      <c r="D96" s="13" t="s">
        <v>53</v>
      </c>
      <c r="E96" s="2">
        <v>4361675973</v>
      </c>
      <c r="F96" s="2">
        <v>135188753</v>
      </c>
      <c r="G96" s="2">
        <v>3</v>
      </c>
      <c r="H96" s="2">
        <v>2</v>
      </c>
      <c r="I96" s="2">
        <v>5</v>
      </c>
      <c r="J96" s="2">
        <v>1</v>
      </c>
      <c r="K96" s="2">
        <v>6</v>
      </c>
      <c r="L96" s="2">
        <v>3</v>
      </c>
      <c r="M96" s="2">
        <v>3</v>
      </c>
      <c r="N96" s="2">
        <v>0</v>
      </c>
      <c r="O96" s="2">
        <v>0</v>
      </c>
      <c r="P96" s="2">
        <v>6</v>
      </c>
      <c r="Q96" s="2">
        <v>47</v>
      </c>
      <c r="R96" s="13" t="s">
        <v>27</v>
      </c>
      <c r="S96" s="13" t="s">
        <v>27</v>
      </c>
    </row>
    <row r="97" spans="1:19" hidden="1" x14ac:dyDescent="0.3">
      <c r="A97" s="14">
        <v>43889.75</v>
      </c>
      <c r="B97" s="13" t="s">
        <v>23</v>
      </c>
      <c r="C97" s="2">
        <v>14</v>
      </c>
      <c r="D97" s="13" t="s">
        <v>54</v>
      </c>
      <c r="E97" s="2">
        <v>4155774754</v>
      </c>
      <c r="F97" s="2">
        <v>1465916051</v>
      </c>
      <c r="G97" s="2">
        <v>0</v>
      </c>
      <c r="H97" s="2">
        <v>0</v>
      </c>
      <c r="I97" s="2">
        <v>0</v>
      </c>
      <c r="J97" s="2">
        <v>0</v>
      </c>
      <c r="K97" s="2">
        <v>0</v>
      </c>
      <c r="L97" s="2">
        <v>0</v>
      </c>
      <c r="M97" s="2">
        <v>0</v>
      </c>
      <c r="N97" s="2">
        <v>0</v>
      </c>
      <c r="O97" s="2">
        <v>0</v>
      </c>
      <c r="P97" s="2">
        <v>0</v>
      </c>
      <c r="Q97" s="2">
        <v>0</v>
      </c>
      <c r="R97" s="13" t="s">
        <v>27</v>
      </c>
      <c r="S97" s="13" t="s">
        <v>27</v>
      </c>
    </row>
    <row r="98" spans="1:19" hidden="1" x14ac:dyDescent="0.3">
      <c r="A98" s="14">
        <v>43889.75</v>
      </c>
      <c r="B98" s="13" t="s">
        <v>23</v>
      </c>
      <c r="C98" s="2">
        <v>1</v>
      </c>
      <c r="D98" s="13" t="s">
        <v>55</v>
      </c>
      <c r="E98" s="2">
        <v>450732745</v>
      </c>
      <c r="F98" s="2">
        <v>7680687483</v>
      </c>
      <c r="G98" s="2">
        <v>7</v>
      </c>
      <c r="H98" s="2">
        <v>0</v>
      </c>
      <c r="I98" s="2">
        <v>7</v>
      </c>
      <c r="J98" s="2">
        <v>4</v>
      </c>
      <c r="K98" s="2">
        <v>11</v>
      </c>
      <c r="L98" s="2">
        <v>9</v>
      </c>
      <c r="M98" s="2">
        <v>9</v>
      </c>
      <c r="N98" s="2">
        <v>0</v>
      </c>
      <c r="O98" s="2">
        <v>0</v>
      </c>
      <c r="P98" s="2">
        <v>11</v>
      </c>
      <c r="Q98" s="2">
        <v>227</v>
      </c>
      <c r="R98" s="13" t="s">
        <v>27</v>
      </c>
      <c r="S98" s="13" t="s">
        <v>27</v>
      </c>
    </row>
    <row r="99" spans="1:19" hidden="1" x14ac:dyDescent="0.3">
      <c r="A99" s="14">
        <v>43889.75</v>
      </c>
      <c r="B99" s="13" t="s">
        <v>23</v>
      </c>
      <c r="C99" s="2">
        <v>16</v>
      </c>
      <c r="D99" s="13" t="s">
        <v>56</v>
      </c>
      <c r="E99" s="2">
        <v>4112559576</v>
      </c>
      <c r="F99" s="2">
        <v>1686736689</v>
      </c>
      <c r="G99" s="2">
        <v>1</v>
      </c>
      <c r="H99" s="2">
        <v>0</v>
      </c>
      <c r="I99" s="2">
        <v>1</v>
      </c>
      <c r="J99" s="2">
        <v>2</v>
      </c>
      <c r="K99" s="2">
        <v>3</v>
      </c>
      <c r="L99" s="2">
        <v>2</v>
      </c>
      <c r="M99" s="2">
        <v>2</v>
      </c>
      <c r="N99" s="2">
        <v>0</v>
      </c>
      <c r="O99" s="2">
        <v>0</v>
      </c>
      <c r="P99" s="2">
        <v>3</v>
      </c>
      <c r="Q99" s="2">
        <v>242</v>
      </c>
      <c r="R99" s="13" t="s">
        <v>27</v>
      </c>
      <c r="S99" s="13" t="s">
        <v>27</v>
      </c>
    </row>
    <row r="100" spans="1:19" hidden="1" x14ac:dyDescent="0.3">
      <c r="A100" s="14">
        <v>43889.75</v>
      </c>
      <c r="B100" s="13" t="s">
        <v>23</v>
      </c>
      <c r="C100" s="2">
        <v>20</v>
      </c>
      <c r="D100" s="13" t="s">
        <v>57</v>
      </c>
      <c r="E100" s="2">
        <v>3921531192</v>
      </c>
      <c r="F100" s="2">
        <v>9110616306</v>
      </c>
      <c r="G100" s="2">
        <v>0</v>
      </c>
      <c r="H100" s="2">
        <v>0</v>
      </c>
      <c r="I100" s="2">
        <v>0</v>
      </c>
      <c r="J100" s="2">
        <v>0</v>
      </c>
      <c r="K100" s="2">
        <v>0</v>
      </c>
      <c r="L100" s="2">
        <v>0</v>
      </c>
      <c r="M100" s="2">
        <v>0</v>
      </c>
      <c r="N100" s="2">
        <v>0</v>
      </c>
      <c r="O100" s="2">
        <v>0</v>
      </c>
      <c r="P100" s="2">
        <v>0</v>
      </c>
      <c r="Q100" s="2">
        <v>1</v>
      </c>
      <c r="R100" s="13" t="s">
        <v>27</v>
      </c>
      <c r="S100" s="13" t="s">
        <v>27</v>
      </c>
    </row>
    <row r="101" spans="1:19" hidden="1" x14ac:dyDescent="0.3">
      <c r="A101" s="14">
        <v>43889.75</v>
      </c>
      <c r="B101" s="13" t="s">
        <v>23</v>
      </c>
      <c r="C101" s="2">
        <v>19</v>
      </c>
      <c r="D101" s="13" t="s">
        <v>58</v>
      </c>
      <c r="E101" s="2">
        <v>3811569725</v>
      </c>
      <c r="F101" s="2">
        <v>133623567</v>
      </c>
      <c r="G101" s="2">
        <v>1</v>
      </c>
      <c r="H101" s="2">
        <v>0</v>
      </c>
      <c r="I101" s="2">
        <v>1</v>
      </c>
      <c r="J101" s="2">
        <v>1</v>
      </c>
      <c r="K101" s="2">
        <v>2</v>
      </c>
      <c r="L101" s="2">
        <v>0</v>
      </c>
      <c r="M101" s="2">
        <v>0</v>
      </c>
      <c r="N101" s="2">
        <v>2</v>
      </c>
      <c r="O101" s="2">
        <v>0</v>
      </c>
      <c r="P101" s="2">
        <v>4</v>
      </c>
      <c r="Q101" s="2">
        <v>5</v>
      </c>
      <c r="R101" s="13" t="s">
        <v>27</v>
      </c>
      <c r="S101" s="13" t="s">
        <v>27</v>
      </c>
    </row>
    <row r="102" spans="1:19" hidden="1" x14ac:dyDescent="0.3">
      <c r="A102" s="14">
        <v>43889.75</v>
      </c>
      <c r="B102" s="13" t="s">
        <v>23</v>
      </c>
      <c r="C102" s="2">
        <v>9</v>
      </c>
      <c r="D102" s="13" t="s">
        <v>59</v>
      </c>
      <c r="E102" s="2">
        <v>4376923077</v>
      </c>
      <c r="F102" s="2">
        <v>1125588885</v>
      </c>
      <c r="G102" s="2">
        <v>5</v>
      </c>
      <c r="H102" s="2">
        <v>0</v>
      </c>
      <c r="I102" s="2">
        <v>5</v>
      </c>
      <c r="J102" s="2">
        <v>2</v>
      </c>
      <c r="K102" s="2">
        <v>7</v>
      </c>
      <c r="L102" s="2">
        <v>5</v>
      </c>
      <c r="M102" s="2">
        <v>6</v>
      </c>
      <c r="N102" s="2">
        <v>1</v>
      </c>
      <c r="O102" s="2">
        <v>0</v>
      </c>
      <c r="P102" s="2">
        <v>8</v>
      </c>
      <c r="Q102" s="2">
        <v>437</v>
      </c>
      <c r="R102" s="13" t="s">
        <v>27</v>
      </c>
      <c r="S102" s="13" t="s">
        <v>27</v>
      </c>
    </row>
    <row r="103" spans="1:19" hidden="1" x14ac:dyDescent="0.3">
      <c r="A103" s="14">
        <v>43889.75</v>
      </c>
      <c r="B103" s="13" t="s">
        <v>23</v>
      </c>
      <c r="C103" s="2">
        <v>4</v>
      </c>
      <c r="D103" s="13" t="s">
        <v>60</v>
      </c>
      <c r="E103" s="2">
        <v>4606893511</v>
      </c>
      <c r="F103" s="2">
        <v>1112123097</v>
      </c>
      <c r="G103" s="2">
        <v>0</v>
      </c>
      <c r="H103" s="2">
        <v>0</v>
      </c>
      <c r="I103" s="2">
        <v>0</v>
      </c>
      <c r="J103" s="2">
        <v>0</v>
      </c>
      <c r="K103" s="2">
        <v>0</v>
      </c>
      <c r="L103" s="2">
        <v>0</v>
      </c>
      <c r="M103" s="2">
        <v>0</v>
      </c>
      <c r="N103" s="2">
        <v>0</v>
      </c>
      <c r="O103" s="2">
        <v>0</v>
      </c>
      <c r="P103" s="2">
        <v>0</v>
      </c>
      <c r="Q103" s="2">
        <v>32</v>
      </c>
      <c r="R103" s="13" t="s">
        <v>27</v>
      </c>
      <c r="S103" s="13" t="s">
        <v>27</v>
      </c>
    </row>
    <row r="104" spans="1:19" hidden="1" x14ac:dyDescent="0.3">
      <c r="A104" s="14">
        <v>43889.75</v>
      </c>
      <c r="B104" s="13" t="s">
        <v>23</v>
      </c>
      <c r="C104" s="2">
        <v>10</v>
      </c>
      <c r="D104" s="13" t="s">
        <v>61</v>
      </c>
      <c r="E104" s="2">
        <v>4310675841</v>
      </c>
      <c r="F104" s="2">
        <v>1238824698</v>
      </c>
      <c r="G104" s="2">
        <v>0</v>
      </c>
      <c r="H104" s="2">
        <v>0</v>
      </c>
      <c r="I104" s="2">
        <v>0</v>
      </c>
      <c r="J104" s="2">
        <v>0</v>
      </c>
      <c r="K104" s="2">
        <v>0</v>
      </c>
      <c r="L104" s="2">
        <v>0</v>
      </c>
      <c r="M104" s="2">
        <v>0</v>
      </c>
      <c r="N104" s="2">
        <v>0</v>
      </c>
      <c r="O104" s="2">
        <v>0</v>
      </c>
      <c r="P104" s="2">
        <v>0</v>
      </c>
      <c r="Q104" s="2">
        <v>8</v>
      </c>
      <c r="R104" s="13" t="s">
        <v>27</v>
      </c>
      <c r="S104" s="13" t="s">
        <v>27</v>
      </c>
    </row>
    <row r="105" spans="1:19" hidden="1" x14ac:dyDescent="0.3">
      <c r="A105" s="14">
        <v>43889.75</v>
      </c>
      <c r="B105" s="13" t="s">
        <v>23</v>
      </c>
      <c r="C105" s="2">
        <v>2</v>
      </c>
      <c r="D105" s="13" t="s">
        <v>62</v>
      </c>
      <c r="E105" s="2">
        <v>4573750286</v>
      </c>
      <c r="F105" s="2">
        <v>7320149366</v>
      </c>
      <c r="G105" s="2">
        <v>0</v>
      </c>
      <c r="H105" s="2">
        <v>0</v>
      </c>
      <c r="I105" s="2">
        <v>0</v>
      </c>
      <c r="J105" s="2">
        <v>0</v>
      </c>
      <c r="K105" s="2">
        <v>0</v>
      </c>
      <c r="L105" s="2">
        <v>0</v>
      </c>
      <c r="M105" s="2">
        <v>0</v>
      </c>
      <c r="N105" s="2">
        <v>0</v>
      </c>
      <c r="O105" s="2">
        <v>0</v>
      </c>
      <c r="P105" s="2">
        <v>0</v>
      </c>
      <c r="Q105" s="2">
        <v>9</v>
      </c>
      <c r="R105" s="13" t="s">
        <v>27</v>
      </c>
      <c r="S105" s="13" t="s">
        <v>27</v>
      </c>
    </row>
    <row r="106" spans="1:19" hidden="1" x14ac:dyDescent="0.3">
      <c r="A106" s="14">
        <v>43889.75</v>
      </c>
      <c r="B106" s="13" t="s">
        <v>23</v>
      </c>
      <c r="C106" s="2">
        <v>5</v>
      </c>
      <c r="D106" s="13" t="s">
        <v>63</v>
      </c>
      <c r="E106" s="2">
        <v>4543490485</v>
      </c>
      <c r="F106" s="2">
        <v>1233845213</v>
      </c>
      <c r="G106" s="2">
        <v>24</v>
      </c>
      <c r="H106" s="2">
        <v>9</v>
      </c>
      <c r="I106" s="2">
        <v>33</v>
      </c>
      <c r="J106" s="2">
        <v>116</v>
      </c>
      <c r="K106" s="2">
        <v>149</v>
      </c>
      <c r="L106" s="2">
        <v>40</v>
      </c>
      <c r="M106" s="2">
        <v>40</v>
      </c>
      <c r="N106" s="2">
        <v>0</v>
      </c>
      <c r="O106" s="2">
        <v>2</v>
      </c>
      <c r="P106" s="2">
        <v>151</v>
      </c>
      <c r="Q106" s="2">
        <v>7414</v>
      </c>
      <c r="R106" s="13" t="s">
        <v>27</v>
      </c>
      <c r="S106" s="13" t="s">
        <v>27</v>
      </c>
    </row>
    <row r="107" spans="1:19" hidden="1" x14ac:dyDescent="0.3">
      <c r="A107" s="14">
        <v>43890.708333333336</v>
      </c>
      <c r="B107" s="13" t="s">
        <v>23</v>
      </c>
      <c r="C107" s="2">
        <v>13</v>
      </c>
      <c r="D107" s="13" t="s">
        <v>44</v>
      </c>
      <c r="E107" s="2">
        <v>4235122196</v>
      </c>
      <c r="F107" s="2">
        <v>1339843823</v>
      </c>
      <c r="G107" s="2">
        <v>2</v>
      </c>
      <c r="H107" s="2">
        <v>0</v>
      </c>
      <c r="I107" s="2">
        <v>2</v>
      </c>
      <c r="J107" s="2">
        <v>0</v>
      </c>
      <c r="K107" s="2">
        <v>2</v>
      </c>
      <c r="L107" s="2">
        <v>1</v>
      </c>
      <c r="M107" s="2">
        <v>1</v>
      </c>
      <c r="N107" s="2">
        <v>0</v>
      </c>
      <c r="O107" s="2">
        <v>0</v>
      </c>
      <c r="P107" s="2">
        <v>2</v>
      </c>
      <c r="Q107" s="2">
        <v>43</v>
      </c>
      <c r="R107" s="13" t="s">
        <v>27</v>
      </c>
      <c r="S107" s="13" t="s">
        <v>27</v>
      </c>
    </row>
    <row r="108" spans="1:19" hidden="1" x14ac:dyDescent="0.3">
      <c r="A108" s="14">
        <v>43890.708333333336</v>
      </c>
      <c r="B108" s="13" t="s">
        <v>23</v>
      </c>
      <c r="C108" s="2">
        <v>17</v>
      </c>
      <c r="D108" s="13" t="s">
        <v>45</v>
      </c>
      <c r="E108" s="2">
        <v>4063947052</v>
      </c>
      <c r="F108" s="2">
        <v>1580514834</v>
      </c>
      <c r="G108" s="2">
        <v>0</v>
      </c>
      <c r="H108" s="2">
        <v>0</v>
      </c>
      <c r="I108" s="2">
        <v>0</v>
      </c>
      <c r="J108" s="2">
        <v>0</v>
      </c>
      <c r="K108" s="2">
        <v>0</v>
      </c>
      <c r="L108" s="2">
        <v>0</v>
      </c>
      <c r="M108" s="2">
        <v>0</v>
      </c>
      <c r="N108" s="2">
        <v>0</v>
      </c>
      <c r="O108" s="2">
        <v>0</v>
      </c>
      <c r="P108" s="2">
        <v>0</v>
      </c>
      <c r="Q108" s="2">
        <v>32</v>
      </c>
      <c r="R108" s="13" t="s">
        <v>27</v>
      </c>
      <c r="S108" s="13" t="s">
        <v>27</v>
      </c>
    </row>
    <row r="109" spans="1:19" hidden="1" x14ac:dyDescent="0.3">
      <c r="A109" s="14">
        <v>43890.708333333336</v>
      </c>
      <c r="B109" s="13" t="s">
        <v>23</v>
      </c>
      <c r="C109" s="2">
        <v>4</v>
      </c>
      <c r="D109" s="13" t="s">
        <v>46</v>
      </c>
      <c r="E109" s="2">
        <v>4649933453</v>
      </c>
      <c r="F109" s="2">
        <v>1135662422</v>
      </c>
      <c r="G109" s="2">
        <v>1</v>
      </c>
      <c r="H109" s="2">
        <v>0</v>
      </c>
      <c r="I109" s="2">
        <v>1</v>
      </c>
      <c r="J109" s="2">
        <v>0</v>
      </c>
      <c r="K109" s="2">
        <v>1</v>
      </c>
      <c r="L109" s="2">
        <v>0</v>
      </c>
      <c r="M109" s="2">
        <v>0</v>
      </c>
      <c r="N109" s="2">
        <v>0</v>
      </c>
      <c r="O109" s="2">
        <v>0</v>
      </c>
      <c r="P109" s="2">
        <v>1</v>
      </c>
      <c r="Q109" s="2">
        <v>16</v>
      </c>
      <c r="R109" s="13" t="s">
        <v>27</v>
      </c>
      <c r="S109" s="13" t="s">
        <v>27</v>
      </c>
    </row>
    <row r="110" spans="1:19" hidden="1" x14ac:dyDescent="0.3">
      <c r="A110" s="14">
        <v>43890.708333333336</v>
      </c>
      <c r="B110" s="13" t="s">
        <v>23</v>
      </c>
      <c r="C110" s="2">
        <v>18</v>
      </c>
      <c r="D110" s="13" t="s">
        <v>47</v>
      </c>
      <c r="E110" s="2">
        <v>3890597598</v>
      </c>
      <c r="F110" s="2">
        <v>1659440194</v>
      </c>
      <c r="G110" s="2">
        <v>0</v>
      </c>
      <c r="H110" s="2">
        <v>0</v>
      </c>
      <c r="I110" s="2">
        <v>0</v>
      </c>
      <c r="J110" s="2">
        <v>1</v>
      </c>
      <c r="K110" s="2">
        <v>1</v>
      </c>
      <c r="L110" s="2">
        <v>0</v>
      </c>
      <c r="M110" s="2">
        <v>0</v>
      </c>
      <c r="N110" s="2">
        <v>0</v>
      </c>
      <c r="O110" s="2">
        <v>0</v>
      </c>
      <c r="P110" s="2">
        <v>1</v>
      </c>
      <c r="Q110" s="2">
        <v>27</v>
      </c>
      <c r="R110" s="13" t="s">
        <v>27</v>
      </c>
      <c r="S110" s="13" t="s">
        <v>27</v>
      </c>
    </row>
    <row r="111" spans="1:19" hidden="1" x14ac:dyDescent="0.3">
      <c r="A111" s="14">
        <v>43890.708333333336</v>
      </c>
      <c r="B111" s="13" t="s">
        <v>23</v>
      </c>
      <c r="C111" s="2">
        <v>15</v>
      </c>
      <c r="D111" s="13" t="s">
        <v>48</v>
      </c>
      <c r="E111" s="2">
        <v>4083956555</v>
      </c>
      <c r="F111" s="2">
        <v>1425084984</v>
      </c>
      <c r="G111" s="2">
        <v>3</v>
      </c>
      <c r="H111" s="2">
        <v>0</v>
      </c>
      <c r="I111" s="2">
        <v>3</v>
      </c>
      <c r="J111" s="2">
        <v>10</v>
      </c>
      <c r="K111" s="2">
        <v>13</v>
      </c>
      <c r="L111" s="2">
        <v>9</v>
      </c>
      <c r="M111" s="2">
        <v>9</v>
      </c>
      <c r="N111" s="2">
        <v>0</v>
      </c>
      <c r="O111" s="2">
        <v>0</v>
      </c>
      <c r="P111" s="2">
        <v>13</v>
      </c>
      <c r="Q111" s="2">
        <v>373</v>
      </c>
      <c r="R111" s="13" t="s">
        <v>27</v>
      </c>
      <c r="S111" s="13" t="s">
        <v>27</v>
      </c>
    </row>
    <row r="112" spans="1:19" hidden="1" x14ac:dyDescent="0.3">
      <c r="A112" s="14">
        <v>43890.708333333336</v>
      </c>
      <c r="B112" s="13" t="s">
        <v>23</v>
      </c>
      <c r="C112" s="2">
        <v>8</v>
      </c>
      <c r="D112" s="13" t="s">
        <v>98</v>
      </c>
      <c r="E112" s="2">
        <v>4449436681</v>
      </c>
      <c r="F112" s="2">
        <v>113417208</v>
      </c>
      <c r="G112" s="2">
        <v>86</v>
      </c>
      <c r="H112" s="2">
        <v>11</v>
      </c>
      <c r="I112" s="2">
        <v>97</v>
      </c>
      <c r="J112" s="2">
        <v>116</v>
      </c>
      <c r="K112" s="2">
        <v>213</v>
      </c>
      <c r="L112" s="2">
        <v>70</v>
      </c>
      <c r="M112" s="2">
        <v>72</v>
      </c>
      <c r="N112" s="2">
        <v>0</v>
      </c>
      <c r="O112" s="2">
        <v>4</v>
      </c>
      <c r="P112" s="2">
        <v>217</v>
      </c>
      <c r="Q112" s="2">
        <v>1550</v>
      </c>
      <c r="R112" s="13" t="s">
        <v>27</v>
      </c>
      <c r="S112" s="13" t="s">
        <v>27</v>
      </c>
    </row>
    <row r="113" spans="1:19" hidden="1" x14ac:dyDescent="0.3">
      <c r="A113" s="14">
        <v>43890.708333333336</v>
      </c>
      <c r="B113" s="13" t="s">
        <v>23</v>
      </c>
      <c r="C113" s="2">
        <v>6</v>
      </c>
      <c r="D113" s="13" t="s">
        <v>49</v>
      </c>
      <c r="E113" s="2">
        <v>456494354</v>
      </c>
      <c r="F113" s="2">
        <v>1376813649</v>
      </c>
      <c r="G113" s="2">
        <v>0</v>
      </c>
      <c r="H113" s="2">
        <v>0</v>
      </c>
      <c r="I113" s="2">
        <v>0</v>
      </c>
      <c r="J113" s="2">
        <v>0</v>
      </c>
      <c r="K113" s="2">
        <v>0</v>
      </c>
      <c r="L113" s="2">
        <v>0</v>
      </c>
      <c r="M113" s="2">
        <v>0</v>
      </c>
      <c r="N113" s="2">
        <v>0</v>
      </c>
      <c r="O113" s="2">
        <v>0</v>
      </c>
      <c r="P113" s="2">
        <v>0</v>
      </c>
      <c r="Q113" s="2">
        <v>189</v>
      </c>
      <c r="R113" s="13" t="s">
        <v>27</v>
      </c>
      <c r="S113" s="13" t="s">
        <v>27</v>
      </c>
    </row>
    <row r="114" spans="1:19" hidden="1" x14ac:dyDescent="0.3">
      <c r="A114" s="14">
        <v>43890.708333333336</v>
      </c>
      <c r="B114" s="13" t="s">
        <v>23</v>
      </c>
      <c r="C114" s="2">
        <v>12</v>
      </c>
      <c r="D114" s="13" t="s">
        <v>50</v>
      </c>
      <c r="E114" s="2">
        <v>4189277044</v>
      </c>
      <c r="F114" s="2">
        <v>1248366722</v>
      </c>
      <c r="G114" s="2">
        <v>3</v>
      </c>
      <c r="H114" s="2">
        <v>0</v>
      </c>
      <c r="I114" s="2">
        <v>3</v>
      </c>
      <c r="J114" s="2">
        <v>0</v>
      </c>
      <c r="K114" s="2">
        <v>3</v>
      </c>
      <c r="L114" s="2">
        <v>3</v>
      </c>
      <c r="M114" s="2">
        <v>3</v>
      </c>
      <c r="N114" s="2">
        <v>3</v>
      </c>
      <c r="O114" s="2">
        <v>0</v>
      </c>
      <c r="P114" s="2">
        <v>6</v>
      </c>
      <c r="Q114" s="2">
        <v>679</v>
      </c>
      <c r="R114" s="13" t="s">
        <v>27</v>
      </c>
      <c r="S114" s="13" t="s">
        <v>27</v>
      </c>
    </row>
    <row r="115" spans="1:19" hidden="1" x14ac:dyDescent="0.3">
      <c r="A115" s="14">
        <v>43890.708333333336</v>
      </c>
      <c r="B115" s="13" t="s">
        <v>23</v>
      </c>
      <c r="C115" s="2">
        <v>7</v>
      </c>
      <c r="D115" s="13" t="s">
        <v>51</v>
      </c>
      <c r="E115" s="2">
        <v>4441149315</v>
      </c>
      <c r="F115" s="2">
        <v>89326992</v>
      </c>
      <c r="G115" s="2">
        <v>4</v>
      </c>
      <c r="H115" s="2">
        <v>1</v>
      </c>
      <c r="I115" s="2">
        <v>5</v>
      </c>
      <c r="J115" s="2">
        <v>33</v>
      </c>
      <c r="K115" s="2">
        <v>38</v>
      </c>
      <c r="L115" s="2">
        <v>19</v>
      </c>
      <c r="M115" s="2">
        <v>23</v>
      </c>
      <c r="N115" s="2">
        <v>4</v>
      </c>
      <c r="O115" s="2">
        <v>0</v>
      </c>
      <c r="P115" s="2">
        <v>42</v>
      </c>
      <c r="Q115" s="2">
        <v>121</v>
      </c>
      <c r="R115" s="13" t="s">
        <v>27</v>
      </c>
      <c r="S115" s="13" t="s">
        <v>27</v>
      </c>
    </row>
    <row r="116" spans="1:19" x14ac:dyDescent="0.3">
      <c r="A116" s="14">
        <v>43890.708333333336</v>
      </c>
      <c r="B116" s="13" t="s">
        <v>23</v>
      </c>
      <c r="C116" s="2">
        <v>3</v>
      </c>
      <c r="D116" s="13" t="s">
        <v>52</v>
      </c>
      <c r="E116" s="2">
        <v>4546679409</v>
      </c>
      <c r="F116" s="2">
        <v>9190347404</v>
      </c>
      <c r="G116" s="2">
        <v>256</v>
      </c>
      <c r="H116" s="2">
        <v>80</v>
      </c>
      <c r="I116" s="2">
        <v>336</v>
      </c>
      <c r="J116" s="2">
        <v>216</v>
      </c>
      <c r="K116" s="2">
        <v>552</v>
      </c>
      <c r="L116" s="2">
        <v>78</v>
      </c>
      <c r="M116" s="2">
        <v>84</v>
      </c>
      <c r="N116" s="2">
        <v>40</v>
      </c>
      <c r="O116" s="2">
        <v>23</v>
      </c>
      <c r="P116" s="2">
        <v>615</v>
      </c>
      <c r="Q116" s="2">
        <v>5723</v>
      </c>
      <c r="R116" s="13" t="s">
        <v>27</v>
      </c>
      <c r="S116" s="13" t="s">
        <v>27</v>
      </c>
    </row>
    <row r="117" spans="1:19" hidden="1" x14ac:dyDescent="0.3">
      <c r="A117" s="14">
        <v>43890.708333333336</v>
      </c>
      <c r="B117" s="13" t="s">
        <v>23</v>
      </c>
      <c r="C117" s="2">
        <v>11</v>
      </c>
      <c r="D117" s="13" t="s">
        <v>53</v>
      </c>
      <c r="E117" s="2">
        <v>4361675973</v>
      </c>
      <c r="F117" s="2">
        <v>135188753</v>
      </c>
      <c r="G117" s="2">
        <v>6</v>
      </c>
      <c r="H117" s="2">
        <v>2</v>
      </c>
      <c r="I117" s="2">
        <v>8</v>
      </c>
      <c r="J117" s="2">
        <v>3</v>
      </c>
      <c r="K117" s="2">
        <v>11</v>
      </c>
      <c r="L117" s="2">
        <v>5</v>
      </c>
      <c r="M117" s="2">
        <v>5</v>
      </c>
      <c r="N117" s="2">
        <v>0</v>
      </c>
      <c r="O117" s="2">
        <v>0</v>
      </c>
      <c r="P117" s="2">
        <v>11</v>
      </c>
      <c r="Q117" s="2">
        <v>68</v>
      </c>
      <c r="R117" s="13" t="s">
        <v>27</v>
      </c>
      <c r="S117" s="13" t="s">
        <v>27</v>
      </c>
    </row>
    <row r="118" spans="1:19" hidden="1" x14ac:dyDescent="0.3">
      <c r="A118" s="14">
        <v>43890.708333333336</v>
      </c>
      <c r="B118" s="13" t="s">
        <v>23</v>
      </c>
      <c r="C118" s="2">
        <v>14</v>
      </c>
      <c r="D118" s="13" t="s">
        <v>54</v>
      </c>
      <c r="E118" s="2">
        <v>4155774754</v>
      </c>
      <c r="F118" s="2">
        <v>1465916051</v>
      </c>
      <c r="G118" s="2">
        <v>0</v>
      </c>
      <c r="H118" s="2">
        <v>0</v>
      </c>
      <c r="I118" s="2">
        <v>0</v>
      </c>
      <c r="J118" s="2">
        <v>0</v>
      </c>
      <c r="K118" s="2">
        <v>0</v>
      </c>
      <c r="L118" s="2">
        <v>0</v>
      </c>
      <c r="M118" s="2">
        <v>0</v>
      </c>
      <c r="N118" s="2">
        <v>0</v>
      </c>
      <c r="O118" s="2">
        <v>0</v>
      </c>
      <c r="P118" s="2">
        <v>0</v>
      </c>
      <c r="Q118" s="2">
        <v>0</v>
      </c>
      <c r="R118" s="13" t="s">
        <v>27</v>
      </c>
      <c r="S118" s="13" t="s">
        <v>27</v>
      </c>
    </row>
    <row r="119" spans="1:19" hidden="1" x14ac:dyDescent="0.3">
      <c r="A119" s="14">
        <v>43890.708333333336</v>
      </c>
      <c r="B119" s="13" t="s">
        <v>23</v>
      </c>
      <c r="C119" s="2">
        <v>1</v>
      </c>
      <c r="D119" s="13" t="s">
        <v>55</v>
      </c>
      <c r="E119" s="2">
        <v>450732745</v>
      </c>
      <c r="F119" s="2">
        <v>7680687483</v>
      </c>
      <c r="G119" s="2">
        <v>7</v>
      </c>
      <c r="H119" s="2">
        <v>0</v>
      </c>
      <c r="I119" s="2">
        <v>7</v>
      </c>
      <c r="J119" s="2">
        <v>4</v>
      </c>
      <c r="K119" s="2">
        <v>11</v>
      </c>
      <c r="L119" s="2">
        <v>0</v>
      </c>
      <c r="M119" s="2">
        <v>0</v>
      </c>
      <c r="N119" s="2">
        <v>0</v>
      </c>
      <c r="O119" s="2">
        <v>0</v>
      </c>
      <c r="P119" s="2">
        <v>11</v>
      </c>
      <c r="Q119" s="2">
        <v>308</v>
      </c>
      <c r="R119" s="13" t="s">
        <v>27</v>
      </c>
      <c r="S119" s="13" t="s">
        <v>27</v>
      </c>
    </row>
    <row r="120" spans="1:19" hidden="1" x14ac:dyDescent="0.3">
      <c r="A120" s="14">
        <v>43890.708333333336</v>
      </c>
      <c r="B120" s="13" t="s">
        <v>23</v>
      </c>
      <c r="C120" s="2">
        <v>16</v>
      </c>
      <c r="D120" s="13" t="s">
        <v>56</v>
      </c>
      <c r="E120" s="2">
        <v>4112559576</v>
      </c>
      <c r="F120" s="2">
        <v>1686736689</v>
      </c>
      <c r="G120" s="2">
        <v>1</v>
      </c>
      <c r="H120" s="2">
        <v>0</v>
      </c>
      <c r="I120" s="2">
        <v>1</v>
      </c>
      <c r="J120" s="2">
        <v>2</v>
      </c>
      <c r="K120" s="2">
        <v>3</v>
      </c>
      <c r="L120" s="2">
        <v>0</v>
      </c>
      <c r="M120" s="2">
        <v>0</v>
      </c>
      <c r="N120" s="2">
        <v>0</v>
      </c>
      <c r="O120" s="2">
        <v>0</v>
      </c>
      <c r="P120" s="2">
        <v>3</v>
      </c>
      <c r="Q120" s="2">
        <v>252</v>
      </c>
      <c r="R120" s="13" t="s">
        <v>27</v>
      </c>
      <c r="S120" s="13" t="s">
        <v>27</v>
      </c>
    </row>
    <row r="121" spans="1:19" hidden="1" x14ac:dyDescent="0.3">
      <c r="A121" s="14">
        <v>43890.708333333336</v>
      </c>
      <c r="B121" s="13" t="s">
        <v>23</v>
      </c>
      <c r="C121" s="2">
        <v>20</v>
      </c>
      <c r="D121" s="13" t="s">
        <v>57</v>
      </c>
      <c r="E121" s="2">
        <v>3921531192</v>
      </c>
      <c r="F121" s="2">
        <v>9110616306</v>
      </c>
      <c r="G121" s="2">
        <v>0</v>
      </c>
      <c r="H121" s="2">
        <v>0</v>
      </c>
      <c r="I121" s="2">
        <v>0</v>
      </c>
      <c r="J121" s="2">
        <v>0</v>
      </c>
      <c r="K121" s="2">
        <v>0</v>
      </c>
      <c r="L121" s="2">
        <v>0</v>
      </c>
      <c r="M121" s="2">
        <v>0</v>
      </c>
      <c r="N121" s="2">
        <v>0</v>
      </c>
      <c r="O121" s="2">
        <v>0</v>
      </c>
      <c r="P121" s="2">
        <v>0</v>
      </c>
      <c r="Q121" s="2">
        <v>1</v>
      </c>
      <c r="R121" s="13" t="s">
        <v>27</v>
      </c>
      <c r="S121" s="13" t="s">
        <v>27</v>
      </c>
    </row>
    <row r="122" spans="1:19" hidden="1" x14ac:dyDescent="0.3">
      <c r="A122" s="14">
        <v>43890.708333333336</v>
      </c>
      <c r="B122" s="13" t="s">
        <v>23</v>
      </c>
      <c r="C122" s="2">
        <v>19</v>
      </c>
      <c r="D122" s="13" t="s">
        <v>58</v>
      </c>
      <c r="E122" s="2">
        <v>3811569725</v>
      </c>
      <c r="F122" s="2">
        <v>133623567</v>
      </c>
      <c r="G122" s="2">
        <v>1</v>
      </c>
      <c r="H122" s="2">
        <v>0</v>
      </c>
      <c r="I122" s="2">
        <v>1</v>
      </c>
      <c r="J122" s="2">
        <v>1</v>
      </c>
      <c r="K122" s="2">
        <v>2</v>
      </c>
      <c r="L122" s="2">
        <v>0</v>
      </c>
      <c r="M122" s="2">
        <v>0</v>
      </c>
      <c r="N122" s="2">
        <v>2</v>
      </c>
      <c r="O122" s="2">
        <v>0</v>
      </c>
      <c r="P122" s="2">
        <v>4</v>
      </c>
      <c r="Q122" s="2">
        <v>6</v>
      </c>
      <c r="R122" s="13" t="s">
        <v>27</v>
      </c>
      <c r="S122" s="13" t="s">
        <v>27</v>
      </c>
    </row>
    <row r="123" spans="1:19" hidden="1" x14ac:dyDescent="0.3">
      <c r="A123" s="14">
        <v>43890.708333333336</v>
      </c>
      <c r="B123" s="13" t="s">
        <v>23</v>
      </c>
      <c r="C123" s="2">
        <v>9</v>
      </c>
      <c r="D123" s="13" t="s">
        <v>59</v>
      </c>
      <c r="E123" s="2">
        <v>4376923077</v>
      </c>
      <c r="F123" s="2">
        <v>1125588885</v>
      </c>
      <c r="G123" s="2">
        <v>7</v>
      </c>
      <c r="H123" s="2">
        <v>0</v>
      </c>
      <c r="I123" s="2">
        <v>7</v>
      </c>
      <c r="J123" s="2">
        <v>3</v>
      </c>
      <c r="K123" s="2">
        <v>10</v>
      </c>
      <c r="L123" s="2">
        <v>3</v>
      </c>
      <c r="M123" s="2">
        <v>3</v>
      </c>
      <c r="N123" s="2">
        <v>1</v>
      </c>
      <c r="O123" s="2">
        <v>0</v>
      </c>
      <c r="P123" s="2">
        <v>11</v>
      </c>
      <c r="Q123" s="2">
        <v>531</v>
      </c>
      <c r="R123" s="13" t="s">
        <v>27</v>
      </c>
      <c r="S123" s="13" t="s">
        <v>27</v>
      </c>
    </row>
    <row r="124" spans="1:19" hidden="1" x14ac:dyDescent="0.3">
      <c r="A124" s="14">
        <v>43890.708333333336</v>
      </c>
      <c r="B124" s="13" t="s">
        <v>23</v>
      </c>
      <c r="C124" s="2">
        <v>4</v>
      </c>
      <c r="D124" s="13" t="s">
        <v>60</v>
      </c>
      <c r="E124" s="2">
        <v>4606893511</v>
      </c>
      <c r="F124" s="2">
        <v>1112123097</v>
      </c>
      <c r="G124" s="2">
        <v>0</v>
      </c>
      <c r="H124" s="2">
        <v>0</v>
      </c>
      <c r="I124" s="2">
        <v>0</v>
      </c>
      <c r="J124" s="2">
        <v>0</v>
      </c>
      <c r="K124" s="2">
        <v>0</v>
      </c>
      <c r="L124" s="2">
        <v>0</v>
      </c>
      <c r="M124" s="2">
        <v>0</v>
      </c>
      <c r="N124" s="2">
        <v>0</v>
      </c>
      <c r="O124" s="2">
        <v>0</v>
      </c>
      <c r="P124" s="2">
        <v>0</v>
      </c>
      <c r="Q124" s="2">
        <v>43</v>
      </c>
      <c r="R124" s="13" t="s">
        <v>27</v>
      </c>
      <c r="S124" s="13" t="s">
        <v>27</v>
      </c>
    </row>
    <row r="125" spans="1:19" hidden="1" x14ac:dyDescent="0.3">
      <c r="A125" s="14">
        <v>43890.708333333336</v>
      </c>
      <c r="B125" s="13" t="s">
        <v>23</v>
      </c>
      <c r="C125" s="2">
        <v>10</v>
      </c>
      <c r="D125" s="13" t="s">
        <v>61</v>
      </c>
      <c r="E125" s="2">
        <v>4310675841</v>
      </c>
      <c r="F125" s="2">
        <v>1238824698</v>
      </c>
      <c r="G125" s="2">
        <v>0</v>
      </c>
      <c r="H125" s="2">
        <v>0</v>
      </c>
      <c r="I125" s="2">
        <v>0</v>
      </c>
      <c r="J125" s="2">
        <v>0</v>
      </c>
      <c r="K125" s="2">
        <v>0</v>
      </c>
      <c r="L125" s="2">
        <v>0</v>
      </c>
      <c r="M125" s="2">
        <v>0</v>
      </c>
      <c r="N125" s="2">
        <v>0</v>
      </c>
      <c r="O125" s="2">
        <v>0</v>
      </c>
      <c r="P125" s="2">
        <v>0</v>
      </c>
      <c r="Q125" s="2">
        <v>31</v>
      </c>
      <c r="R125" s="13" t="s">
        <v>27</v>
      </c>
      <c r="S125" s="13" t="s">
        <v>27</v>
      </c>
    </row>
    <row r="126" spans="1:19" hidden="1" x14ac:dyDescent="0.3">
      <c r="A126" s="14">
        <v>43890.708333333336</v>
      </c>
      <c r="B126" s="13" t="s">
        <v>23</v>
      </c>
      <c r="C126" s="2">
        <v>2</v>
      </c>
      <c r="D126" s="13" t="s">
        <v>62</v>
      </c>
      <c r="E126" s="2">
        <v>4573750286</v>
      </c>
      <c r="F126" s="2">
        <v>7320149366</v>
      </c>
      <c r="G126" s="2">
        <v>0</v>
      </c>
      <c r="H126" s="2">
        <v>0</v>
      </c>
      <c r="I126" s="2">
        <v>0</v>
      </c>
      <c r="J126" s="2">
        <v>0</v>
      </c>
      <c r="K126" s="2">
        <v>0</v>
      </c>
      <c r="L126" s="2">
        <v>0</v>
      </c>
      <c r="M126" s="2">
        <v>0</v>
      </c>
      <c r="N126" s="2">
        <v>0</v>
      </c>
      <c r="O126" s="2">
        <v>0</v>
      </c>
      <c r="P126" s="2">
        <v>0</v>
      </c>
      <c r="Q126" s="2">
        <v>9</v>
      </c>
      <c r="R126" s="13" t="s">
        <v>27</v>
      </c>
      <c r="S126" s="13" t="s">
        <v>27</v>
      </c>
    </row>
    <row r="127" spans="1:19" hidden="1" x14ac:dyDescent="0.3">
      <c r="A127" s="14">
        <v>43890.708333333336</v>
      </c>
      <c r="B127" s="13" t="s">
        <v>23</v>
      </c>
      <c r="C127" s="2">
        <v>5</v>
      </c>
      <c r="D127" s="13" t="s">
        <v>63</v>
      </c>
      <c r="E127" s="2">
        <v>4543490485</v>
      </c>
      <c r="F127" s="2">
        <v>1233845213</v>
      </c>
      <c r="G127" s="2">
        <v>24</v>
      </c>
      <c r="H127" s="2">
        <v>11</v>
      </c>
      <c r="I127" s="2">
        <v>35</v>
      </c>
      <c r="J127" s="2">
        <v>154</v>
      </c>
      <c r="K127" s="2">
        <v>189</v>
      </c>
      <c r="L127" s="2">
        <v>40</v>
      </c>
      <c r="M127" s="2">
        <v>40</v>
      </c>
      <c r="N127" s="2">
        <v>0</v>
      </c>
      <c r="O127" s="2">
        <v>2</v>
      </c>
      <c r="P127" s="2">
        <v>191</v>
      </c>
      <c r="Q127" s="2">
        <v>8659</v>
      </c>
      <c r="R127" s="13" t="s">
        <v>27</v>
      </c>
      <c r="S127" s="13" t="s">
        <v>27</v>
      </c>
    </row>
    <row r="128" spans="1:19" hidden="1" x14ac:dyDescent="0.3">
      <c r="A128" s="14">
        <v>43891.708333333336</v>
      </c>
      <c r="B128" s="13" t="s">
        <v>23</v>
      </c>
      <c r="C128" s="2">
        <v>13</v>
      </c>
      <c r="D128" s="13" t="s">
        <v>44</v>
      </c>
      <c r="E128" s="2">
        <v>4235122196</v>
      </c>
      <c r="F128" s="2">
        <v>1339843823</v>
      </c>
      <c r="G128" s="2">
        <v>3</v>
      </c>
      <c r="H128" s="2">
        <v>0</v>
      </c>
      <c r="I128" s="2">
        <v>3</v>
      </c>
      <c r="J128" s="2">
        <v>2</v>
      </c>
      <c r="K128" s="2">
        <v>5</v>
      </c>
      <c r="L128" s="2">
        <v>3</v>
      </c>
      <c r="M128" s="2">
        <v>3</v>
      </c>
      <c r="N128" s="2">
        <v>0</v>
      </c>
      <c r="O128" s="2">
        <v>0</v>
      </c>
      <c r="P128" s="2">
        <v>5</v>
      </c>
      <c r="Q128" s="2">
        <v>52</v>
      </c>
      <c r="R128" s="13" t="s">
        <v>27</v>
      </c>
      <c r="S128" s="13" t="s">
        <v>27</v>
      </c>
    </row>
    <row r="129" spans="1:19" hidden="1" x14ac:dyDescent="0.3">
      <c r="A129" s="14">
        <v>43891.708333333336</v>
      </c>
      <c r="B129" s="13" t="s">
        <v>23</v>
      </c>
      <c r="C129" s="2">
        <v>17</v>
      </c>
      <c r="D129" s="13" t="s">
        <v>45</v>
      </c>
      <c r="E129" s="2">
        <v>4063947052</v>
      </c>
      <c r="F129" s="2">
        <v>1580514834</v>
      </c>
      <c r="G129" s="2">
        <v>0</v>
      </c>
      <c r="H129" s="2">
        <v>0</v>
      </c>
      <c r="I129" s="2">
        <v>0</v>
      </c>
      <c r="J129" s="2">
        <v>0</v>
      </c>
      <c r="K129" s="2">
        <v>0</v>
      </c>
      <c r="L129" s="2">
        <v>0</v>
      </c>
      <c r="M129" s="2">
        <v>0</v>
      </c>
      <c r="N129" s="2">
        <v>0</v>
      </c>
      <c r="O129" s="2">
        <v>0</v>
      </c>
      <c r="P129" s="2">
        <v>0</v>
      </c>
      <c r="Q129" s="2">
        <v>39</v>
      </c>
      <c r="R129" s="13" t="s">
        <v>27</v>
      </c>
      <c r="S129" s="13" t="s">
        <v>27</v>
      </c>
    </row>
    <row r="130" spans="1:19" hidden="1" x14ac:dyDescent="0.3">
      <c r="A130" s="14">
        <v>43891.708333333336</v>
      </c>
      <c r="B130" s="13" t="s">
        <v>23</v>
      </c>
      <c r="C130" s="2">
        <v>4</v>
      </c>
      <c r="D130" s="13" t="s">
        <v>46</v>
      </c>
      <c r="E130" s="2">
        <v>4649933453</v>
      </c>
      <c r="F130" s="2">
        <v>1135662422</v>
      </c>
      <c r="G130" s="2">
        <v>1</v>
      </c>
      <c r="H130" s="2">
        <v>0</v>
      </c>
      <c r="I130" s="2">
        <v>1</v>
      </c>
      <c r="J130" s="2">
        <v>0</v>
      </c>
      <c r="K130" s="2">
        <v>1</v>
      </c>
      <c r="L130" s="2">
        <v>0</v>
      </c>
      <c r="M130" s="2">
        <v>0</v>
      </c>
      <c r="N130" s="2">
        <v>0</v>
      </c>
      <c r="O130" s="2">
        <v>0</v>
      </c>
      <c r="P130" s="2">
        <v>1</v>
      </c>
      <c r="Q130" s="2">
        <v>20</v>
      </c>
      <c r="R130" s="13" t="s">
        <v>27</v>
      </c>
      <c r="S130" s="13" t="s">
        <v>27</v>
      </c>
    </row>
    <row r="131" spans="1:19" hidden="1" x14ac:dyDescent="0.3">
      <c r="A131" s="14">
        <v>43891.708333333336</v>
      </c>
      <c r="B131" s="13" t="s">
        <v>23</v>
      </c>
      <c r="C131" s="2">
        <v>18</v>
      </c>
      <c r="D131" s="13" t="s">
        <v>47</v>
      </c>
      <c r="E131" s="2">
        <v>3890597598</v>
      </c>
      <c r="F131" s="2">
        <v>1659440194</v>
      </c>
      <c r="G131" s="2">
        <v>0</v>
      </c>
      <c r="H131" s="2">
        <v>0</v>
      </c>
      <c r="I131" s="2">
        <v>0</v>
      </c>
      <c r="J131" s="2">
        <v>1</v>
      </c>
      <c r="K131" s="2">
        <v>1</v>
      </c>
      <c r="L131" s="2">
        <v>0</v>
      </c>
      <c r="M131" s="2">
        <v>0</v>
      </c>
      <c r="N131" s="2">
        <v>0</v>
      </c>
      <c r="O131" s="2">
        <v>0</v>
      </c>
      <c r="P131" s="2">
        <v>1</v>
      </c>
      <c r="Q131" s="2">
        <v>35</v>
      </c>
      <c r="R131" s="13" t="s">
        <v>27</v>
      </c>
      <c r="S131" s="13" t="s">
        <v>27</v>
      </c>
    </row>
    <row r="132" spans="1:19" hidden="1" x14ac:dyDescent="0.3">
      <c r="A132" s="14">
        <v>43891.708333333336</v>
      </c>
      <c r="B132" s="13" t="s">
        <v>23</v>
      </c>
      <c r="C132" s="2">
        <v>15</v>
      </c>
      <c r="D132" s="13" t="s">
        <v>48</v>
      </c>
      <c r="E132" s="2">
        <v>4083956555</v>
      </c>
      <c r="F132" s="2">
        <v>1425084984</v>
      </c>
      <c r="G132" s="2">
        <v>4</v>
      </c>
      <c r="H132" s="2">
        <v>0</v>
      </c>
      <c r="I132" s="2">
        <v>4</v>
      </c>
      <c r="J132" s="2">
        <v>13</v>
      </c>
      <c r="K132" s="2">
        <v>17</v>
      </c>
      <c r="L132" s="2">
        <v>4</v>
      </c>
      <c r="M132" s="2">
        <v>4</v>
      </c>
      <c r="N132" s="2">
        <v>0</v>
      </c>
      <c r="O132" s="2">
        <v>0</v>
      </c>
      <c r="P132" s="2">
        <v>17</v>
      </c>
      <c r="Q132" s="2">
        <v>373</v>
      </c>
      <c r="R132" s="13" t="s">
        <v>27</v>
      </c>
      <c r="S132" s="13" t="s">
        <v>27</v>
      </c>
    </row>
    <row r="133" spans="1:19" hidden="1" x14ac:dyDescent="0.3">
      <c r="A133" s="14">
        <v>43891.708333333336</v>
      </c>
      <c r="B133" s="13" t="s">
        <v>23</v>
      </c>
      <c r="C133" s="2">
        <v>8</v>
      </c>
      <c r="D133" s="13" t="s">
        <v>98</v>
      </c>
      <c r="E133" s="2">
        <v>4449436681</v>
      </c>
      <c r="F133" s="2">
        <v>113417208</v>
      </c>
      <c r="G133" s="2">
        <v>127</v>
      </c>
      <c r="H133" s="2">
        <v>13</v>
      </c>
      <c r="I133" s="2">
        <v>140</v>
      </c>
      <c r="J133" s="2">
        <v>137</v>
      </c>
      <c r="K133" s="2">
        <v>277</v>
      </c>
      <c r="L133" s="2">
        <v>64</v>
      </c>
      <c r="M133" s="2">
        <v>68</v>
      </c>
      <c r="N133" s="2">
        <v>0</v>
      </c>
      <c r="O133" s="2">
        <v>8</v>
      </c>
      <c r="P133" s="2">
        <v>285</v>
      </c>
      <c r="Q133" s="2">
        <v>1795</v>
      </c>
      <c r="R133" s="13" t="s">
        <v>27</v>
      </c>
      <c r="S133" s="13" t="s">
        <v>27</v>
      </c>
    </row>
    <row r="134" spans="1:19" hidden="1" x14ac:dyDescent="0.3">
      <c r="A134" s="14">
        <v>43891.708333333336</v>
      </c>
      <c r="B134" s="13" t="s">
        <v>23</v>
      </c>
      <c r="C134" s="2">
        <v>6</v>
      </c>
      <c r="D134" s="13" t="s">
        <v>49</v>
      </c>
      <c r="E134" s="2">
        <v>456494354</v>
      </c>
      <c r="F134" s="2">
        <v>1376813649</v>
      </c>
      <c r="G134" s="2">
        <v>0</v>
      </c>
      <c r="H134" s="2">
        <v>0</v>
      </c>
      <c r="I134" s="2">
        <v>0</v>
      </c>
      <c r="J134" s="2">
        <v>6</v>
      </c>
      <c r="K134" s="2">
        <v>6</v>
      </c>
      <c r="L134" s="2">
        <v>6</v>
      </c>
      <c r="M134" s="2">
        <v>6</v>
      </c>
      <c r="N134" s="2">
        <v>0</v>
      </c>
      <c r="O134" s="2">
        <v>0</v>
      </c>
      <c r="P134" s="2">
        <v>6</v>
      </c>
      <c r="Q134" s="2">
        <v>243</v>
      </c>
      <c r="R134" s="13" t="s">
        <v>27</v>
      </c>
      <c r="S134" s="13" t="s">
        <v>27</v>
      </c>
    </row>
    <row r="135" spans="1:19" hidden="1" x14ac:dyDescent="0.3">
      <c r="A135" s="14">
        <v>43891.708333333336</v>
      </c>
      <c r="B135" s="13" t="s">
        <v>23</v>
      </c>
      <c r="C135" s="2">
        <v>12</v>
      </c>
      <c r="D135" s="13" t="s">
        <v>50</v>
      </c>
      <c r="E135" s="2">
        <v>4189277044</v>
      </c>
      <c r="F135" s="2">
        <v>1248366722</v>
      </c>
      <c r="G135" s="2">
        <v>3</v>
      </c>
      <c r="H135" s="2">
        <v>0</v>
      </c>
      <c r="I135" s="2">
        <v>3</v>
      </c>
      <c r="J135" s="2">
        <v>0</v>
      </c>
      <c r="K135" s="2">
        <v>3</v>
      </c>
      <c r="L135" s="2">
        <v>0</v>
      </c>
      <c r="M135" s="2">
        <v>0</v>
      </c>
      <c r="N135" s="2">
        <v>3</v>
      </c>
      <c r="O135" s="2">
        <v>0</v>
      </c>
      <c r="P135" s="2">
        <v>6</v>
      </c>
      <c r="Q135" s="2">
        <v>724</v>
      </c>
      <c r="R135" s="13" t="s">
        <v>27</v>
      </c>
      <c r="S135" s="13" t="s">
        <v>27</v>
      </c>
    </row>
    <row r="136" spans="1:19" hidden="1" x14ac:dyDescent="0.3">
      <c r="A136" s="14">
        <v>43891.708333333336</v>
      </c>
      <c r="B136" s="13" t="s">
        <v>23</v>
      </c>
      <c r="C136" s="2">
        <v>7</v>
      </c>
      <c r="D136" s="13" t="s">
        <v>51</v>
      </c>
      <c r="E136" s="2">
        <v>4441149315</v>
      </c>
      <c r="F136" s="2">
        <v>89326992</v>
      </c>
      <c r="G136" s="2">
        <v>12</v>
      </c>
      <c r="H136" s="2">
        <v>1</v>
      </c>
      <c r="I136" s="2">
        <v>13</v>
      </c>
      <c r="J136" s="2">
        <v>8</v>
      </c>
      <c r="K136" s="2">
        <v>21</v>
      </c>
      <c r="L136" s="2">
        <v>-17</v>
      </c>
      <c r="M136" s="2">
        <v>-17</v>
      </c>
      <c r="N136" s="2">
        <v>4</v>
      </c>
      <c r="O136" s="2">
        <v>0</v>
      </c>
      <c r="P136" s="2">
        <v>25</v>
      </c>
      <c r="Q136" s="2">
        <v>121</v>
      </c>
      <c r="R136" s="13" t="s">
        <v>27</v>
      </c>
      <c r="S136" s="13" t="s">
        <v>27</v>
      </c>
    </row>
    <row r="137" spans="1:19" x14ac:dyDescent="0.3">
      <c r="A137" s="14">
        <v>43891.708333333336</v>
      </c>
      <c r="B137" s="13" t="s">
        <v>23</v>
      </c>
      <c r="C137" s="2">
        <v>3</v>
      </c>
      <c r="D137" s="13" t="s">
        <v>52</v>
      </c>
      <c r="E137" s="2">
        <v>4546679409</v>
      </c>
      <c r="F137" s="2">
        <v>9190347404</v>
      </c>
      <c r="G137" s="2">
        <v>406</v>
      </c>
      <c r="H137" s="2">
        <v>106</v>
      </c>
      <c r="I137" s="2">
        <v>512</v>
      </c>
      <c r="J137" s="2">
        <v>375</v>
      </c>
      <c r="K137" s="2">
        <v>887</v>
      </c>
      <c r="L137" s="2">
        <v>335</v>
      </c>
      <c r="M137" s="2">
        <v>369</v>
      </c>
      <c r="N137" s="2">
        <v>73</v>
      </c>
      <c r="O137" s="2">
        <v>24</v>
      </c>
      <c r="P137" s="2">
        <v>984</v>
      </c>
      <c r="Q137" s="2">
        <v>6879</v>
      </c>
      <c r="R137" s="13" t="s">
        <v>27</v>
      </c>
      <c r="S137" s="13" t="s">
        <v>27</v>
      </c>
    </row>
    <row r="138" spans="1:19" hidden="1" x14ac:dyDescent="0.3">
      <c r="A138" s="14">
        <v>43891.708333333336</v>
      </c>
      <c r="B138" s="13" t="s">
        <v>23</v>
      </c>
      <c r="C138" s="2">
        <v>11</v>
      </c>
      <c r="D138" s="13" t="s">
        <v>53</v>
      </c>
      <c r="E138" s="2">
        <v>4361675973</v>
      </c>
      <c r="F138" s="2">
        <v>135188753</v>
      </c>
      <c r="G138" s="2">
        <v>12</v>
      </c>
      <c r="H138" s="2">
        <v>5</v>
      </c>
      <c r="I138" s="2">
        <v>17</v>
      </c>
      <c r="J138" s="2">
        <v>8</v>
      </c>
      <c r="K138" s="2">
        <v>25</v>
      </c>
      <c r="L138" s="2">
        <v>14</v>
      </c>
      <c r="M138" s="2">
        <v>14</v>
      </c>
      <c r="N138" s="2">
        <v>0</v>
      </c>
      <c r="O138" s="2">
        <v>0</v>
      </c>
      <c r="P138" s="2">
        <v>25</v>
      </c>
      <c r="Q138" s="2">
        <v>101</v>
      </c>
      <c r="R138" s="13" t="s">
        <v>27</v>
      </c>
      <c r="S138" s="13" t="s">
        <v>27</v>
      </c>
    </row>
    <row r="139" spans="1:19" hidden="1" x14ac:dyDescent="0.3">
      <c r="A139" s="14">
        <v>43891.708333333336</v>
      </c>
      <c r="B139" s="13" t="s">
        <v>23</v>
      </c>
      <c r="C139" s="2">
        <v>14</v>
      </c>
      <c r="D139" s="13" t="s">
        <v>54</v>
      </c>
      <c r="E139" s="2">
        <v>4155774754</v>
      </c>
      <c r="F139" s="2">
        <v>1465916051</v>
      </c>
      <c r="G139" s="2">
        <v>0</v>
      </c>
      <c r="H139" s="2">
        <v>0</v>
      </c>
      <c r="I139" s="2">
        <v>0</v>
      </c>
      <c r="J139" s="2">
        <v>0</v>
      </c>
      <c r="K139" s="2">
        <v>0</v>
      </c>
      <c r="L139" s="2">
        <v>0</v>
      </c>
      <c r="M139" s="2">
        <v>0</v>
      </c>
      <c r="N139" s="2">
        <v>0</v>
      </c>
      <c r="O139" s="2">
        <v>0</v>
      </c>
      <c r="P139" s="2">
        <v>0</v>
      </c>
      <c r="Q139" s="2">
        <v>6</v>
      </c>
      <c r="R139" s="13" t="s">
        <v>27</v>
      </c>
      <c r="S139" s="13" t="s">
        <v>27</v>
      </c>
    </row>
    <row r="140" spans="1:19" hidden="1" x14ac:dyDescent="0.3">
      <c r="A140" s="14">
        <v>43891.708333333336</v>
      </c>
      <c r="B140" s="13" t="s">
        <v>23</v>
      </c>
      <c r="C140" s="2">
        <v>1</v>
      </c>
      <c r="D140" s="13" t="s">
        <v>55</v>
      </c>
      <c r="E140" s="2">
        <v>450732745</v>
      </c>
      <c r="F140" s="2">
        <v>7680687483</v>
      </c>
      <c r="G140" s="2">
        <v>11</v>
      </c>
      <c r="H140" s="2">
        <v>2</v>
      </c>
      <c r="I140" s="2">
        <v>13</v>
      </c>
      <c r="J140" s="2">
        <v>36</v>
      </c>
      <c r="K140" s="2">
        <v>49</v>
      </c>
      <c r="L140" s="2">
        <v>38</v>
      </c>
      <c r="M140" s="2">
        <v>38</v>
      </c>
      <c r="N140" s="2">
        <v>0</v>
      </c>
      <c r="O140" s="2">
        <v>0</v>
      </c>
      <c r="P140" s="2">
        <v>49</v>
      </c>
      <c r="Q140" s="2">
        <v>362</v>
      </c>
      <c r="R140" s="13" t="s">
        <v>27</v>
      </c>
      <c r="S140" s="13" t="s">
        <v>27</v>
      </c>
    </row>
    <row r="141" spans="1:19" hidden="1" x14ac:dyDescent="0.3">
      <c r="A141" s="14">
        <v>43891.708333333336</v>
      </c>
      <c r="B141" s="13" t="s">
        <v>23</v>
      </c>
      <c r="C141" s="2">
        <v>16</v>
      </c>
      <c r="D141" s="13" t="s">
        <v>56</v>
      </c>
      <c r="E141" s="2">
        <v>4112559576</v>
      </c>
      <c r="F141" s="2">
        <v>1686736689</v>
      </c>
      <c r="G141" s="2">
        <v>1</v>
      </c>
      <c r="H141" s="2">
        <v>0</v>
      </c>
      <c r="I141" s="2">
        <v>1</v>
      </c>
      <c r="J141" s="2">
        <v>2</v>
      </c>
      <c r="K141" s="2">
        <v>3</v>
      </c>
      <c r="L141" s="2">
        <v>0</v>
      </c>
      <c r="M141" s="2">
        <v>0</v>
      </c>
      <c r="N141" s="2">
        <v>0</v>
      </c>
      <c r="O141" s="2">
        <v>0</v>
      </c>
      <c r="P141" s="2">
        <v>3</v>
      </c>
      <c r="Q141" s="2">
        <v>262</v>
      </c>
      <c r="R141" s="13" t="s">
        <v>27</v>
      </c>
      <c r="S141" s="13" t="s">
        <v>27</v>
      </c>
    </row>
    <row r="142" spans="1:19" hidden="1" x14ac:dyDescent="0.3">
      <c r="A142" s="14">
        <v>43891.708333333336</v>
      </c>
      <c r="B142" s="13" t="s">
        <v>23</v>
      </c>
      <c r="C142" s="2">
        <v>20</v>
      </c>
      <c r="D142" s="13" t="s">
        <v>57</v>
      </c>
      <c r="E142" s="2">
        <v>3921531192</v>
      </c>
      <c r="F142" s="2">
        <v>9110616306</v>
      </c>
      <c r="G142" s="2">
        <v>0</v>
      </c>
      <c r="H142" s="2">
        <v>0</v>
      </c>
      <c r="I142" s="2">
        <v>0</v>
      </c>
      <c r="J142" s="2">
        <v>0</v>
      </c>
      <c r="K142" s="2">
        <v>0</v>
      </c>
      <c r="L142" s="2">
        <v>0</v>
      </c>
      <c r="M142" s="2">
        <v>0</v>
      </c>
      <c r="N142" s="2">
        <v>0</v>
      </c>
      <c r="O142" s="2">
        <v>0</v>
      </c>
      <c r="P142" s="2">
        <v>0</v>
      </c>
      <c r="Q142" s="2">
        <v>29</v>
      </c>
      <c r="R142" s="13" t="s">
        <v>27</v>
      </c>
      <c r="S142" s="13" t="s">
        <v>27</v>
      </c>
    </row>
    <row r="143" spans="1:19" hidden="1" x14ac:dyDescent="0.3">
      <c r="A143" s="14">
        <v>43891.708333333336</v>
      </c>
      <c r="B143" s="13" t="s">
        <v>23</v>
      </c>
      <c r="C143" s="2">
        <v>19</v>
      </c>
      <c r="D143" s="13" t="s">
        <v>58</v>
      </c>
      <c r="E143" s="2">
        <v>3811569725</v>
      </c>
      <c r="F143" s="2">
        <v>133623567</v>
      </c>
      <c r="G143" s="2">
        <v>1</v>
      </c>
      <c r="H143" s="2">
        <v>0</v>
      </c>
      <c r="I143" s="2">
        <v>1</v>
      </c>
      <c r="J143" s="2">
        <v>6</v>
      </c>
      <c r="K143" s="2">
        <v>7</v>
      </c>
      <c r="L143" s="2">
        <v>5</v>
      </c>
      <c r="M143" s="2">
        <v>5</v>
      </c>
      <c r="N143" s="2">
        <v>2</v>
      </c>
      <c r="O143" s="2">
        <v>0</v>
      </c>
      <c r="P143" s="2">
        <v>9</v>
      </c>
      <c r="Q143" s="2">
        <v>291</v>
      </c>
      <c r="R143" s="13" t="s">
        <v>27</v>
      </c>
      <c r="S143" s="13" t="s">
        <v>27</v>
      </c>
    </row>
    <row r="144" spans="1:19" hidden="1" x14ac:dyDescent="0.3">
      <c r="A144" s="14">
        <v>43891.708333333336</v>
      </c>
      <c r="B144" s="13" t="s">
        <v>23</v>
      </c>
      <c r="C144" s="2">
        <v>9</v>
      </c>
      <c r="D144" s="13" t="s">
        <v>59</v>
      </c>
      <c r="E144" s="2">
        <v>4376923077</v>
      </c>
      <c r="F144" s="2">
        <v>1125588885</v>
      </c>
      <c r="G144" s="2">
        <v>7</v>
      </c>
      <c r="H144" s="2">
        <v>0</v>
      </c>
      <c r="I144" s="2">
        <v>7</v>
      </c>
      <c r="J144" s="2">
        <v>5</v>
      </c>
      <c r="K144" s="2">
        <v>12</v>
      </c>
      <c r="L144" s="2">
        <v>2</v>
      </c>
      <c r="M144" s="2">
        <v>2</v>
      </c>
      <c r="N144" s="2">
        <v>1</v>
      </c>
      <c r="O144" s="2">
        <v>0</v>
      </c>
      <c r="P144" s="2">
        <v>13</v>
      </c>
      <c r="Q144" s="2">
        <v>572</v>
      </c>
      <c r="R144" s="13" t="s">
        <v>27</v>
      </c>
      <c r="S144" s="13" t="s">
        <v>27</v>
      </c>
    </row>
    <row r="145" spans="1:19" hidden="1" x14ac:dyDescent="0.3">
      <c r="A145" s="14">
        <v>43891.708333333336</v>
      </c>
      <c r="B145" s="13" t="s">
        <v>23</v>
      </c>
      <c r="C145" s="2">
        <v>4</v>
      </c>
      <c r="D145" s="13" t="s">
        <v>60</v>
      </c>
      <c r="E145" s="2">
        <v>4606893511</v>
      </c>
      <c r="F145" s="2">
        <v>1112123097</v>
      </c>
      <c r="G145" s="2">
        <v>0</v>
      </c>
      <c r="H145" s="2">
        <v>0</v>
      </c>
      <c r="I145" s="2">
        <v>0</v>
      </c>
      <c r="J145" s="2">
        <v>0</v>
      </c>
      <c r="K145" s="2">
        <v>0</v>
      </c>
      <c r="L145" s="2">
        <v>0</v>
      </c>
      <c r="M145" s="2">
        <v>0</v>
      </c>
      <c r="N145" s="2">
        <v>0</v>
      </c>
      <c r="O145" s="2">
        <v>0</v>
      </c>
      <c r="P145" s="2">
        <v>0</v>
      </c>
      <c r="Q145" s="2">
        <v>122</v>
      </c>
      <c r="R145" s="13" t="s">
        <v>27</v>
      </c>
      <c r="S145" s="13" t="s">
        <v>27</v>
      </c>
    </row>
    <row r="146" spans="1:19" hidden="1" x14ac:dyDescent="0.3">
      <c r="A146" s="14">
        <v>43891.708333333336</v>
      </c>
      <c r="B146" s="13" t="s">
        <v>23</v>
      </c>
      <c r="C146" s="2">
        <v>10</v>
      </c>
      <c r="D146" s="13" t="s">
        <v>61</v>
      </c>
      <c r="E146" s="2">
        <v>4310675841</v>
      </c>
      <c r="F146" s="2">
        <v>1238824698</v>
      </c>
      <c r="G146" s="2">
        <v>0</v>
      </c>
      <c r="H146" s="2">
        <v>0</v>
      </c>
      <c r="I146" s="2">
        <v>0</v>
      </c>
      <c r="J146" s="2">
        <v>2</v>
      </c>
      <c r="K146" s="2">
        <v>2</v>
      </c>
      <c r="L146" s="2">
        <v>2</v>
      </c>
      <c r="M146" s="2">
        <v>2</v>
      </c>
      <c r="N146" s="2">
        <v>0</v>
      </c>
      <c r="O146" s="2">
        <v>0</v>
      </c>
      <c r="P146" s="2">
        <v>2</v>
      </c>
      <c r="Q146" s="2">
        <v>35</v>
      </c>
      <c r="R146" s="13" t="s">
        <v>27</v>
      </c>
      <c r="S146" s="13" t="s">
        <v>27</v>
      </c>
    </row>
    <row r="147" spans="1:19" hidden="1" x14ac:dyDescent="0.3">
      <c r="A147" s="14">
        <v>43891.708333333336</v>
      </c>
      <c r="B147" s="13" t="s">
        <v>23</v>
      </c>
      <c r="C147" s="2">
        <v>2</v>
      </c>
      <c r="D147" s="13" t="s">
        <v>62</v>
      </c>
      <c r="E147" s="2">
        <v>4573750286</v>
      </c>
      <c r="F147" s="2">
        <v>7320149366</v>
      </c>
      <c r="G147" s="2">
        <v>0</v>
      </c>
      <c r="H147" s="2">
        <v>0</v>
      </c>
      <c r="I147" s="2">
        <v>0</v>
      </c>
      <c r="J147" s="2">
        <v>0</v>
      </c>
      <c r="K147" s="2">
        <v>0</v>
      </c>
      <c r="L147" s="2">
        <v>0</v>
      </c>
      <c r="M147" s="2">
        <v>0</v>
      </c>
      <c r="N147" s="2">
        <v>0</v>
      </c>
      <c r="O147" s="2">
        <v>0</v>
      </c>
      <c r="P147" s="2">
        <v>0</v>
      </c>
      <c r="Q147" s="2">
        <v>10</v>
      </c>
      <c r="R147" s="13" t="s">
        <v>27</v>
      </c>
      <c r="S147" s="13" t="s">
        <v>27</v>
      </c>
    </row>
    <row r="148" spans="1:19" hidden="1" x14ac:dyDescent="0.3">
      <c r="A148" s="14">
        <v>43891.708333333336</v>
      </c>
      <c r="B148" s="13" t="s">
        <v>23</v>
      </c>
      <c r="C148" s="2">
        <v>5</v>
      </c>
      <c r="D148" s="13" t="s">
        <v>63</v>
      </c>
      <c r="E148" s="2">
        <v>4543490485</v>
      </c>
      <c r="F148" s="2">
        <v>1233845213</v>
      </c>
      <c r="G148" s="2">
        <v>51</v>
      </c>
      <c r="H148" s="2">
        <v>13</v>
      </c>
      <c r="I148" s="2">
        <v>64</v>
      </c>
      <c r="J148" s="2">
        <v>197</v>
      </c>
      <c r="K148" s="2">
        <v>261</v>
      </c>
      <c r="L148" s="2">
        <v>72</v>
      </c>
      <c r="M148" s="2">
        <v>72</v>
      </c>
      <c r="N148" s="2">
        <v>0</v>
      </c>
      <c r="O148" s="2">
        <v>2</v>
      </c>
      <c r="P148" s="2">
        <v>263</v>
      </c>
      <c r="Q148" s="2">
        <v>9056</v>
      </c>
      <c r="R148" s="13" t="s">
        <v>27</v>
      </c>
      <c r="S148" s="13" t="s">
        <v>27</v>
      </c>
    </row>
    <row r="149" spans="1:19" hidden="1" x14ac:dyDescent="0.3">
      <c r="A149" s="14">
        <v>43892.75</v>
      </c>
      <c r="B149" s="13" t="s">
        <v>23</v>
      </c>
      <c r="C149" s="2">
        <v>13</v>
      </c>
      <c r="D149" s="13" t="s">
        <v>44</v>
      </c>
      <c r="E149" s="2">
        <v>4235122196</v>
      </c>
      <c r="F149" s="2">
        <v>1339843823</v>
      </c>
      <c r="G149" s="2">
        <v>3</v>
      </c>
      <c r="H149" s="2">
        <v>0</v>
      </c>
      <c r="I149" s="2">
        <v>3</v>
      </c>
      <c r="J149" s="2">
        <v>2</v>
      </c>
      <c r="K149" s="2">
        <v>5</v>
      </c>
      <c r="L149" s="2">
        <v>0</v>
      </c>
      <c r="M149" s="2">
        <v>0</v>
      </c>
      <c r="N149" s="2">
        <v>0</v>
      </c>
      <c r="O149" s="2">
        <v>0</v>
      </c>
      <c r="P149" s="2">
        <v>5</v>
      </c>
      <c r="Q149" s="2">
        <v>52</v>
      </c>
      <c r="R149" s="13" t="s">
        <v>27</v>
      </c>
      <c r="S149" s="13" t="s">
        <v>27</v>
      </c>
    </row>
    <row r="150" spans="1:19" hidden="1" x14ac:dyDescent="0.3">
      <c r="A150" s="14">
        <v>43892.75</v>
      </c>
      <c r="B150" s="13" t="s">
        <v>23</v>
      </c>
      <c r="C150" s="2">
        <v>17</v>
      </c>
      <c r="D150" s="13" t="s">
        <v>45</v>
      </c>
      <c r="E150" s="2">
        <v>4063947052</v>
      </c>
      <c r="F150" s="2">
        <v>1580514834</v>
      </c>
      <c r="G150" s="2">
        <v>0</v>
      </c>
      <c r="H150" s="2">
        <v>0</v>
      </c>
      <c r="I150" s="2">
        <v>0</v>
      </c>
      <c r="J150" s="2">
        <v>0</v>
      </c>
      <c r="K150" s="2">
        <v>0</v>
      </c>
      <c r="L150" s="2">
        <v>0</v>
      </c>
      <c r="M150" s="2">
        <v>0</v>
      </c>
      <c r="N150" s="2">
        <v>0</v>
      </c>
      <c r="O150" s="2">
        <v>0</v>
      </c>
      <c r="P150" s="2">
        <v>0</v>
      </c>
      <c r="Q150" s="2">
        <v>39</v>
      </c>
      <c r="R150" s="13" t="s">
        <v>27</v>
      </c>
      <c r="S150" s="13" t="s">
        <v>27</v>
      </c>
    </row>
    <row r="151" spans="1:19" hidden="1" x14ac:dyDescent="0.3">
      <c r="A151" s="14">
        <v>43892.75</v>
      </c>
      <c r="B151" s="13" t="s">
        <v>23</v>
      </c>
      <c r="C151" s="2">
        <v>4</v>
      </c>
      <c r="D151" s="13" t="s">
        <v>46</v>
      </c>
      <c r="E151" s="2">
        <v>4649933453</v>
      </c>
      <c r="F151" s="2">
        <v>1135662422</v>
      </c>
      <c r="G151" s="2">
        <v>1</v>
      </c>
      <c r="H151" s="2">
        <v>0</v>
      </c>
      <c r="I151" s="2">
        <v>1</v>
      </c>
      <c r="J151" s="2">
        <v>0</v>
      </c>
      <c r="K151" s="2">
        <v>1</v>
      </c>
      <c r="L151" s="2">
        <v>0</v>
      </c>
      <c r="M151" s="2">
        <v>0</v>
      </c>
      <c r="N151" s="2">
        <v>0</v>
      </c>
      <c r="O151" s="2">
        <v>0</v>
      </c>
      <c r="P151" s="2">
        <v>1</v>
      </c>
      <c r="Q151" s="2">
        <v>20</v>
      </c>
      <c r="R151" s="13" t="s">
        <v>27</v>
      </c>
      <c r="S151" s="13" t="s">
        <v>27</v>
      </c>
    </row>
    <row r="152" spans="1:19" hidden="1" x14ac:dyDescent="0.3">
      <c r="A152" s="14">
        <v>43892.75</v>
      </c>
      <c r="B152" s="13" t="s">
        <v>23</v>
      </c>
      <c r="C152" s="2">
        <v>18</v>
      </c>
      <c r="D152" s="13" t="s">
        <v>47</v>
      </c>
      <c r="E152" s="2">
        <v>3890597598</v>
      </c>
      <c r="F152" s="2">
        <v>1659440194</v>
      </c>
      <c r="G152" s="2">
        <v>0</v>
      </c>
      <c r="H152" s="2">
        <v>0</v>
      </c>
      <c r="I152" s="2">
        <v>0</v>
      </c>
      <c r="J152" s="2">
        <v>1</v>
      </c>
      <c r="K152" s="2">
        <v>1</v>
      </c>
      <c r="L152" s="2">
        <v>0</v>
      </c>
      <c r="M152" s="2">
        <v>0</v>
      </c>
      <c r="N152" s="2">
        <v>0</v>
      </c>
      <c r="O152" s="2">
        <v>0</v>
      </c>
      <c r="P152" s="2">
        <v>1</v>
      </c>
      <c r="Q152" s="2">
        <v>39</v>
      </c>
      <c r="R152" s="13" t="s">
        <v>27</v>
      </c>
      <c r="S152" s="13" t="s">
        <v>27</v>
      </c>
    </row>
    <row r="153" spans="1:19" hidden="1" x14ac:dyDescent="0.3">
      <c r="A153" s="14">
        <v>43892.75</v>
      </c>
      <c r="B153" s="13" t="s">
        <v>23</v>
      </c>
      <c r="C153" s="2">
        <v>15</v>
      </c>
      <c r="D153" s="13" t="s">
        <v>48</v>
      </c>
      <c r="E153" s="2">
        <v>4083956555</v>
      </c>
      <c r="F153" s="2">
        <v>1425084984</v>
      </c>
      <c r="G153" s="2">
        <v>4</v>
      </c>
      <c r="H153" s="2">
        <v>0</v>
      </c>
      <c r="I153" s="2">
        <v>4</v>
      </c>
      <c r="J153" s="2">
        <v>13</v>
      </c>
      <c r="K153" s="2">
        <v>17</v>
      </c>
      <c r="L153" s="2">
        <v>0</v>
      </c>
      <c r="M153" s="2">
        <v>0</v>
      </c>
      <c r="N153" s="2">
        <v>0</v>
      </c>
      <c r="O153" s="2">
        <v>0</v>
      </c>
      <c r="P153" s="2">
        <v>17</v>
      </c>
      <c r="Q153" s="2">
        <v>373</v>
      </c>
      <c r="R153" s="13" t="s">
        <v>27</v>
      </c>
      <c r="S153" s="13" t="s">
        <v>27</v>
      </c>
    </row>
    <row r="154" spans="1:19" hidden="1" x14ac:dyDescent="0.3">
      <c r="A154" s="14">
        <v>43892.75</v>
      </c>
      <c r="B154" s="13" t="s">
        <v>23</v>
      </c>
      <c r="C154" s="2">
        <v>8</v>
      </c>
      <c r="D154" s="13" t="s">
        <v>98</v>
      </c>
      <c r="E154" s="2">
        <v>4449436681</v>
      </c>
      <c r="F154" s="2">
        <v>113417208</v>
      </c>
      <c r="G154" s="2">
        <v>148</v>
      </c>
      <c r="H154" s="2">
        <v>16</v>
      </c>
      <c r="I154" s="2">
        <v>164</v>
      </c>
      <c r="J154" s="2">
        <v>160</v>
      </c>
      <c r="K154" s="2">
        <v>324</v>
      </c>
      <c r="L154" s="2">
        <v>47</v>
      </c>
      <c r="M154" s="2">
        <v>50</v>
      </c>
      <c r="N154" s="2">
        <v>0</v>
      </c>
      <c r="O154" s="2">
        <v>11</v>
      </c>
      <c r="P154" s="2">
        <v>335</v>
      </c>
      <c r="Q154" s="2">
        <v>1973</v>
      </c>
      <c r="R154" s="13" t="s">
        <v>27</v>
      </c>
      <c r="S154" s="13" t="s">
        <v>27</v>
      </c>
    </row>
    <row r="155" spans="1:19" hidden="1" x14ac:dyDescent="0.3">
      <c r="A155" s="14">
        <v>43892.75</v>
      </c>
      <c r="B155" s="13" t="s">
        <v>23</v>
      </c>
      <c r="C155" s="2">
        <v>6</v>
      </c>
      <c r="D155" s="13" t="s">
        <v>49</v>
      </c>
      <c r="E155" s="2">
        <v>456494354</v>
      </c>
      <c r="F155" s="2">
        <v>1376813649</v>
      </c>
      <c r="G155" s="2">
        <v>0</v>
      </c>
      <c r="H155" s="2">
        <v>0</v>
      </c>
      <c r="I155" s="2">
        <v>0</v>
      </c>
      <c r="J155" s="2">
        <v>9</v>
      </c>
      <c r="K155" s="2">
        <v>9</v>
      </c>
      <c r="L155" s="2">
        <v>3</v>
      </c>
      <c r="M155" s="2">
        <v>3</v>
      </c>
      <c r="N155" s="2">
        <v>0</v>
      </c>
      <c r="O155" s="2">
        <v>0</v>
      </c>
      <c r="P155" s="2">
        <v>9</v>
      </c>
      <c r="Q155" s="2">
        <v>269</v>
      </c>
      <c r="R155" s="13" t="s">
        <v>27</v>
      </c>
      <c r="S155" s="13" t="s">
        <v>27</v>
      </c>
    </row>
    <row r="156" spans="1:19" hidden="1" x14ac:dyDescent="0.3">
      <c r="A156" s="14">
        <v>43892.75</v>
      </c>
      <c r="B156" s="13" t="s">
        <v>23</v>
      </c>
      <c r="C156" s="2">
        <v>12</v>
      </c>
      <c r="D156" s="13" t="s">
        <v>50</v>
      </c>
      <c r="E156" s="2">
        <v>4189277044</v>
      </c>
      <c r="F156" s="2">
        <v>1248366722</v>
      </c>
      <c r="G156" s="2">
        <v>3</v>
      </c>
      <c r="H156" s="2">
        <v>0</v>
      </c>
      <c r="I156" s="2">
        <v>3</v>
      </c>
      <c r="J156" s="2">
        <v>1</v>
      </c>
      <c r="K156" s="2">
        <v>4</v>
      </c>
      <c r="L156" s="2">
        <v>1</v>
      </c>
      <c r="M156" s="2">
        <v>1</v>
      </c>
      <c r="N156" s="2">
        <v>3</v>
      </c>
      <c r="O156" s="2">
        <v>0</v>
      </c>
      <c r="P156" s="2">
        <v>7</v>
      </c>
      <c r="Q156" s="2">
        <v>773</v>
      </c>
      <c r="R156" s="13" t="s">
        <v>27</v>
      </c>
      <c r="S156" s="13" t="s">
        <v>27</v>
      </c>
    </row>
    <row r="157" spans="1:19" hidden="1" x14ac:dyDescent="0.3">
      <c r="A157" s="14">
        <v>43892.75</v>
      </c>
      <c r="B157" s="13" t="s">
        <v>23</v>
      </c>
      <c r="C157" s="2">
        <v>7</v>
      </c>
      <c r="D157" s="13" t="s">
        <v>51</v>
      </c>
      <c r="E157" s="2">
        <v>4441149315</v>
      </c>
      <c r="F157" s="2">
        <v>89326992</v>
      </c>
      <c r="G157" s="2">
        <v>12</v>
      </c>
      <c r="H157" s="2">
        <v>1</v>
      </c>
      <c r="I157" s="2">
        <v>13</v>
      </c>
      <c r="J157" s="2">
        <v>5</v>
      </c>
      <c r="K157" s="2">
        <v>18</v>
      </c>
      <c r="L157" s="2">
        <v>-3</v>
      </c>
      <c r="M157" s="2">
        <v>-3</v>
      </c>
      <c r="N157" s="2">
        <v>4</v>
      </c>
      <c r="O157" s="2">
        <v>0</v>
      </c>
      <c r="P157" s="2">
        <v>22</v>
      </c>
      <c r="Q157" s="2">
        <v>121</v>
      </c>
      <c r="R157" s="13" t="s">
        <v>27</v>
      </c>
      <c r="S157" s="13" t="s">
        <v>27</v>
      </c>
    </row>
    <row r="158" spans="1:19" x14ac:dyDescent="0.3">
      <c r="A158" s="14">
        <v>43892.75</v>
      </c>
      <c r="B158" s="13" t="s">
        <v>23</v>
      </c>
      <c r="C158" s="2">
        <v>3</v>
      </c>
      <c r="D158" s="13" t="s">
        <v>52</v>
      </c>
      <c r="E158" s="2">
        <v>4546679409</v>
      </c>
      <c r="F158" s="2">
        <v>9190347404</v>
      </c>
      <c r="G158" s="2">
        <v>478</v>
      </c>
      <c r="H158" s="2">
        <v>127</v>
      </c>
      <c r="I158" s="2">
        <v>605</v>
      </c>
      <c r="J158" s="2">
        <v>472</v>
      </c>
      <c r="K158" s="2">
        <v>1077</v>
      </c>
      <c r="L158" s="2">
        <v>190</v>
      </c>
      <c r="M158" s="2">
        <v>270</v>
      </c>
      <c r="N158" s="2">
        <v>139</v>
      </c>
      <c r="O158" s="2">
        <v>38</v>
      </c>
      <c r="P158" s="2">
        <v>1254</v>
      </c>
      <c r="Q158" s="2">
        <v>7925</v>
      </c>
      <c r="R158" s="13" t="s">
        <v>27</v>
      </c>
      <c r="S158" s="13" t="s">
        <v>27</v>
      </c>
    </row>
    <row r="159" spans="1:19" hidden="1" x14ac:dyDescent="0.3">
      <c r="A159" s="14">
        <v>43892.75</v>
      </c>
      <c r="B159" s="13" t="s">
        <v>23</v>
      </c>
      <c r="C159" s="2">
        <v>11</v>
      </c>
      <c r="D159" s="13" t="s">
        <v>53</v>
      </c>
      <c r="E159" s="2">
        <v>4361675973</v>
      </c>
      <c r="F159" s="2">
        <v>135188753</v>
      </c>
      <c r="G159" s="2">
        <v>17</v>
      </c>
      <c r="H159" s="2">
        <v>6</v>
      </c>
      <c r="I159" s="2">
        <v>23</v>
      </c>
      <c r="J159" s="2">
        <v>11</v>
      </c>
      <c r="K159" s="2">
        <v>34</v>
      </c>
      <c r="L159" s="2">
        <v>9</v>
      </c>
      <c r="M159" s="2">
        <v>10</v>
      </c>
      <c r="N159" s="2">
        <v>0</v>
      </c>
      <c r="O159" s="2">
        <v>1</v>
      </c>
      <c r="P159" s="2">
        <v>35</v>
      </c>
      <c r="Q159" s="2">
        <v>137</v>
      </c>
      <c r="R159" s="13" t="s">
        <v>27</v>
      </c>
      <c r="S159" s="13" t="s">
        <v>27</v>
      </c>
    </row>
    <row r="160" spans="1:19" hidden="1" x14ac:dyDescent="0.3">
      <c r="A160" s="14">
        <v>43892.75</v>
      </c>
      <c r="B160" s="13" t="s">
        <v>23</v>
      </c>
      <c r="C160" s="2">
        <v>14</v>
      </c>
      <c r="D160" s="13" t="s">
        <v>54</v>
      </c>
      <c r="E160" s="2">
        <v>4155774754</v>
      </c>
      <c r="F160" s="2">
        <v>1465916051</v>
      </c>
      <c r="G160" s="2">
        <v>0</v>
      </c>
      <c r="H160" s="2">
        <v>0</v>
      </c>
      <c r="I160" s="2">
        <v>0</v>
      </c>
      <c r="J160" s="2">
        <v>0</v>
      </c>
      <c r="K160" s="2">
        <v>0</v>
      </c>
      <c r="L160" s="2">
        <v>0</v>
      </c>
      <c r="M160" s="2">
        <v>0</v>
      </c>
      <c r="N160" s="2">
        <v>0</v>
      </c>
      <c r="O160" s="2">
        <v>0</v>
      </c>
      <c r="P160" s="2">
        <v>0</v>
      </c>
      <c r="Q160" s="2">
        <v>13</v>
      </c>
      <c r="R160" s="13" t="s">
        <v>27</v>
      </c>
      <c r="S160" s="13" t="s">
        <v>27</v>
      </c>
    </row>
    <row r="161" spans="1:19" hidden="1" x14ac:dyDescent="0.3">
      <c r="A161" s="14">
        <v>43892.75</v>
      </c>
      <c r="B161" s="13" t="s">
        <v>23</v>
      </c>
      <c r="C161" s="2">
        <v>1</v>
      </c>
      <c r="D161" s="13" t="s">
        <v>55</v>
      </c>
      <c r="E161" s="2">
        <v>450732745</v>
      </c>
      <c r="F161" s="2">
        <v>7680687483</v>
      </c>
      <c r="G161" s="2">
        <v>12</v>
      </c>
      <c r="H161" s="2">
        <v>2</v>
      </c>
      <c r="I161" s="2">
        <v>14</v>
      </c>
      <c r="J161" s="2">
        <v>37</v>
      </c>
      <c r="K161" s="2">
        <v>51</v>
      </c>
      <c r="L161" s="2">
        <v>2</v>
      </c>
      <c r="M161" s="2">
        <v>2</v>
      </c>
      <c r="N161" s="2">
        <v>0</v>
      </c>
      <c r="O161" s="2">
        <v>0</v>
      </c>
      <c r="P161" s="2">
        <v>51</v>
      </c>
      <c r="Q161" s="2">
        <v>434</v>
      </c>
      <c r="R161" s="13" t="s">
        <v>27</v>
      </c>
      <c r="S161" s="13" t="s">
        <v>27</v>
      </c>
    </row>
    <row r="162" spans="1:19" hidden="1" x14ac:dyDescent="0.3">
      <c r="A162" s="14">
        <v>43892.75</v>
      </c>
      <c r="B162" s="13" t="s">
        <v>23</v>
      </c>
      <c r="C162" s="2">
        <v>16</v>
      </c>
      <c r="D162" s="13" t="s">
        <v>56</v>
      </c>
      <c r="E162" s="2">
        <v>4112559576</v>
      </c>
      <c r="F162" s="2">
        <v>1686736689</v>
      </c>
      <c r="G162" s="2">
        <v>2</v>
      </c>
      <c r="H162" s="2">
        <v>0</v>
      </c>
      <c r="I162" s="2">
        <v>2</v>
      </c>
      <c r="J162" s="2">
        <v>2</v>
      </c>
      <c r="K162" s="2">
        <v>4</v>
      </c>
      <c r="L162" s="2">
        <v>1</v>
      </c>
      <c r="M162" s="2">
        <v>1</v>
      </c>
      <c r="N162" s="2">
        <v>0</v>
      </c>
      <c r="O162" s="2">
        <v>0</v>
      </c>
      <c r="P162" s="2">
        <v>4</v>
      </c>
      <c r="Q162" s="2">
        <v>278</v>
      </c>
      <c r="R162" s="13" t="s">
        <v>27</v>
      </c>
      <c r="S162" s="13" t="s">
        <v>27</v>
      </c>
    </row>
    <row r="163" spans="1:19" hidden="1" x14ac:dyDescent="0.3">
      <c r="A163" s="14">
        <v>43892.75</v>
      </c>
      <c r="B163" s="13" t="s">
        <v>23</v>
      </c>
      <c r="C163" s="2">
        <v>20</v>
      </c>
      <c r="D163" s="13" t="s">
        <v>57</v>
      </c>
      <c r="E163" s="2">
        <v>3921531192</v>
      </c>
      <c r="F163" s="2">
        <v>9110616306</v>
      </c>
      <c r="G163" s="2">
        <v>0</v>
      </c>
      <c r="H163" s="2">
        <v>0</v>
      </c>
      <c r="I163" s="2">
        <v>0</v>
      </c>
      <c r="J163" s="2">
        <v>0</v>
      </c>
      <c r="K163" s="2">
        <v>0</v>
      </c>
      <c r="L163" s="2">
        <v>0</v>
      </c>
      <c r="M163" s="2">
        <v>0</v>
      </c>
      <c r="N163" s="2">
        <v>0</v>
      </c>
      <c r="O163" s="2">
        <v>0</v>
      </c>
      <c r="P163" s="2">
        <v>0</v>
      </c>
      <c r="Q163" s="2">
        <v>29</v>
      </c>
      <c r="R163" s="13" t="s">
        <v>27</v>
      </c>
      <c r="S163" s="13" t="s">
        <v>27</v>
      </c>
    </row>
    <row r="164" spans="1:19" hidden="1" x14ac:dyDescent="0.3">
      <c r="A164" s="14">
        <v>43892.75</v>
      </c>
      <c r="B164" s="13" t="s">
        <v>23</v>
      </c>
      <c r="C164" s="2">
        <v>19</v>
      </c>
      <c r="D164" s="13" t="s">
        <v>58</v>
      </c>
      <c r="E164" s="2">
        <v>3811569725</v>
      </c>
      <c r="F164" s="2">
        <v>133623567</v>
      </c>
      <c r="G164" s="2">
        <v>2</v>
      </c>
      <c r="H164" s="2">
        <v>0</v>
      </c>
      <c r="I164" s="2">
        <v>2</v>
      </c>
      <c r="J164" s="2">
        <v>3</v>
      </c>
      <c r="K164" s="2">
        <v>5</v>
      </c>
      <c r="L164" s="2">
        <v>-2</v>
      </c>
      <c r="M164" s="2">
        <v>-2</v>
      </c>
      <c r="N164" s="2">
        <v>2</v>
      </c>
      <c r="O164" s="2">
        <v>0</v>
      </c>
      <c r="P164" s="2">
        <v>7</v>
      </c>
      <c r="Q164" s="2">
        <v>307</v>
      </c>
      <c r="R164" s="13" t="s">
        <v>27</v>
      </c>
      <c r="S164" s="13" t="s">
        <v>27</v>
      </c>
    </row>
    <row r="165" spans="1:19" hidden="1" x14ac:dyDescent="0.3">
      <c r="A165" s="14">
        <v>43892.75</v>
      </c>
      <c r="B165" s="13" t="s">
        <v>23</v>
      </c>
      <c r="C165" s="2">
        <v>9</v>
      </c>
      <c r="D165" s="13" t="s">
        <v>59</v>
      </c>
      <c r="E165" s="2">
        <v>4376923077</v>
      </c>
      <c r="F165" s="2">
        <v>1125588885</v>
      </c>
      <c r="G165" s="2">
        <v>7</v>
      </c>
      <c r="H165" s="2">
        <v>0</v>
      </c>
      <c r="I165" s="2">
        <v>7</v>
      </c>
      <c r="J165" s="2">
        <v>5</v>
      </c>
      <c r="K165" s="2">
        <v>12</v>
      </c>
      <c r="L165" s="2">
        <v>0</v>
      </c>
      <c r="M165" s="2">
        <v>0</v>
      </c>
      <c r="N165" s="2">
        <v>1</v>
      </c>
      <c r="O165" s="2">
        <v>0</v>
      </c>
      <c r="P165" s="2">
        <v>13</v>
      </c>
      <c r="Q165" s="2">
        <v>613</v>
      </c>
      <c r="R165" s="13" t="s">
        <v>27</v>
      </c>
      <c r="S165" s="13" t="s">
        <v>27</v>
      </c>
    </row>
    <row r="166" spans="1:19" hidden="1" x14ac:dyDescent="0.3">
      <c r="A166" s="14">
        <v>43892.75</v>
      </c>
      <c r="B166" s="13" t="s">
        <v>23</v>
      </c>
      <c r="C166" s="2">
        <v>4</v>
      </c>
      <c r="D166" s="13" t="s">
        <v>60</v>
      </c>
      <c r="E166" s="2">
        <v>4606893511</v>
      </c>
      <c r="F166" s="2">
        <v>1112123097</v>
      </c>
      <c r="G166" s="2">
        <v>0</v>
      </c>
      <c r="H166" s="2">
        <v>0</v>
      </c>
      <c r="I166" s="2">
        <v>0</v>
      </c>
      <c r="J166" s="2">
        <v>0</v>
      </c>
      <c r="K166" s="2">
        <v>0</v>
      </c>
      <c r="L166" s="2">
        <v>0</v>
      </c>
      <c r="M166" s="2">
        <v>0</v>
      </c>
      <c r="N166" s="2">
        <v>0</v>
      </c>
      <c r="O166" s="2">
        <v>0</v>
      </c>
      <c r="P166" s="2">
        <v>0</v>
      </c>
      <c r="Q166" s="2">
        <v>122</v>
      </c>
      <c r="R166" s="13" t="s">
        <v>27</v>
      </c>
      <c r="S166" s="13" t="s">
        <v>27</v>
      </c>
    </row>
    <row r="167" spans="1:19" hidden="1" x14ac:dyDescent="0.3">
      <c r="A167" s="14">
        <v>43892.75</v>
      </c>
      <c r="B167" s="13" t="s">
        <v>23</v>
      </c>
      <c r="C167" s="2">
        <v>10</v>
      </c>
      <c r="D167" s="13" t="s">
        <v>61</v>
      </c>
      <c r="E167" s="2">
        <v>4310675841</v>
      </c>
      <c r="F167" s="2">
        <v>1238824698</v>
      </c>
      <c r="G167" s="2">
        <v>0</v>
      </c>
      <c r="H167" s="2">
        <v>0</v>
      </c>
      <c r="I167" s="2">
        <v>0</v>
      </c>
      <c r="J167" s="2">
        <v>2</v>
      </c>
      <c r="K167" s="2">
        <v>2</v>
      </c>
      <c r="L167" s="2">
        <v>0</v>
      </c>
      <c r="M167" s="2">
        <v>0</v>
      </c>
      <c r="N167" s="2">
        <v>0</v>
      </c>
      <c r="O167" s="2">
        <v>0</v>
      </c>
      <c r="P167" s="2">
        <v>2</v>
      </c>
      <c r="Q167" s="2">
        <v>35</v>
      </c>
      <c r="R167" s="13" t="s">
        <v>27</v>
      </c>
      <c r="S167" s="13" t="s">
        <v>27</v>
      </c>
    </row>
    <row r="168" spans="1:19" hidden="1" x14ac:dyDescent="0.3">
      <c r="A168" s="14">
        <v>43892.75</v>
      </c>
      <c r="B168" s="13" t="s">
        <v>23</v>
      </c>
      <c r="C168" s="2">
        <v>2</v>
      </c>
      <c r="D168" s="13" t="s">
        <v>62</v>
      </c>
      <c r="E168" s="2">
        <v>4573750286</v>
      </c>
      <c r="F168" s="2">
        <v>7320149366</v>
      </c>
      <c r="G168" s="2">
        <v>0</v>
      </c>
      <c r="H168" s="2">
        <v>0</v>
      </c>
      <c r="I168" s="2">
        <v>0</v>
      </c>
      <c r="J168" s="2">
        <v>0</v>
      </c>
      <c r="K168" s="2">
        <v>0</v>
      </c>
      <c r="L168" s="2">
        <v>0</v>
      </c>
      <c r="M168" s="2">
        <v>0</v>
      </c>
      <c r="N168" s="2">
        <v>0</v>
      </c>
      <c r="O168" s="2">
        <v>0</v>
      </c>
      <c r="P168" s="2">
        <v>0</v>
      </c>
      <c r="Q168" s="2">
        <v>11</v>
      </c>
      <c r="R168" s="13" t="s">
        <v>27</v>
      </c>
      <c r="S168" s="13" t="s">
        <v>27</v>
      </c>
    </row>
    <row r="169" spans="1:19" hidden="1" x14ac:dyDescent="0.3">
      <c r="A169" s="14">
        <v>43892.75</v>
      </c>
      <c r="B169" s="13" t="s">
        <v>23</v>
      </c>
      <c r="C169" s="2">
        <v>5</v>
      </c>
      <c r="D169" s="13" t="s">
        <v>63</v>
      </c>
      <c r="E169" s="2">
        <v>4543490485</v>
      </c>
      <c r="F169" s="2">
        <v>1233845213</v>
      </c>
      <c r="G169" s="2">
        <v>53</v>
      </c>
      <c r="H169" s="2">
        <v>14</v>
      </c>
      <c r="I169" s="2">
        <v>67</v>
      </c>
      <c r="J169" s="2">
        <v>204</v>
      </c>
      <c r="K169" s="2">
        <v>271</v>
      </c>
      <c r="L169" s="2">
        <v>10</v>
      </c>
      <c r="M169" s="2">
        <v>10</v>
      </c>
      <c r="N169" s="2">
        <v>0</v>
      </c>
      <c r="O169" s="2">
        <v>2</v>
      </c>
      <c r="P169" s="2">
        <v>273</v>
      </c>
      <c r="Q169" s="2">
        <v>9782</v>
      </c>
      <c r="R169" s="13" t="s">
        <v>27</v>
      </c>
      <c r="S169" s="13" t="s">
        <v>27</v>
      </c>
    </row>
    <row r="170" spans="1:19" hidden="1" x14ac:dyDescent="0.3">
      <c r="A170" s="14">
        <v>43893.75</v>
      </c>
      <c r="B170" s="13" t="s">
        <v>23</v>
      </c>
      <c r="C170" s="2">
        <v>13</v>
      </c>
      <c r="D170" s="13" t="s">
        <v>44</v>
      </c>
      <c r="E170" s="2">
        <v>4235122196</v>
      </c>
      <c r="F170" s="2">
        <v>1339843823</v>
      </c>
      <c r="G170" s="2">
        <v>5</v>
      </c>
      <c r="H170" s="2">
        <v>0</v>
      </c>
      <c r="I170" s="2">
        <v>5</v>
      </c>
      <c r="J170" s="2">
        <v>1</v>
      </c>
      <c r="K170" s="2">
        <v>6</v>
      </c>
      <c r="L170" s="2">
        <v>1</v>
      </c>
      <c r="M170" s="2">
        <v>1</v>
      </c>
      <c r="N170" s="2">
        <v>0</v>
      </c>
      <c r="O170" s="2">
        <v>0</v>
      </c>
      <c r="P170" s="2">
        <v>6</v>
      </c>
      <c r="Q170" s="2">
        <v>52</v>
      </c>
      <c r="R170" s="13" t="s">
        <v>27</v>
      </c>
      <c r="S170" s="13" t="s">
        <v>27</v>
      </c>
    </row>
    <row r="171" spans="1:19" hidden="1" x14ac:dyDescent="0.3">
      <c r="A171" s="14">
        <v>43893.75</v>
      </c>
      <c r="B171" s="13" t="s">
        <v>23</v>
      </c>
      <c r="C171" s="2">
        <v>17</v>
      </c>
      <c r="D171" s="13" t="s">
        <v>45</v>
      </c>
      <c r="E171" s="2">
        <v>4063947052</v>
      </c>
      <c r="F171" s="2">
        <v>1580514834</v>
      </c>
      <c r="G171" s="2">
        <v>0</v>
      </c>
      <c r="H171" s="2">
        <v>0</v>
      </c>
      <c r="I171" s="2">
        <v>0</v>
      </c>
      <c r="J171" s="2">
        <v>1</v>
      </c>
      <c r="K171" s="2">
        <v>1</v>
      </c>
      <c r="L171" s="2">
        <v>1</v>
      </c>
      <c r="M171" s="2">
        <v>1</v>
      </c>
      <c r="N171" s="2">
        <v>0</v>
      </c>
      <c r="O171" s="2">
        <v>0</v>
      </c>
      <c r="P171" s="2">
        <v>1</v>
      </c>
      <c r="Q171" s="2">
        <v>42</v>
      </c>
      <c r="R171" s="13" t="s">
        <v>27</v>
      </c>
      <c r="S171" s="13" t="s">
        <v>27</v>
      </c>
    </row>
    <row r="172" spans="1:19" hidden="1" x14ac:dyDescent="0.3">
      <c r="A172" s="14">
        <v>43893.75</v>
      </c>
      <c r="B172" s="13" t="s">
        <v>23</v>
      </c>
      <c r="C172" s="2">
        <v>4</v>
      </c>
      <c r="D172" s="13" t="s">
        <v>46</v>
      </c>
      <c r="E172" s="2">
        <v>4649933453</v>
      </c>
      <c r="F172" s="2">
        <v>1135662422</v>
      </c>
      <c r="G172" s="2">
        <v>1</v>
      </c>
      <c r="H172" s="2">
        <v>0</v>
      </c>
      <c r="I172" s="2">
        <v>1</v>
      </c>
      <c r="J172" s="2">
        <v>0</v>
      </c>
      <c r="K172" s="2">
        <v>1</v>
      </c>
      <c r="L172" s="2">
        <v>0</v>
      </c>
      <c r="M172" s="2">
        <v>0</v>
      </c>
      <c r="N172" s="2">
        <v>0</v>
      </c>
      <c r="O172" s="2">
        <v>0</v>
      </c>
      <c r="P172" s="2">
        <v>1</v>
      </c>
      <c r="Q172" s="2">
        <v>20</v>
      </c>
      <c r="R172" s="13" t="s">
        <v>27</v>
      </c>
      <c r="S172" s="13" t="s">
        <v>27</v>
      </c>
    </row>
    <row r="173" spans="1:19" hidden="1" x14ac:dyDescent="0.3">
      <c r="A173" s="14">
        <v>43893.75</v>
      </c>
      <c r="B173" s="13" t="s">
        <v>23</v>
      </c>
      <c r="C173" s="2">
        <v>18</v>
      </c>
      <c r="D173" s="13" t="s">
        <v>47</v>
      </c>
      <c r="E173" s="2">
        <v>3890597598</v>
      </c>
      <c r="F173" s="2">
        <v>1659440194</v>
      </c>
      <c r="G173" s="2">
        <v>0</v>
      </c>
      <c r="H173" s="2">
        <v>0</v>
      </c>
      <c r="I173" s="2">
        <v>0</v>
      </c>
      <c r="J173" s="2">
        <v>1</v>
      </c>
      <c r="K173" s="2">
        <v>1</v>
      </c>
      <c r="L173" s="2">
        <v>0</v>
      </c>
      <c r="M173" s="2">
        <v>0</v>
      </c>
      <c r="N173" s="2">
        <v>0</v>
      </c>
      <c r="O173" s="2">
        <v>0</v>
      </c>
      <c r="P173" s="2">
        <v>1</v>
      </c>
      <c r="Q173" s="2">
        <v>39</v>
      </c>
      <c r="R173" s="13" t="s">
        <v>27</v>
      </c>
      <c r="S173" s="13" t="s">
        <v>27</v>
      </c>
    </row>
    <row r="174" spans="1:19" hidden="1" x14ac:dyDescent="0.3">
      <c r="A174" s="14">
        <v>43893.75</v>
      </c>
      <c r="B174" s="13" t="s">
        <v>23</v>
      </c>
      <c r="C174" s="2">
        <v>15</v>
      </c>
      <c r="D174" s="13" t="s">
        <v>48</v>
      </c>
      <c r="E174" s="2">
        <v>4083956555</v>
      </c>
      <c r="F174" s="2">
        <v>1425084984</v>
      </c>
      <c r="G174" s="2">
        <v>11</v>
      </c>
      <c r="H174" s="2">
        <v>0</v>
      </c>
      <c r="I174" s="2">
        <v>11</v>
      </c>
      <c r="J174" s="2">
        <v>19</v>
      </c>
      <c r="K174" s="2">
        <v>30</v>
      </c>
      <c r="L174" s="2">
        <v>13</v>
      </c>
      <c r="M174" s="2">
        <v>13</v>
      </c>
      <c r="N174" s="2">
        <v>0</v>
      </c>
      <c r="O174" s="2">
        <v>0</v>
      </c>
      <c r="P174" s="2">
        <v>30</v>
      </c>
      <c r="Q174" s="2">
        <v>405</v>
      </c>
      <c r="R174" s="13" t="s">
        <v>27</v>
      </c>
      <c r="S174" s="13" t="s">
        <v>27</v>
      </c>
    </row>
    <row r="175" spans="1:19" hidden="1" x14ac:dyDescent="0.3">
      <c r="A175" s="14">
        <v>43893.75</v>
      </c>
      <c r="B175" s="13" t="s">
        <v>23</v>
      </c>
      <c r="C175" s="2">
        <v>8</v>
      </c>
      <c r="D175" s="13" t="s">
        <v>98</v>
      </c>
      <c r="E175" s="2">
        <v>4449436681</v>
      </c>
      <c r="F175" s="2">
        <v>113417208</v>
      </c>
      <c r="G175" s="2">
        <v>187</v>
      </c>
      <c r="H175" s="2">
        <v>24</v>
      </c>
      <c r="I175" s="2">
        <v>211</v>
      </c>
      <c r="J175" s="2">
        <v>187</v>
      </c>
      <c r="K175" s="2">
        <v>398</v>
      </c>
      <c r="L175" s="2">
        <v>74</v>
      </c>
      <c r="M175" s="2">
        <v>85</v>
      </c>
      <c r="N175" s="2">
        <v>4</v>
      </c>
      <c r="O175" s="2">
        <v>18</v>
      </c>
      <c r="P175" s="2">
        <v>420</v>
      </c>
      <c r="Q175" s="2">
        <v>2012</v>
      </c>
      <c r="R175" s="13" t="s">
        <v>27</v>
      </c>
      <c r="S175" s="13" t="s">
        <v>27</v>
      </c>
    </row>
    <row r="176" spans="1:19" hidden="1" x14ac:dyDescent="0.3">
      <c r="A176" s="14">
        <v>43893.75</v>
      </c>
      <c r="B176" s="13" t="s">
        <v>23</v>
      </c>
      <c r="C176" s="2">
        <v>6</v>
      </c>
      <c r="D176" s="13" t="s">
        <v>49</v>
      </c>
      <c r="E176" s="2">
        <v>456494354</v>
      </c>
      <c r="F176" s="2">
        <v>1376813649</v>
      </c>
      <c r="G176" s="2">
        <v>1</v>
      </c>
      <c r="H176" s="2">
        <v>0</v>
      </c>
      <c r="I176" s="2">
        <v>1</v>
      </c>
      <c r="J176" s="2">
        <v>12</v>
      </c>
      <c r="K176" s="2">
        <v>13</v>
      </c>
      <c r="L176" s="2">
        <v>4</v>
      </c>
      <c r="M176" s="2">
        <v>4</v>
      </c>
      <c r="N176" s="2">
        <v>0</v>
      </c>
      <c r="O176" s="2">
        <v>0</v>
      </c>
      <c r="P176" s="2">
        <v>13</v>
      </c>
      <c r="Q176" s="2">
        <v>354</v>
      </c>
      <c r="R176" s="13" t="s">
        <v>27</v>
      </c>
      <c r="S176" s="13" t="s">
        <v>27</v>
      </c>
    </row>
    <row r="177" spans="1:19" hidden="1" x14ac:dyDescent="0.3">
      <c r="A177" s="14">
        <v>43893.75</v>
      </c>
      <c r="B177" s="13" t="s">
        <v>23</v>
      </c>
      <c r="C177" s="2">
        <v>12</v>
      </c>
      <c r="D177" s="13" t="s">
        <v>50</v>
      </c>
      <c r="E177" s="2">
        <v>4189277044</v>
      </c>
      <c r="F177" s="2">
        <v>1248366722</v>
      </c>
      <c r="G177" s="2">
        <v>10</v>
      </c>
      <c r="H177" s="2">
        <v>0</v>
      </c>
      <c r="I177" s="2">
        <v>10</v>
      </c>
      <c r="J177" s="2">
        <v>1</v>
      </c>
      <c r="K177" s="2">
        <v>11</v>
      </c>
      <c r="L177" s="2">
        <v>7</v>
      </c>
      <c r="M177" s="2">
        <v>7</v>
      </c>
      <c r="N177" s="2">
        <v>3</v>
      </c>
      <c r="O177" s="2">
        <v>0</v>
      </c>
      <c r="P177" s="2">
        <v>14</v>
      </c>
      <c r="Q177" s="2">
        <v>877</v>
      </c>
      <c r="R177" s="13" t="s">
        <v>27</v>
      </c>
      <c r="S177" s="13" t="s">
        <v>27</v>
      </c>
    </row>
    <row r="178" spans="1:19" hidden="1" x14ac:dyDescent="0.3">
      <c r="A178" s="14">
        <v>43893.75</v>
      </c>
      <c r="B178" s="13" t="s">
        <v>23</v>
      </c>
      <c r="C178" s="2">
        <v>7</v>
      </c>
      <c r="D178" s="13" t="s">
        <v>51</v>
      </c>
      <c r="E178" s="2">
        <v>4441149315</v>
      </c>
      <c r="F178" s="2">
        <v>89326992</v>
      </c>
      <c r="G178" s="2">
        <v>12</v>
      </c>
      <c r="H178" s="2">
        <v>2</v>
      </c>
      <c r="I178" s="2">
        <v>14</v>
      </c>
      <c r="J178" s="2">
        <v>5</v>
      </c>
      <c r="K178" s="2">
        <v>19</v>
      </c>
      <c r="L178" s="2">
        <v>1</v>
      </c>
      <c r="M178" s="2">
        <v>2</v>
      </c>
      <c r="N178" s="2">
        <v>4</v>
      </c>
      <c r="O178" s="2">
        <v>1</v>
      </c>
      <c r="P178" s="2">
        <v>24</v>
      </c>
      <c r="Q178" s="2">
        <v>121</v>
      </c>
      <c r="R178" s="13" t="s">
        <v>27</v>
      </c>
      <c r="S178" s="13" t="s">
        <v>27</v>
      </c>
    </row>
    <row r="179" spans="1:19" x14ac:dyDescent="0.3">
      <c r="A179" s="14">
        <v>43893.75</v>
      </c>
      <c r="B179" s="13" t="s">
        <v>23</v>
      </c>
      <c r="C179" s="2">
        <v>3</v>
      </c>
      <c r="D179" s="13" t="s">
        <v>52</v>
      </c>
      <c r="E179" s="2">
        <v>4546679409</v>
      </c>
      <c r="F179" s="2">
        <v>9190347404</v>
      </c>
      <c r="G179" s="2">
        <v>698</v>
      </c>
      <c r="H179" s="2">
        <v>167</v>
      </c>
      <c r="I179" s="2">
        <v>865</v>
      </c>
      <c r="J179" s="2">
        <v>461</v>
      </c>
      <c r="K179" s="2">
        <v>1326</v>
      </c>
      <c r="L179" s="2">
        <v>249</v>
      </c>
      <c r="M179" s="2">
        <v>266</v>
      </c>
      <c r="N179" s="2">
        <v>139</v>
      </c>
      <c r="O179" s="2">
        <v>55</v>
      </c>
      <c r="P179" s="2">
        <v>1520</v>
      </c>
      <c r="Q179" s="2">
        <v>9577</v>
      </c>
      <c r="R179" s="13" t="s">
        <v>27</v>
      </c>
      <c r="S179" s="13" t="s">
        <v>27</v>
      </c>
    </row>
    <row r="180" spans="1:19" hidden="1" x14ac:dyDescent="0.3">
      <c r="A180" s="14">
        <v>43893.75</v>
      </c>
      <c r="B180" s="13" t="s">
        <v>23</v>
      </c>
      <c r="C180" s="2">
        <v>11</v>
      </c>
      <c r="D180" s="13" t="s">
        <v>53</v>
      </c>
      <c r="E180" s="2">
        <v>4361675973</v>
      </c>
      <c r="F180" s="2">
        <v>135188753</v>
      </c>
      <c r="G180" s="2">
        <v>27</v>
      </c>
      <c r="H180" s="2">
        <v>13</v>
      </c>
      <c r="I180" s="2">
        <v>40</v>
      </c>
      <c r="J180" s="2">
        <v>19</v>
      </c>
      <c r="K180" s="2">
        <v>59</v>
      </c>
      <c r="L180" s="2">
        <v>25</v>
      </c>
      <c r="M180" s="2">
        <v>26</v>
      </c>
      <c r="N180" s="2">
        <v>0</v>
      </c>
      <c r="O180" s="2">
        <v>2</v>
      </c>
      <c r="P180" s="2">
        <v>61</v>
      </c>
      <c r="Q180" s="2">
        <v>200</v>
      </c>
      <c r="R180" s="13" t="s">
        <v>27</v>
      </c>
      <c r="S180" s="13" t="s">
        <v>27</v>
      </c>
    </row>
    <row r="181" spans="1:19" hidden="1" x14ac:dyDescent="0.3">
      <c r="A181" s="14">
        <v>43893.75</v>
      </c>
      <c r="B181" s="13" t="s">
        <v>23</v>
      </c>
      <c r="C181" s="2">
        <v>14</v>
      </c>
      <c r="D181" s="13" t="s">
        <v>54</v>
      </c>
      <c r="E181" s="2">
        <v>4155774754</v>
      </c>
      <c r="F181" s="2">
        <v>1465916051</v>
      </c>
      <c r="G181" s="2">
        <v>3</v>
      </c>
      <c r="H181" s="2">
        <v>0</v>
      </c>
      <c r="I181" s="2">
        <v>3</v>
      </c>
      <c r="J181" s="2">
        <v>0</v>
      </c>
      <c r="K181" s="2">
        <v>3</v>
      </c>
      <c r="L181" s="2">
        <v>3</v>
      </c>
      <c r="M181" s="2">
        <v>3</v>
      </c>
      <c r="N181" s="2">
        <v>0</v>
      </c>
      <c r="O181" s="2">
        <v>0</v>
      </c>
      <c r="P181" s="2">
        <v>3</v>
      </c>
      <c r="Q181" s="2">
        <v>13</v>
      </c>
      <c r="R181" s="13" t="s">
        <v>27</v>
      </c>
      <c r="S181" s="13" t="s">
        <v>27</v>
      </c>
    </row>
    <row r="182" spans="1:19" hidden="1" x14ac:dyDescent="0.3">
      <c r="A182" s="14">
        <v>43893.75</v>
      </c>
      <c r="B182" s="13" t="s">
        <v>23</v>
      </c>
      <c r="C182" s="2">
        <v>1</v>
      </c>
      <c r="D182" s="13" t="s">
        <v>55</v>
      </c>
      <c r="E182" s="2">
        <v>450732745</v>
      </c>
      <c r="F182" s="2">
        <v>7680687483</v>
      </c>
      <c r="G182" s="2">
        <v>13</v>
      </c>
      <c r="H182" s="2">
        <v>3</v>
      </c>
      <c r="I182" s="2">
        <v>16</v>
      </c>
      <c r="J182" s="2">
        <v>40</v>
      </c>
      <c r="K182" s="2">
        <v>56</v>
      </c>
      <c r="L182" s="2">
        <v>5</v>
      </c>
      <c r="M182" s="2">
        <v>5</v>
      </c>
      <c r="N182" s="2">
        <v>0</v>
      </c>
      <c r="O182" s="2">
        <v>0</v>
      </c>
      <c r="P182" s="2">
        <v>56</v>
      </c>
      <c r="Q182" s="2">
        <v>458</v>
      </c>
      <c r="R182" s="13" t="s">
        <v>27</v>
      </c>
      <c r="S182" s="13" t="s">
        <v>27</v>
      </c>
    </row>
    <row r="183" spans="1:19" hidden="1" x14ac:dyDescent="0.3">
      <c r="A183" s="14">
        <v>43893.75</v>
      </c>
      <c r="B183" s="13" t="s">
        <v>23</v>
      </c>
      <c r="C183" s="2">
        <v>16</v>
      </c>
      <c r="D183" s="13" t="s">
        <v>56</v>
      </c>
      <c r="E183" s="2">
        <v>4112559576</v>
      </c>
      <c r="F183" s="2">
        <v>1686736689</v>
      </c>
      <c r="G183" s="2">
        <v>2</v>
      </c>
      <c r="H183" s="2">
        <v>0</v>
      </c>
      <c r="I183" s="2">
        <v>2</v>
      </c>
      <c r="J183" s="2">
        <v>4</v>
      </c>
      <c r="K183" s="2">
        <v>6</v>
      </c>
      <c r="L183" s="2">
        <v>2</v>
      </c>
      <c r="M183" s="2">
        <v>2</v>
      </c>
      <c r="N183" s="2">
        <v>0</v>
      </c>
      <c r="O183" s="2">
        <v>0</v>
      </c>
      <c r="P183" s="2">
        <v>6</v>
      </c>
      <c r="Q183" s="2">
        <v>298</v>
      </c>
      <c r="R183" s="13" t="s">
        <v>27</v>
      </c>
      <c r="S183" s="13" t="s">
        <v>27</v>
      </c>
    </row>
    <row r="184" spans="1:19" hidden="1" x14ac:dyDescent="0.3">
      <c r="A184" s="14">
        <v>43893.75</v>
      </c>
      <c r="B184" s="13" t="s">
        <v>23</v>
      </c>
      <c r="C184" s="2">
        <v>20</v>
      </c>
      <c r="D184" s="13" t="s">
        <v>57</v>
      </c>
      <c r="E184" s="2">
        <v>3921531192</v>
      </c>
      <c r="F184" s="2">
        <v>9110616306</v>
      </c>
      <c r="G184" s="2">
        <v>1</v>
      </c>
      <c r="H184" s="2">
        <v>0</v>
      </c>
      <c r="I184" s="2">
        <v>1</v>
      </c>
      <c r="J184" s="2">
        <v>0</v>
      </c>
      <c r="K184" s="2">
        <v>1</v>
      </c>
      <c r="L184" s="2">
        <v>1</v>
      </c>
      <c r="M184" s="2">
        <v>1</v>
      </c>
      <c r="N184" s="2">
        <v>0</v>
      </c>
      <c r="O184" s="2">
        <v>0</v>
      </c>
      <c r="P184" s="2">
        <v>1</v>
      </c>
      <c r="Q184" s="2">
        <v>29</v>
      </c>
      <c r="R184" s="13" t="s">
        <v>27</v>
      </c>
      <c r="S184" s="13" t="s">
        <v>27</v>
      </c>
    </row>
    <row r="185" spans="1:19" hidden="1" x14ac:dyDescent="0.3">
      <c r="A185" s="14">
        <v>43893.75</v>
      </c>
      <c r="B185" s="13" t="s">
        <v>23</v>
      </c>
      <c r="C185" s="2">
        <v>19</v>
      </c>
      <c r="D185" s="13" t="s">
        <v>58</v>
      </c>
      <c r="E185" s="2">
        <v>3811569725</v>
      </c>
      <c r="F185" s="2">
        <v>133623567</v>
      </c>
      <c r="G185" s="2">
        <v>2</v>
      </c>
      <c r="H185" s="2">
        <v>0</v>
      </c>
      <c r="I185" s="2">
        <v>2</v>
      </c>
      <c r="J185" s="2">
        <v>3</v>
      </c>
      <c r="K185" s="2">
        <v>5</v>
      </c>
      <c r="L185" s="2">
        <v>0</v>
      </c>
      <c r="M185" s="2">
        <v>0</v>
      </c>
      <c r="N185" s="2">
        <v>2</v>
      </c>
      <c r="O185" s="2">
        <v>0</v>
      </c>
      <c r="P185" s="2">
        <v>7</v>
      </c>
      <c r="Q185" s="2">
        <v>307</v>
      </c>
      <c r="R185" s="13" t="s">
        <v>27</v>
      </c>
      <c r="S185" s="13" t="s">
        <v>27</v>
      </c>
    </row>
    <row r="186" spans="1:19" hidden="1" x14ac:dyDescent="0.3">
      <c r="A186" s="14">
        <v>43893.75</v>
      </c>
      <c r="B186" s="13" t="s">
        <v>23</v>
      </c>
      <c r="C186" s="2">
        <v>9</v>
      </c>
      <c r="D186" s="13" t="s">
        <v>59</v>
      </c>
      <c r="E186" s="2">
        <v>4376923077</v>
      </c>
      <c r="F186" s="2">
        <v>1125588885</v>
      </c>
      <c r="G186" s="2">
        <v>10</v>
      </c>
      <c r="H186" s="2">
        <v>0</v>
      </c>
      <c r="I186" s="2">
        <v>10</v>
      </c>
      <c r="J186" s="2">
        <v>8</v>
      </c>
      <c r="K186" s="2">
        <v>18</v>
      </c>
      <c r="L186" s="2">
        <v>6</v>
      </c>
      <c r="M186" s="2">
        <v>6</v>
      </c>
      <c r="N186" s="2">
        <v>1</v>
      </c>
      <c r="O186" s="2">
        <v>0</v>
      </c>
      <c r="P186" s="2">
        <v>19</v>
      </c>
      <c r="Q186" s="2">
        <v>697</v>
      </c>
      <c r="R186" s="13" t="s">
        <v>27</v>
      </c>
      <c r="S186" s="13" t="s">
        <v>27</v>
      </c>
    </row>
    <row r="187" spans="1:19" hidden="1" x14ac:dyDescent="0.3">
      <c r="A187" s="14">
        <v>43893.75</v>
      </c>
      <c r="B187" s="13" t="s">
        <v>23</v>
      </c>
      <c r="C187" s="2">
        <v>4</v>
      </c>
      <c r="D187" s="13" t="s">
        <v>60</v>
      </c>
      <c r="E187" s="2">
        <v>4606893511</v>
      </c>
      <c r="F187" s="2">
        <v>1112123097</v>
      </c>
      <c r="G187" s="2">
        <v>1</v>
      </c>
      <c r="H187" s="2">
        <v>0</v>
      </c>
      <c r="I187" s="2">
        <v>1</v>
      </c>
      <c r="J187" s="2">
        <v>3</v>
      </c>
      <c r="K187" s="2">
        <v>4</v>
      </c>
      <c r="L187" s="2">
        <v>4</v>
      </c>
      <c r="M187" s="2">
        <v>4</v>
      </c>
      <c r="N187" s="2">
        <v>0</v>
      </c>
      <c r="O187" s="2">
        <v>0</v>
      </c>
      <c r="P187" s="2">
        <v>4</v>
      </c>
      <c r="Q187" s="2">
        <v>122</v>
      </c>
      <c r="R187" s="13" t="s">
        <v>27</v>
      </c>
      <c r="S187" s="13" t="s">
        <v>27</v>
      </c>
    </row>
    <row r="188" spans="1:19" hidden="1" x14ac:dyDescent="0.3">
      <c r="A188" s="14">
        <v>43893.75</v>
      </c>
      <c r="B188" s="13" t="s">
        <v>23</v>
      </c>
      <c r="C188" s="2">
        <v>10</v>
      </c>
      <c r="D188" s="13" t="s">
        <v>61</v>
      </c>
      <c r="E188" s="2">
        <v>4310675841</v>
      </c>
      <c r="F188" s="2">
        <v>1238824698</v>
      </c>
      <c r="G188" s="2">
        <v>1</v>
      </c>
      <c r="H188" s="2">
        <v>1</v>
      </c>
      <c r="I188" s="2">
        <v>2</v>
      </c>
      <c r="J188" s="2">
        <v>6</v>
      </c>
      <c r="K188" s="2">
        <v>8</v>
      </c>
      <c r="L188" s="2">
        <v>6</v>
      </c>
      <c r="M188" s="2">
        <v>6</v>
      </c>
      <c r="N188" s="2">
        <v>0</v>
      </c>
      <c r="O188" s="2">
        <v>0</v>
      </c>
      <c r="P188" s="2">
        <v>8</v>
      </c>
      <c r="Q188" s="2">
        <v>45</v>
      </c>
      <c r="R188" s="13" t="s">
        <v>27</v>
      </c>
      <c r="S188" s="13" t="s">
        <v>27</v>
      </c>
    </row>
    <row r="189" spans="1:19" hidden="1" x14ac:dyDescent="0.3">
      <c r="A189" s="14">
        <v>43893.75</v>
      </c>
      <c r="B189" s="13" t="s">
        <v>23</v>
      </c>
      <c r="C189" s="2">
        <v>2</v>
      </c>
      <c r="D189" s="13" t="s">
        <v>62</v>
      </c>
      <c r="E189" s="2">
        <v>4573750286</v>
      </c>
      <c r="F189" s="2">
        <v>7320149366</v>
      </c>
      <c r="G189" s="2">
        <v>0</v>
      </c>
      <c r="H189" s="2">
        <v>0</v>
      </c>
      <c r="I189" s="2">
        <v>0</v>
      </c>
      <c r="J189" s="2">
        <v>0</v>
      </c>
      <c r="K189" s="2">
        <v>0</v>
      </c>
      <c r="L189" s="2">
        <v>0</v>
      </c>
      <c r="M189" s="2">
        <v>0</v>
      </c>
      <c r="N189" s="2">
        <v>0</v>
      </c>
      <c r="O189" s="2">
        <v>0</v>
      </c>
      <c r="P189" s="2">
        <v>0</v>
      </c>
      <c r="Q189" s="2">
        <v>12</v>
      </c>
      <c r="R189" s="13" t="s">
        <v>27</v>
      </c>
      <c r="S189" s="13" t="s">
        <v>27</v>
      </c>
    </row>
    <row r="190" spans="1:19" hidden="1" x14ac:dyDescent="0.3">
      <c r="A190" s="14">
        <v>43893.75</v>
      </c>
      <c r="B190" s="13" t="s">
        <v>23</v>
      </c>
      <c r="C190" s="2">
        <v>5</v>
      </c>
      <c r="D190" s="13" t="s">
        <v>63</v>
      </c>
      <c r="E190" s="2">
        <v>4543490485</v>
      </c>
      <c r="F190" s="2">
        <v>1233845213</v>
      </c>
      <c r="G190" s="2">
        <v>49</v>
      </c>
      <c r="H190" s="2">
        <v>19</v>
      </c>
      <c r="I190" s="2">
        <v>68</v>
      </c>
      <c r="J190" s="2">
        <v>229</v>
      </c>
      <c r="K190" s="2">
        <v>297</v>
      </c>
      <c r="L190" s="2">
        <v>26</v>
      </c>
      <c r="M190" s="2">
        <v>34</v>
      </c>
      <c r="N190" s="2">
        <v>7</v>
      </c>
      <c r="O190" s="2">
        <v>3</v>
      </c>
      <c r="P190" s="2">
        <v>307</v>
      </c>
      <c r="Q190" s="2">
        <v>10176</v>
      </c>
      <c r="R190" s="13" t="s">
        <v>27</v>
      </c>
      <c r="S190" s="13" t="s">
        <v>27</v>
      </c>
    </row>
    <row r="191" spans="1:19" hidden="1" x14ac:dyDescent="0.3">
      <c r="A191" s="14">
        <v>43894.708333333336</v>
      </c>
      <c r="B191" s="13" t="s">
        <v>23</v>
      </c>
      <c r="C191" s="2">
        <v>13</v>
      </c>
      <c r="D191" s="13" t="s">
        <v>44</v>
      </c>
      <c r="E191" s="2">
        <v>4235122196</v>
      </c>
      <c r="F191" s="2">
        <v>1339843823</v>
      </c>
      <c r="G191" s="2">
        <v>7</v>
      </c>
      <c r="H191" s="2">
        <v>0</v>
      </c>
      <c r="I191" s="2">
        <v>7</v>
      </c>
      <c r="J191" s="2">
        <v>0</v>
      </c>
      <c r="K191" s="2">
        <v>7</v>
      </c>
      <c r="L191" s="2">
        <v>1</v>
      </c>
      <c r="M191" s="2">
        <v>1</v>
      </c>
      <c r="N191" s="2">
        <v>0</v>
      </c>
      <c r="O191" s="2">
        <v>0</v>
      </c>
      <c r="P191" s="2">
        <v>7</v>
      </c>
      <c r="Q191" s="2">
        <v>85</v>
      </c>
      <c r="R191" s="13" t="s">
        <v>27</v>
      </c>
      <c r="S191" s="13" t="s">
        <v>27</v>
      </c>
    </row>
    <row r="192" spans="1:19" hidden="1" x14ac:dyDescent="0.3">
      <c r="A192" s="14">
        <v>43894.708333333336</v>
      </c>
      <c r="B192" s="13" t="s">
        <v>23</v>
      </c>
      <c r="C192" s="2">
        <v>17</v>
      </c>
      <c r="D192" s="13" t="s">
        <v>45</v>
      </c>
      <c r="E192" s="2">
        <v>4063947052</v>
      </c>
      <c r="F192" s="2">
        <v>1580514834</v>
      </c>
      <c r="G192" s="2">
        <v>0</v>
      </c>
      <c r="H192" s="2">
        <v>0</v>
      </c>
      <c r="I192" s="2">
        <v>0</v>
      </c>
      <c r="J192" s="2">
        <v>1</v>
      </c>
      <c r="K192" s="2">
        <v>1</v>
      </c>
      <c r="L192" s="2">
        <v>0</v>
      </c>
      <c r="M192" s="2">
        <v>0</v>
      </c>
      <c r="N192" s="2">
        <v>0</v>
      </c>
      <c r="O192" s="2">
        <v>0</v>
      </c>
      <c r="P192" s="2">
        <v>1</v>
      </c>
      <c r="Q192" s="2">
        <v>48</v>
      </c>
      <c r="R192" s="13" t="s">
        <v>27</v>
      </c>
      <c r="S192" s="13" t="s">
        <v>27</v>
      </c>
    </row>
    <row r="193" spans="1:19" hidden="1" x14ac:dyDescent="0.3">
      <c r="A193" s="14">
        <v>43894.708333333336</v>
      </c>
      <c r="B193" s="13" t="s">
        <v>23</v>
      </c>
      <c r="C193" s="2">
        <v>4</v>
      </c>
      <c r="D193" s="13" t="s">
        <v>46</v>
      </c>
      <c r="E193" s="2">
        <v>4649933453</v>
      </c>
      <c r="F193" s="2">
        <v>1135662422</v>
      </c>
      <c r="G193" s="2">
        <v>1</v>
      </c>
      <c r="H193" s="2">
        <v>0</v>
      </c>
      <c r="I193" s="2">
        <v>1</v>
      </c>
      <c r="J193" s="2">
        <v>0</v>
      </c>
      <c r="K193" s="2">
        <v>1</v>
      </c>
      <c r="L193" s="2">
        <v>0</v>
      </c>
      <c r="M193" s="2">
        <v>0</v>
      </c>
      <c r="N193" s="2">
        <v>0</v>
      </c>
      <c r="O193" s="2">
        <v>0</v>
      </c>
      <c r="P193" s="2">
        <v>1</v>
      </c>
      <c r="Q193" s="2">
        <v>20</v>
      </c>
      <c r="R193" s="13" t="s">
        <v>27</v>
      </c>
      <c r="S193" s="13" t="s">
        <v>27</v>
      </c>
    </row>
    <row r="194" spans="1:19" hidden="1" x14ac:dyDescent="0.3">
      <c r="A194" s="14">
        <v>43894.708333333336</v>
      </c>
      <c r="B194" s="13" t="s">
        <v>23</v>
      </c>
      <c r="C194" s="2">
        <v>18</v>
      </c>
      <c r="D194" s="13" t="s">
        <v>47</v>
      </c>
      <c r="E194" s="2">
        <v>3890597598</v>
      </c>
      <c r="F194" s="2">
        <v>1659440194</v>
      </c>
      <c r="G194" s="2">
        <v>0</v>
      </c>
      <c r="H194" s="2">
        <v>0</v>
      </c>
      <c r="I194" s="2">
        <v>0</v>
      </c>
      <c r="J194" s="2">
        <v>1</v>
      </c>
      <c r="K194" s="2">
        <v>1</v>
      </c>
      <c r="L194" s="2">
        <v>0</v>
      </c>
      <c r="M194" s="2">
        <v>0</v>
      </c>
      <c r="N194" s="2">
        <v>0</v>
      </c>
      <c r="O194" s="2">
        <v>0</v>
      </c>
      <c r="P194" s="2">
        <v>1</v>
      </c>
      <c r="Q194" s="2">
        <v>46</v>
      </c>
      <c r="R194" s="13" t="s">
        <v>27</v>
      </c>
      <c r="S194" s="13" t="s">
        <v>27</v>
      </c>
    </row>
    <row r="195" spans="1:19" hidden="1" x14ac:dyDescent="0.3">
      <c r="A195" s="14">
        <v>43894.708333333336</v>
      </c>
      <c r="B195" s="13" t="s">
        <v>23</v>
      </c>
      <c r="C195" s="2">
        <v>15</v>
      </c>
      <c r="D195" s="13" t="s">
        <v>48</v>
      </c>
      <c r="E195" s="2">
        <v>4083956555</v>
      </c>
      <c r="F195" s="2">
        <v>1425084984</v>
      </c>
      <c r="G195" s="2">
        <v>11</v>
      </c>
      <c r="H195" s="2">
        <v>0</v>
      </c>
      <c r="I195" s="2">
        <v>11</v>
      </c>
      <c r="J195" s="2">
        <v>20</v>
      </c>
      <c r="K195" s="2">
        <v>31</v>
      </c>
      <c r="L195" s="2">
        <v>1</v>
      </c>
      <c r="M195" s="2">
        <v>1</v>
      </c>
      <c r="N195" s="2">
        <v>0</v>
      </c>
      <c r="O195" s="2">
        <v>0</v>
      </c>
      <c r="P195" s="2">
        <v>31</v>
      </c>
      <c r="Q195" s="2">
        <v>429</v>
      </c>
      <c r="R195" s="13" t="s">
        <v>27</v>
      </c>
      <c r="S195" s="13" t="s">
        <v>27</v>
      </c>
    </row>
    <row r="196" spans="1:19" hidden="1" x14ac:dyDescent="0.3">
      <c r="A196" s="14">
        <v>43894.708333333336</v>
      </c>
      <c r="B196" s="13" t="s">
        <v>23</v>
      </c>
      <c r="C196" s="2">
        <v>8</v>
      </c>
      <c r="D196" s="13" t="s">
        <v>98</v>
      </c>
      <c r="E196" s="2">
        <v>4449436681</v>
      </c>
      <c r="F196" s="2">
        <v>113417208</v>
      </c>
      <c r="G196" s="2">
        <v>256</v>
      </c>
      <c r="H196" s="2">
        <v>26</v>
      </c>
      <c r="I196" s="2">
        <v>282</v>
      </c>
      <c r="J196" s="2">
        <v>234</v>
      </c>
      <c r="K196" s="2">
        <v>516</v>
      </c>
      <c r="L196" s="2">
        <v>118</v>
      </c>
      <c r="M196" s="2">
        <v>124</v>
      </c>
      <c r="N196" s="2">
        <v>6</v>
      </c>
      <c r="O196" s="2">
        <v>22</v>
      </c>
      <c r="P196" s="2">
        <v>544</v>
      </c>
      <c r="Q196" s="2">
        <v>2500</v>
      </c>
      <c r="R196" s="13" t="s">
        <v>27</v>
      </c>
      <c r="S196" s="13" t="s">
        <v>27</v>
      </c>
    </row>
    <row r="197" spans="1:19" hidden="1" x14ac:dyDescent="0.3">
      <c r="A197" s="14">
        <v>43894.708333333336</v>
      </c>
      <c r="B197" s="13" t="s">
        <v>23</v>
      </c>
      <c r="C197" s="2">
        <v>6</v>
      </c>
      <c r="D197" s="13" t="s">
        <v>49</v>
      </c>
      <c r="E197" s="2">
        <v>456494354</v>
      </c>
      <c r="F197" s="2">
        <v>1376813649</v>
      </c>
      <c r="G197" s="2">
        <v>3</v>
      </c>
      <c r="H197" s="2">
        <v>0</v>
      </c>
      <c r="I197" s="2">
        <v>3</v>
      </c>
      <c r="J197" s="2">
        <v>15</v>
      </c>
      <c r="K197" s="2">
        <v>18</v>
      </c>
      <c r="L197" s="2">
        <v>5</v>
      </c>
      <c r="M197" s="2">
        <v>5</v>
      </c>
      <c r="N197" s="2">
        <v>0</v>
      </c>
      <c r="O197" s="2">
        <v>0</v>
      </c>
      <c r="P197" s="2">
        <v>18</v>
      </c>
      <c r="Q197" s="2">
        <v>376</v>
      </c>
      <c r="R197" s="13" t="s">
        <v>27</v>
      </c>
      <c r="S197" s="13" t="s">
        <v>27</v>
      </c>
    </row>
    <row r="198" spans="1:19" hidden="1" x14ac:dyDescent="0.3">
      <c r="A198" s="14">
        <v>43894.708333333336</v>
      </c>
      <c r="B198" s="13" t="s">
        <v>23</v>
      </c>
      <c r="C198" s="2">
        <v>12</v>
      </c>
      <c r="D198" s="13" t="s">
        <v>50</v>
      </c>
      <c r="E198" s="2">
        <v>4189277044</v>
      </c>
      <c r="F198" s="2">
        <v>1248366722</v>
      </c>
      <c r="G198" s="2">
        <v>15</v>
      </c>
      <c r="H198" s="2">
        <v>3</v>
      </c>
      <c r="I198" s="2">
        <v>18</v>
      </c>
      <c r="J198" s="2">
        <v>9</v>
      </c>
      <c r="K198" s="2">
        <v>27</v>
      </c>
      <c r="L198" s="2">
        <v>16</v>
      </c>
      <c r="M198" s="2">
        <v>16</v>
      </c>
      <c r="N198" s="2">
        <v>3</v>
      </c>
      <c r="O198" s="2">
        <v>0</v>
      </c>
      <c r="P198" s="2">
        <v>30</v>
      </c>
      <c r="Q198" s="2">
        <v>995</v>
      </c>
      <c r="R198" s="13" t="s">
        <v>27</v>
      </c>
      <c r="S198" s="13" t="s">
        <v>27</v>
      </c>
    </row>
    <row r="199" spans="1:19" hidden="1" x14ac:dyDescent="0.3">
      <c r="A199" s="14">
        <v>43894.708333333336</v>
      </c>
      <c r="B199" s="13" t="s">
        <v>23</v>
      </c>
      <c r="C199" s="2">
        <v>7</v>
      </c>
      <c r="D199" s="13" t="s">
        <v>51</v>
      </c>
      <c r="E199" s="2">
        <v>4441149315</v>
      </c>
      <c r="F199" s="2">
        <v>89326992</v>
      </c>
      <c r="G199" s="2">
        <v>10</v>
      </c>
      <c r="H199" s="2">
        <v>3</v>
      </c>
      <c r="I199" s="2">
        <v>13</v>
      </c>
      <c r="J199" s="2">
        <v>8</v>
      </c>
      <c r="K199" s="2">
        <v>21</v>
      </c>
      <c r="L199" s="2">
        <v>2</v>
      </c>
      <c r="M199" s="2">
        <v>2</v>
      </c>
      <c r="N199" s="2">
        <v>4</v>
      </c>
      <c r="O199" s="2">
        <v>1</v>
      </c>
      <c r="P199" s="2">
        <v>26</v>
      </c>
      <c r="Q199" s="2">
        <v>133</v>
      </c>
      <c r="R199" s="13" t="s">
        <v>27</v>
      </c>
      <c r="S199" s="13" t="s">
        <v>27</v>
      </c>
    </row>
    <row r="200" spans="1:19" x14ac:dyDescent="0.3">
      <c r="A200" s="14">
        <v>43894.708333333336</v>
      </c>
      <c r="B200" s="13" t="s">
        <v>23</v>
      </c>
      <c r="C200" s="2">
        <v>3</v>
      </c>
      <c r="D200" s="13" t="s">
        <v>52</v>
      </c>
      <c r="E200" s="2">
        <v>4546679409</v>
      </c>
      <c r="F200" s="2">
        <v>9190347404</v>
      </c>
      <c r="G200" s="2">
        <v>877</v>
      </c>
      <c r="H200" s="2">
        <v>209</v>
      </c>
      <c r="I200" s="2">
        <v>1086</v>
      </c>
      <c r="J200" s="2">
        <v>411</v>
      </c>
      <c r="K200" s="2">
        <v>1497</v>
      </c>
      <c r="L200" s="2">
        <v>171</v>
      </c>
      <c r="M200" s="2">
        <v>300</v>
      </c>
      <c r="N200" s="2">
        <v>250</v>
      </c>
      <c r="O200" s="2">
        <v>73</v>
      </c>
      <c r="P200" s="2">
        <v>1820</v>
      </c>
      <c r="Q200" s="2">
        <v>12138</v>
      </c>
      <c r="R200" s="13" t="s">
        <v>27</v>
      </c>
      <c r="S200" s="13" t="s">
        <v>27</v>
      </c>
    </row>
    <row r="201" spans="1:19" hidden="1" x14ac:dyDescent="0.3">
      <c r="A201" s="14">
        <v>43894.708333333336</v>
      </c>
      <c r="B201" s="13" t="s">
        <v>23</v>
      </c>
      <c r="C201" s="2">
        <v>11</v>
      </c>
      <c r="D201" s="13" t="s">
        <v>53</v>
      </c>
      <c r="E201" s="2">
        <v>4361675973</v>
      </c>
      <c r="F201" s="2">
        <v>135188753</v>
      </c>
      <c r="G201" s="2">
        <v>34</v>
      </c>
      <c r="H201" s="2">
        <v>15</v>
      </c>
      <c r="I201" s="2">
        <v>49</v>
      </c>
      <c r="J201" s="2">
        <v>31</v>
      </c>
      <c r="K201" s="2">
        <v>80</v>
      </c>
      <c r="L201" s="2">
        <v>21</v>
      </c>
      <c r="M201" s="2">
        <v>23</v>
      </c>
      <c r="N201" s="2">
        <v>0</v>
      </c>
      <c r="O201" s="2">
        <v>4</v>
      </c>
      <c r="P201" s="2">
        <v>84</v>
      </c>
      <c r="Q201" s="2">
        <v>288</v>
      </c>
      <c r="R201" s="13" t="s">
        <v>27</v>
      </c>
      <c r="S201" s="13" t="s">
        <v>27</v>
      </c>
    </row>
    <row r="202" spans="1:19" hidden="1" x14ac:dyDescent="0.3">
      <c r="A202" s="14">
        <v>43894.708333333336</v>
      </c>
      <c r="B202" s="13" t="s">
        <v>23</v>
      </c>
      <c r="C202" s="2">
        <v>14</v>
      </c>
      <c r="D202" s="13" t="s">
        <v>54</v>
      </c>
      <c r="E202" s="2">
        <v>4155774754</v>
      </c>
      <c r="F202" s="2">
        <v>1465916051</v>
      </c>
      <c r="G202" s="2">
        <v>3</v>
      </c>
      <c r="H202" s="2">
        <v>0</v>
      </c>
      <c r="I202" s="2">
        <v>3</v>
      </c>
      <c r="J202" s="2">
        <v>0</v>
      </c>
      <c r="K202" s="2">
        <v>3</v>
      </c>
      <c r="L202" s="2">
        <v>0</v>
      </c>
      <c r="M202" s="2">
        <v>0</v>
      </c>
      <c r="N202" s="2">
        <v>0</v>
      </c>
      <c r="O202" s="2">
        <v>0</v>
      </c>
      <c r="P202" s="2">
        <v>3</v>
      </c>
      <c r="Q202" s="2">
        <v>19</v>
      </c>
      <c r="R202" s="13" t="s">
        <v>27</v>
      </c>
      <c r="S202" s="13" t="s">
        <v>27</v>
      </c>
    </row>
    <row r="203" spans="1:19" hidden="1" x14ac:dyDescent="0.3">
      <c r="A203" s="14">
        <v>43894.708333333336</v>
      </c>
      <c r="B203" s="13" t="s">
        <v>23</v>
      </c>
      <c r="C203" s="2">
        <v>1</v>
      </c>
      <c r="D203" s="13" t="s">
        <v>55</v>
      </c>
      <c r="E203" s="2">
        <v>450732745</v>
      </c>
      <c r="F203" s="2">
        <v>7680687483</v>
      </c>
      <c r="G203" s="2">
        <v>26</v>
      </c>
      <c r="H203" s="2">
        <v>13</v>
      </c>
      <c r="I203" s="2">
        <v>39</v>
      </c>
      <c r="J203" s="2">
        <v>43</v>
      </c>
      <c r="K203" s="2">
        <v>82</v>
      </c>
      <c r="L203" s="2">
        <v>26</v>
      </c>
      <c r="M203" s="2">
        <v>26</v>
      </c>
      <c r="N203" s="2">
        <v>0</v>
      </c>
      <c r="O203" s="2">
        <v>0</v>
      </c>
      <c r="P203" s="2">
        <v>82</v>
      </c>
      <c r="Q203" s="2">
        <v>543</v>
      </c>
      <c r="R203" s="13" t="s">
        <v>27</v>
      </c>
      <c r="S203" s="13" t="s">
        <v>27</v>
      </c>
    </row>
    <row r="204" spans="1:19" hidden="1" x14ac:dyDescent="0.3">
      <c r="A204" s="14">
        <v>43894.708333333336</v>
      </c>
      <c r="B204" s="13" t="s">
        <v>23</v>
      </c>
      <c r="C204" s="2">
        <v>16</v>
      </c>
      <c r="D204" s="13" t="s">
        <v>56</v>
      </c>
      <c r="E204" s="2">
        <v>4112559576</v>
      </c>
      <c r="F204" s="2">
        <v>1686736689</v>
      </c>
      <c r="G204" s="2">
        <v>4</v>
      </c>
      <c r="H204" s="2">
        <v>0</v>
      </c>
      <c r="I204" s="2">
        <v>4</v>
      </c>
      <c r="J204" s="2">
        <v>3</v>
      </c>
      <c r="K204" s="2">
        <v>7</v>
      </c>
      <c r="L204" s="2">
        <v>1</v>
      </c>
      <c r="M204" s="2">
        <v>3</v>
      </c>
      <c r="N204" s="2">
        <v>1</v>
      </c>
      <c r="O204" s="2">
        <v>1</v>
      </c>
      <c r="P204" s="2">
        <v>9</v>
      </c>
      <c r="Q204" s="2">
        <v>322</v>
      </c>
      <c r="R204" s="13" t="s">
        <v>27</v>
      </c>
      <c r="S204" s="13" t="s">
        <v>27</v>
      </c>
    </row>
    <row r="205" spans="1:19" hidden="1" x14ac:dyDescent="0.3">
      <c r="A205" s="14">
        <v>43894.708333333336</v>
      </c>
      <c r="B205" s="13" t="s">
        <v>23</v>
      </c>
      <c r="C205" s="2">
        <v>20</v>
      </c>
      <c r="D205" s="13" t="s">
        <v>57</v>
      </c>
      <c r="E205" s="2">
        <v>3921531192</v>
      </c>
      <c r="F205" s="2">
        <v>9110616306</v>
      </c>
      <c r="G205" s="2">
        <v>1</v>
      </c>
      <c r="H205" s="2">
        <v>0</v>
      </c>
      <c r="I205" s="2">
        <v>1</v>
      </c>
      <c r="J205" s="2">
        <v>1</v>
      </c>
      <c r="K205" s="2">
        <v>2</v>
      </c>
      <c r="L205" s="2">
        <v>1</v>
      </c>
      <c r="M205" s="2">
        <v>1</v>
      </c>
      <c r="N205" s="2">
        <v>0</v>
      </c>
      <c r="O205" s="2">
        <v>0</v>
      </c>
      <c r="P205" s="2">
        <v>2</v>
      </c>
      <c r="Q205" s="2">
        <v>42</v>
      </c>
      <c r="R205" s="13" t="s">
        <v>27</v>
      </c>
      <c r="S205" s="13" t="s">
        <v>27</v>
      </c>
    </row>
    <row r="206" spans="1:19" hidden="1" x14ac:dyDescent="0.3">
      <c r="A206" s="14">
        <v>43894.708333333336</v>
      </c>
      <c r="B206" s="13" t="s">
        <v>23</v>
      </c>
      <c r="C206" s="2">
        <v>19</v>
      </c>
      <c r="D206" s="13" t="s">
        <v>58</v>
      </c>
      <c r="E206" s="2">
        <v>3811569725</v>
      </c>
      <c r="F206" s="2">
        <v>133623567</v>
      </c>
      <c r="G206" s="2">
        <v>5</v>
      </c>
      <c r="H206" s="2">
        <v>0</v>
      </c>
      <c r="I206" s="2">
        <v>5</v>
      </c>
      <c r="J206" s="2">
        <v>11</v>
      </c>
      <c r="K206" s="2">
        <v>16</v>
      </c>
      <c r="L206" s="2">
        <v>11</v>
      </c>
      <c r="M206" s="2">
        <v>11</v>
      </c>
      <c r="N206" s="2">
        <v>2</v>
      </c>
      <c r="O206" s="2">
        <v>0</v>
      </c>
      <c r="P206" s="2">
        <v>18</v>
      </c>
      <c r="Q206" s="2">
        <v>367</v>
      </c>
      <c r="R206" s="13" t="s">
        <v>27</v>
      </c>
      <c r="S206" s="13" t="s">
        <v>27</v>
      </c>
    </row>
    <row r="207" spans="1:19" hidden="1" x14ac:dyDescent="0.3">
      <c r="A207" s="14">
        <v>43894.708333333336</v>
      </c>
      <c r="B207" s="13" t="s">
        <v>23</v>
      </c>
      <c r="C207" s="2">
        <v>9</v>
      </c>
      <c r="D207" s="13" t="s">
        <v>59</v>
      </c>
      <c r="E207" s="2">
        <v>4376923077</v>
      </c>
      <c r="F207" s="2">
        <v>1125588885</v>
      </c>
      <c r="G207" s="2">
        <v>15</v>
      </c>
      <c r="H207" s="2">
        <v>2</v>
      </c>
      <c r="I207" s="2">
        <v>17</v>
      </c>
      <c r="J207" s="2">
        <v>20</v>
      </c>
      <c r="K207" s="2">
        <v>37</v>
      </c>
      <c r="L207" s="2">
        <v>19</v>
      </c>
      <c r="M207" s="2">
        <v>19</v>
      </c>
      <c r="N207" s="2">
        <v>1</v>
      </c>
      <c r="O207" s="2">
        <v>0</v>
      </c>
      <c r="P207" s="2">
        <v>38</v>
      </c>
      <c r="Q207" s="2">
        <v>776</v>
      </c>
      <c r="R207" s="13" t="s">
        <v>27</v>
      </c>
      <c r="S207" s="13" t="s">
        <v>27</v>
      </c>
    </row>
    <row r="208" spans="1:19" hidden="1" x14ac:dyDescent="0.3">
      <c r="A208" s="14">
        <v>43894.708333333336</v>
      </c>
      <c r="B208" s="13" t="s">
        <v>23</v>
      </c>
      <c r="C208" s="2">
        <v>4</v>
      </c>
      <c r="D208" s="13" t="s">
        <v>60</v>
      </c>
      <c r="E208" s="2">
        <v>4606893511</v>
      </c>
      <c r="F208" s="2">
        <v>1112123097</v>
      </c>
      <c r="G208" s="2">
        <v>1</v>
      </c>
      <c r="H208" s="2">
        <v>0</v>
      </c>
      <c r="I208" s="2">
        <v>1</v>
      </c>
      <c r="J208" s="2">
        <v>4</v>
      </c>
      <c r="K208" s="2">
        <v>5</v>
      </c>
      <c r="L208" s="2">
        <v>1</v>
      </c>
      <c r="M208" s="2">
        <v>1</v>
      </c>
      <c r="N208" s="2">
        <v>0</v>
      </c>
      <c r="O208" s="2">
        <v>0</v>
      </c>
      <c r="P208" s="2">
        <v>5</v>
      </c>
      <c r="Q208" s="2">
        <v>122</v>
      </c>
      <c r="R208" s="13" t="s">
        <v>27</v>
      </c>
      <c r="S208" s="13" t="s">
        <v>27</v>
      </c>
    </row>
    <row r="209" spans="1:19" hidden="1" x14ac:dyDescent="0.3">
      <c r="A209" s="14">
        <v>43894.708333333336</v>
      </c>
      <c r="B209" s="13" t="s">
        <v>23</v>
      </c>
      <c r="C209" s="2">
        <v>10</v>
      </c>
      <c r="D209" s="13" t="s">
        <v>61</v>
      </c>
      <c r="E209" s="2">
        <v>4310675841</v>
      </c>
      <c r="F209" s="2">
        <v>1238824698</v>
      </c>
      <c r="G209" s="2">
        <v>1</v>
      </c>
      <c r="H209" s="2">
        <v>1</v>
      </c>
      <c r="I209" s="2">
        <v>2</v>
      </c>
      <c r="J209" s="2">
        <v>7</v>
      </c>
      <c r="K209" s="2">
        <v>9</v>
      </c>
      <c r="L209" s="2">
        <v>1</v>
      </c>
      <c r="M209" s="2">
        <v>1</v>
      </c>
      <c r="N209" s="2">
        <v>0</v>
      </c>
      <c r="O209" s="2">
        <v>0</v>
      </c>
      <c r="P209" s="2">
        <v>9</v>
      </c>
      <c r="Q209" s="2">
        <v>58</v>
      </c>
      <c r="R209" s="13" t="s">
        <v>27</v>
      </c>
      <c r="S209" s="13" t="s">
        <v>27</v>
      </c>
    </row>
    <row r="210" spans="1:19" hidden="1" x14ac:dyDescent="0.3">
      <c r="A210" s="14">
        <v>43894.708333333336</v>
      </c>
      <c r="B210" s="13" t="s">
        <v>23</v>
      </c>
      <c r="C210" s="2">
        <v>2</v>
      </c>
      <c r="D210" s="13" t="s">
        <v>62</v>
      </c>
      <c r="E210" s="2">
        <v>4573750286</v>
      </c>
      <c r="F210" s="2">
        <v>7320149366</v>
      </c>
      <c r="G210" s="2">
        <v>0</v>
      </c>
      <c r="H210" s="2">
        <v>0</v>
      </c>
      <c r="I210" s="2">
        <v>0</v>
      </c>
      <c r="J210" s="2">
        <v>0</v>
      </c>
      <c r="K210" s="2">
        <v>0</v>
      </c>
      <c r="L210" s="2">
        <v>0</v>
      </c>
      <c r="M210" s="2">
        <v>0</v>
      </c>
      <c r="N210" s="2">
        <v>0</v>
      </c>
      <c r="O210" s="2">
        <v>0</v>
      </c>
      <c r="P210" s="2">
        <v>0</v>
      </c>
      <c r="Q210" s="2">
        <v>15</v>
      </c>
      <c r="R210" s="13" t="s">
        <v>27</v>
      </c>
      <c r="S210" s="13" t="s">
        <v>27</v>
      </c>
    </row>
    <row r="211" spans="1:19" hidden="1" x14ac:dyDescent="0.3">
      <c r="A211" s="14">
        <v>43894.708333333336</v>
      </c>
      <c r="B211" s="13" t="s">
        <v>23</v>
      </c>
      <c r="C211" s="2">
        <v>5</v>
      </c>
      <c r="D211" s="13" t="s">
        <v>63</v>
      </c>
      <c r="E211" s="2">
        <v>4543490485</v>
      </c>
      <c r="F211" s="2">
        <v>1233845213</v>
      </c>
      <c r="G211" s="2">
        <v>76</v>
      </c>
      <c r="H211" s="2">
        <v>23</v>
      </c>
      <c r="I211" s="2">
        <v>99</v>
      </c>
      <c r="J211" s="2">
        <v>246</v>
      </c>
      <c r="K211" s="2">
        <v>345</v>
      </c>
      <c r="L211" s="2">
        <v>48</v>
      </c>
      <c r="M211" s="2">
        <v>53</v>
      </c>
      <c r="N211" s="2">
        <v>9</v>
      </c>
      <c r="O211" s="2">
        <v>6</v>
      </c>
      <c r="P211" s="2">
        <v>360</v>
      </c>
      <c r="Q211" s="2">
        <v>10515</v>
      </c>
      <c r="R211" s="13" t="s">
        <v>27</v>
      </c>
      <c r="S211" s="13" t="s">
        <v>27</v>
      </c>
    </row>
    <row r="212" spans="1:19" hidden="1" x14ac:dyDescent="0.3">
      <c r="A212" s="14">
        <v>43895.708333333336</v>
      </c>
      <c r="B212" s="13" t="s">
        <v>23</v>
      </c>
      <c r="C212" s="2">
        <v>13</v>
      </c>
      <c r="D212" s="13" t="s">
        <v>44</v>
      </c>
      <c r="E212" s="2">
        <v>4235122196</v>
      </c>
      <c r="F212" s="2">
        <v>1339843823</v>
      </c>
      <c r="G212" s="2">
        <v>8</v>
      </c>
      <c r="H212" s="2">
        <v>0</v>
      </c>
      <c r="I212" s="2">
        <v>8</v>
      </c>
      <c r="J212" s="2">
        <v>0</v>
      </c>
      <c r="K212" s="2">
        <v>8</v>
      </c>
      <c r="L212" s="2">
        <v>1</v>
      </c>
      <c r="M212" s="2">
        <v>1</v>
      </c>
      <c r="N212" s="2">
        <v>0</v>
      </c>
      <c r="O212" s="2">
        <v>0</v>
      </c>
      <c r="P212" s="2">
        <v>8</v>
      </c>
      <c r="Q212" s="2">
        <v>96</v>
      </c>
      <c r="R212" s="13" t="s">
        <v>27</v>
      </c>
      <c r="S212" s="13" t="s">
        <v>27</v>
      </c>
    </row>
    <row r="213" spans="1:19" hidden="1" x14ac:dyDescent="0.3">
      <c r="A213" s="14">
        <v>43895.708333333336</v>
      </c>
      <c r="B213" s="13" t="s">
        <v>23</v>
      </c>
      <c r="C213" s="2">
        <v>17</v>
      </c>
      <c r="D213" s="13" t="s">
        <v>45</v>
      </c>
      <c r="E213" s="2">
        <v>4063947052</v>
      </c>
      <c r="F213" s="2">
        <v>1580514834</v>
      </c>
      <c r="G213" s="2">
        <v>0</v>
      </c>
      <c r="H213" s="2">
        <v>0</v>
      </c>
      <c r="I213" s="2">
        <v>0</v>
      </c>
      <c r="J213" s="2">
        <v>1</v>
      </c>
      <c r="K213" s="2">
        <v>1</v>
      </c>
      <c r="L213" s="2">
        <v>0</v>
      </c>
      <c r="M213" s="2">
        <v>0</v>
      </c>
      <c r="N213" s="2">
        <v>0</v>
      </c>
      <c r="O213" s="2">
        <v>0</v>
      </c>
      <c r="P213" s="2">
        <v>1</v>
      </c>
      <c r="Q213" s="2">
        <v>54</v>
      </c>
      <c r="R213" s="13" t="s">
        <v>27</v>
      </c>
      <c r="S213" s="13" t="s">
        <v>27</v>
      </c>
    </row>
    <row r="214" spans="1:19" hidden="1" x14ac:dyDescent="0.3">
      <c r="A214" s="14">
        <v>43895.708333333336</v>
      </c>
      <c r="B214" s="13" t="s">
        <v>23</v>
      </c>
      <c r="C214" s="2">
        <v>4</v>
      </c>
      <c r="D214" s="13" t="s">
        <v>46</v>
      </c>
      <c r="E214" s="2">
        <v>4649933453</v>
      </c>
      <c r="F214" s="2">
        <v>1135662422</v>
      </c>
      <c r="G214" s="2">
        <v>1</v>
      </c>
      <c r="H214" s="2">
        <v>0</v>
      </c>
      <c r="I214" s="2">
        <v>1</v>
      </c>
      <c r="J214" s="2">
        <v>0</v>
      </c>
      <c r="K214" s="2">
        <v>1</v>
      </c>
      <c r="L214" s="2">
        <v>0</v>
      </c>
      <c r="M214" s="2">
        <v>0</v>
      </c>
      <c r="N214" s="2">
        <v>0</v>
      </c>
      <c r="O214" s="2">
        <v>0</v>
      </c>
      <c r="P214" s="2">
        <v>1</v>
      </c>
      <c r="Q214" s="2">
        <v>20</v>
      </c>
      <c r="R214" s="13" t="s">
        <v>27</v>
      </c>
      <c r="S214" s="13" t="s">
        <v>27</v>
      </c>
    </row>
    <row r="215" spans="1:19" hidden="1" x14ac:dyDescent="0.3">
      <c r="A215" s="14">
        <v>43895.708333333336</v>
      </c>
      <c r="B215" s="13" t="s">
        <v>23</v>
      </c>
      <c r="C215" s="2">
        <v>18</v>
      </c>
      <c r="D215" s="13" t="s">
        <v>47</v>
      </c>
      <c r="E215" s="2">
        <v>3890597598</v>
      </c>
      <c r="F215" s="2">
        <v>1659440194</v>
      </c>
      <c r="G215" s="2">
        <v>1</v>
      </c>
      <c r="H215" s="2">
        <v>0</v>
      </c>
      <c r="I215" s="2">
        <v>1</v>
      </c>
      <c r="J215" s="2">
        <v>1</v>
      </c>
      <c r="K215" s="2">
        <v>2</v>
      </c>
      <c r="L215" s="2">
        <v>1</v>
      </c>
      <c r="M215" s="2">
        <v>1</v>
      </c>
      <c r="N215" s="2">
        <v>0</v>
      </c>
      <c r="O215" s="2">
        <v>0</v>
      </c>
      <c r="P215" s="2">
        <v>2</v>
      </c>
      <c r="Q215" s="2">
        <v>53</v>
      </c>
      <c r="R215" s="13" t="s">
        <v>27</v>
      </c>
      <c r="S215" s="13" t="s">
        <v>27</v>
      </c>
    </row>
    <row r="216" spans="1:19" hidden="1" x14ac:dyDescent="0.3">
      <c r="A216" s="14">
        <v>43895.708333333336</v>
      </c>
      <c r="B216" s="13" t="s">
        <v>23</v>
      </c>
      <c r="C216" s="2">
        <v>15</v>
      </c>
      <c r="D216" s="13" t="s">
        <v>48</v>
      </c>
      <c r="E216" s="2">
        <v>4083956555</v>
      </c>
      <c r="F216" s="2">
        <v>1425084984</v>
      </c>
      <c r="G216" s="2">
        <v>12</v>
      </c>
      <c r="H216" s="2">
        <v>0</v>
      </c>
      <c r="I216" s="2">
        <v>12</v>
      </c>
      <c r="J216" s="2">
        <v>33</v>
      </c>
      <c r="K216" s="2">
        <v>45</v>
      </c>
      <c r="L216" s="2">
        <v>14</v>
      </c>
      <c r="M216" s="2">
        <v>14</v>
      </c>
      <c r="N216" s="2">
        <v>0</v>
      </c>
      <c r="O216" s="2">
        <v>0</v>
      </c>
      <c r="P216" s="2">
        <v>45</v>
      </c>
      <c r="Q216" s="2">
        <v>471</v>
      </c>
      <c r="R216" s="13" t="s">
        <v>27</v>
      </c>
      <c r="S216" s="13" t="s">
        <v>27</v>
      </c>
    </row>
    <row r="217" spans="1:19" hidden="1" x14ac:dyDescent="0.3">
      <c r="A217" s="14">
        <v>43895.708333333336</v>
      </c>
      <c r="B217" s="13" t="s">
        <v>23</v>
      </c>
      <c r="C217" s="2">
        <v>8</v>
      </c>
      <c r="D217" s="13" t="s">
        <v>98</v>
      </c>
      <c r="E217" s="2">
        <v>4449436681</v>
      </c>
      <c r="F217" s="2">
        <v>113417208</v>
      </c>
      <c r="G217" s="2">
        <v>327</v>
      </c>
      <c r="H217" s="2">
        <v>32</v>
      </c>
      <c r="I217" s="2">
        <v>359</v>
      </c>
      <c r="J217" s="2">
        <v>299</v>
      </c>
      <c r="K217" s="2">
        <v>658</v>
      </c>
      <c r="L217" s="2">
        <v>142</v>
      </c>
      <c r="M217" s="2">
        <v>154</v>
      </c>
      <c r="N217" s="2">
        <v>10</v>
      </c>
      <c r="O217" s="2">
        <v>30</v>
      </c>
      <c r="P217" s="2">
        <v>698</v>
      </c>
      <c r="Q217" s="2">
        <v>2884</v>
      </c>
      <c r="R217" s="13" t="s">
        <v>27</v>
      </c>
      <c r="S217" s="13" t="s">
        <v>27</v>
      </c>
    </row>
    <row r="218" spans="1:19" hidden="1" x14ac:dyDescent="0.3">
      <c r="A218" s="14">
        <v>43895.708333333336</v>
      </c>
      <c r="B218" s="13" t="s">
        <v>23</v>
      </c>
      <c r="C218" s="2">
        <v>6</v>
      </c>
      <c r="D218" s="13" t="s">
        <v>49</v>
      </c>
      <c r="E218" s="2">
        <v>456494354</v>
      </c>
      <c r="F218" s="2">
        <v>1376813649</v>
      </c>
      <c r="G218" s="2">
        <v>4</v>
      </c>
      <c r="H218" s="2">
        <v>0</v>
      </c>
      <c r="I218" s="2">
        <v>4</v>
      </c>
      <c r="J218" s="2">
        <v>17</v>
      </c>
      <c r="K218" s="2">
        <v>21</v>
      </c>
      <c r="L218" s="2">
        <v>3</v>
      </c>
      <c r="M218" s="2">
        <v>3</v>
      </c>
      <c r="N218" s="2">
        <v>0</v>
      </c>
      <c r="O218" s="2">
        <v>0</v>
      </c>
      <c r="P218" s="2">
        <v>21</v>
      </c>
      <c r="Q218" s="2">
        <v>397</v>
      </c>
      <c r="R218" s="13" t="s">
        <v>27</v>
      </c>
      <c r="S218" s="13" t="s">
        <v>27</v>
      </c>
    </row>
    <row r="219" spans="1:19" hidden="1" x14ac:dyDescent="0.3">
      <c r="A219" s="14">
        <v>43895.708333333336</v>
      </c>
      <c r="B219" s="13" t="s">
        <v>23</v>
      </c>
      <c r="C219" s="2">
        <v>12</v>
      </c>
      <c r="D219" s="13" t="s">
        <v>50</v>
      </c>
      <c r="E219" s="2">
        <v>4189277044</v>
      </c>
      <c r="F219" s="2">
        <v>1248366722</v>
      </c>
      <c r="G219" s="2">
        <v>20</v>
      </c>
      <c r="H219" s="2">
        <v>7</v>
      </c>
      <c r="I219" s="2">
        <v>27</v>
      </c>
      <c r="J219" s="2">
        <v>14</v>
      </c>
      <c r="K219" s="2">
        <v>41</v>
      </c>
      <c r="L219" s="2">
        <v>14</v>
      </c>
      <c r="M219" s="2">
        <v>14</v>
      </c>
      <c r="N219" s="2">
        <v>3</v>
      </c>
      <c r="O219" s="2">
        <v>0</v>
      </c>
      <c r="P219" s="2">
        <v>44</v>
      </c>
      <c r="Q219" s="2">
        <v>1175</v>
      </c>
      <c r="R219" s="13" t="s">
        <v>27</v>
      </c>
      <c r="S219" s="13" t="s">
        <v>27</v>
      </c>
    </row>
    <row r="220" spans="1:19" hidden="1" x14ac:dyDescent="0.3">
      <c r="A220" s="14">
        <v>43895.708333333336</v>
      </c>
      <c r="B220" s="13" t="s">
        <v>23</v>
      </c>
      <c r="C220" s="2">
        <v>7</v>
      </c>
      <c r="D220" s="13" t="s">
        <v>51</v>
      </c>
      <c r="E220" s="2">
        <v>4441149315</v>
      </c>
      <c r="F220" s="2">
        <v>89326992</v>
      </c>
      <c r="G220" s="2">
        <v>11</v>
      </c>
      <c r="H220" s="2">
        <v>3</v>
      </c>
      <c r="I220" s="2">
        <v>14</v>
      </c>
      <c r="J220" s="2">
        <v>7</v>
      </c>
      <c r="K220" s="2">
        <v>21</v>
      </c>
      <c r="L220" s="2">
        <v>0</v>
      </c>
      <c r="M220" s="2">
        <v>2</v>
      </c>
      <c r="N220" s="2">
        <v>4</v>
      </c>
      <c r="O220" s="2">
        <v>3</v>
      </c>
      <c r="P220" s="2">
        <v>28</v>
      </c>
      <c r="Q220" s="2">
        <v>146</v>
      </c>
      <c r="R220" s="13" t="s">
        <v>27</v>
      </c>
      <c r="S220" s="13" t="s">
        <v>27</v>
      </c>
    </row>
    <row r="221" spans="1:19" x14ac:dyDescent="0.3">
      <c r="A221" s="14">
        <v>43895.708333333336</v>
      </c>
      <c r="B221" s="13" t="s">
        <v>23</v>
      </c>
      <c r="C221" s="2">
        <v>3</v>
      </c>
      <c r="D221" s="13" t="s">
        <v>52</v>
      </c>
      <c r="E221" s="2">
        <v>4546679409</v>
      </c>
      <c r="F221" s="2">
        <v>9190347404</v>
      </c>
      <c r="G221" s="2">
        <v>1169</v>
      </c>
      <c r="H221" s="2">
        <v>244</v>
      </c>
      <c r="I221" s="2">
        <v>1413</v>
      </c>
      <c r="J221" s="2">
        <v>364</v>
      </c>
      <c r="K221" s="2">
        <v>1777</v>
      </c>
      <c r="L221" s="2">
        <v>280</v>
      </c>
      <c r="M221" s="2">
        <v>431</v>
      </c>
      <c r="N221" s="2">
        <v>376</v>
      </c>
      <c r="O221" s="2">
        <v>98</v>
      </c>
      <c r="P221" s="2">
        <v>2251</v>
      </c>
      <c r="Q221" s="2">
        <v>12354</v>
      </c>
      <c r="R221" s="13" t="s">
        <v>27</v>
      </c>
      <c r="S221" s="13" t="s">
        <v>27</v>
      </c>
    </row>
    <row r="222" spans="1:19" hidden="1" x14ac:dyDescent="0.3">
      <c r="A222" s="14">
        <v>43895.708333333336</v>
      </c>
      <c r="B222" s="13" t="s">
        <v>23</v>
      </c>
      <c r="C222" s="2">
        <v>11</v>
      </c>
      <c r="D222" s="13" t="s">
        <v>53</v>
      </c>
      <c r="E222" s="2">
        <v>4361675973</v>
      </c>
      <c r="F222" s="2">
        <v>135188753</v>
      </c>
      <c r="G222" s="2">
        <v>57</v>
      </c>
      <c r="H222" s="2">
        <v>19</v>
      </c>
      <c r="I222" s="2">
        <v>76</v>
      </c>
      <c r="J222" s="2">
        <v>44</v>
      </c>
      <c r="K222" s="2">
        <v>120</v>
      </c>
      <c r="L222" s="2">
        <v>40</v>
      </c>
      <c r="M222" s="2">
        <v>40</v>
      </c>
      <c r="N222" s="2">
        <v>0</v>
      </c>
      <c r="O222" s="2">
        <v>4</v>
      </c>
      <c r="P222" s="2">
        <v>124</v>
      </c>
      <c r="Q222" s="2">
        <v>413</v>
      </c>
      <c r="R222" s="13" t="s">
        <v>27</v>
      </c>
      <c r="S222" s="13" t="s">
        <v>27</v>
      </c>
    </row>
    <row r="223" spans="1:19" hidden="1" x14ac:dyDescent="0.3">
      <c r="A223" s="14">
        <v>43895.708333333336</v>
      </c>
      <c r="B223" s="13" t="s">
        <v>23</v>
      </c>
      <c r="C223" s="2">
        <v>14</v>
      </c>
      <c r="D223" s="13" t="s">
        <v>54</v>
      </c>
      <c r="E223" s="2">
        <v>4155774754</v>
      </c>
      <c r="F223" s="2">
        <v>1465916051</v>
      </c>
      <c r="G223" s="2">
        <v>4</v>
      </c>
      <c r="H223" s="2">
        <v>0</v>
      </c>
      <c r="I223" s="2">
        <v>4</v>
      </c>
      <c r="J223" s="2">
        <v>3</v>
      </c>
      <c r="K223" s="2">
        <v>7</v>
      </c>
      <c r="L223" s="2">
        <v>4</v>
      </c>
      <c r="M223" s="2">
        <v>4</v>
      </c>
      <c r="N223" s="2">
        <v>0</v>
      </c>
      <c r="O223" s="2">
        <v>0</v>
      </c>
      <c r="P223" s="2">
        <v>7</v>
      </c>
      <c r="Q223" s="2">
        <v>24</v>
      </c>
      <c r="R223" s="13" t="s">
        <v>27</v>
      </c>
      <c r="S223" s="13" t="s">
        <v>27</v>
      </c>
    </row>
    <row r="224" spans="1:19" hidden="1" x14ac:dyDescent="0.3">
      <c r="A224" s="14">
        <v>43895.708333333336</v>
      </c>
      <c r="B224" s="13" t="s">
        <v>23</v>
      </c>
      <c r="C224" s="2">
        <v>1</v>
      </c>
      <c r="D224" s="13" t="s">
        <v>55</v>
      </c>
      <c r="E224" s="2">
        <v>450732745</v>
      </c>
      <c r="F224" s="2">
        <v>7680687483</v>
      </c>
      <c r="G224" s="2">
        <v>43</v>
      </c>
      <c r="H224" s="2">
        <v>17</v>
      </c>
      <c r="I224" s="2">
        <v>60</v>
      </c>
      <c r="J224" s="2">
        <v>46</v>
      </c>
      <c r="K224" s="2">
        <v>106</v>
      </c>
      <c r="L224" s="2">
        <v>24</v>
      </c>
      <c r="M224" s="2">
        <v>26</v>
      </c>
      <c r="N224" s="2">
        <v>0</v>
      </c>
      <c r="O224" s="2">
        <v>2</v>
      </c>
      <c r="P224" s="2">
        <v>108</v>
      </c>
      <c r="Q224" s="2">
        <v>543</v>
      </c>
      <c r="R224" s="13" t="s">
        <v>27</v>
      </c>
      <c r="S224" s="13" t="s">
        <v>27</v>
      </c>
    </row>
    <row r="225" spans="1:19" hidden="1" x14ac:dyDescent="0.3">
      <c r="A225" s="14">
        <v>43895.708333333336</v>
      </c>
      <c r="B225" s="13" t="s">
        <v>23</v>
      </c>
      <c r="C225" s="2">
        <v>16</v>
      </c>
      <c r="D225" s="13" t="s">
        <v>56</v>
      </c>
      <c r="E225" s="2">
        <v>4112559576</v>
      </c>
      <c r="F225" s="2">
        <v>1686736689</v>
      </c>
      <c r="G225" s="2">
        <v>5</v>
      </c>
      <c r="H225" s="2">
        <v>1</v>
      </c>
      <c r="I225" s="2">
        <v>6</v>
      </c>
      <c r="J225" s="2">
        <v>6</v>
      </c>
      <c r="K225" s="2">
        <v>12</v>
      </c>
      <c r="L225" s="2">
        <v>5</v>
      </c>
      <c r="M225" s="2">
        <v>5</v>
      </c>
      <c r="N225" s="2">
        <v>1</v>
      </c>
      <c r="O225" s="2">
        <v>1</v>
      </c>
      <c r="P225" s="2">
        <v>14</v>
      </c>
      <c r="Q225" s="2">
        <v>359</v>
      </c>
      <c r="R225" s="13" t="s">
        <v>27</v>
      </c>
      <c r="S225" s="13" t="s">
        <v>27</v>
      </c>
    </row>
    <row r="226" spans="1:19" hidden="1" x14ac:dyDescent="0.3">
      <c r="A226" s="14">
        <v>43895.708333333336</v>
      </c>
      <c r="B226" s="13" t="s">
        <v>23</v>
      </c>
      <c r="C226" s="2">
        <v>20</v>
      </c>
      <c r="D226" s="13" t="s">
        <v>57</v>
      </c>
      <c r="E226" s="2">
        <v>3921531192</v>
      </c>
      <c r="F226" s="2">
        <v>9110616306</v>
      </c>
      <c r="G226" s="2">
        <v>2</v>
      </c>
      <c r="H226" s="2">
        <v>0</v>
      </c>
      <c r="I226" s="2">
        <v>2</v>
      </c>
      <c r="J226" s="2">
        <v>0</v>
      </c>
      <c r="K226" s="2">
        <v>2</v>
      </c>
      <c r="L226" s="2">
        <v>0</v>
      </c>
      <c r="M226" s="2">
        <v>0</v>
      </c>
      <c r="N226" s="2">
        <v>0</v>
      </c>
      <c r="O226" s="2">
        <v>0</v>
      </c>
      <c r="P226" s="2">
        <v>2</v>
      </c>
      <c r="Q226" s="2">
        <v>50</v>
      </c>
      <c r="R226" s="13" t="s">
        <v>27</v>
      </c>
      <c r="S226" s="13" t="s">
        <v>27</v>
      </c>
    </row>
    <row r="227" spans="1:19" hidden="1" x14ac:dyDescent="0.3">
      <c r="A227" s="14">
        <v>43895.708333333336</v>
      </c>
      <c r="B227" s="13" t="s">
        <v>23</v>
      </c>
      <c r="C227" s="2">
        <v>19</v>
      </c>
      <c r="D227" s="13" t="s">
        <v>58</v>
      </c>
      <c r="E227" s="2">
        <v>3811569725</v>
      </c>
      <c r="F227" s="2">
        <v>133623567</v>
      </c>
      <c r="G227" s="2">
        <v>5</v>
      </c>
      <c r="H227" s="2">
        <v>0</v>
      </c>
      <c r="I227" s="2">
        <v>5</v>
      </c>
      <c r="J227" s="2">
        <v>11</v>
      </c>
      <c r="K227" s="2">
        <v>16</v>
      </c>
      <c r="L227" s="2">
        <v>0</v>
      </c>
      <c r="M227" s="2">
        <v>0</v>
      </c>
      <c r="N227" s="2">
        <v>2</v>
      </c>
      <c r="O227" s="2">
        <v>0</v>
      </c>
      <c r="P227" s="2">
        <v>18</v>
      </c>
      <c r="Q227" s="2">
        <v>367</v>
      </c>
      <c r="R227" s="13" t="s">
        <v>27</v>
      </c>
      <c r="S227" s="13" t="s">
        <v>27</v>
      </c>
    </row>
    <row r="228" spans="1:19" hidden="1" x14ac:dyDescent="0.3">
      <c r="A228" s="14">
        <v>43895.708333333336</v>
      </c>
      <c r="B228" s="13" t="s">
        <v>23</v>
      </c>
      <c r="C228" s="2">
        <v>9</v>
      </c>
      <c r="D228" s="13" t="s">
        <v>59</v>
      </c>
      <c r="E228" s="2">
        <v>4376923077</v>
      </c>
      <c r="F228" s="2">
        <v>1125588885</v>
      </c>
      <c r="G228" s="2">
        <v>26</v>
      </c>
      <c r="H228" s="2">
        <v>3</v>
      </c>
      <c r="I228" s="2">
        <v>29</v>
      </c>
      <c r="J228" s="2">
        <v>31</v>
      </c>
      <c r="K228" s="2">
        <v>60</v>
      </c>
      <c r="L228" s="2">
        <v>23</v>
      </c>
      <c r="M228" s="2">
        <v>23</v>
      </c>
      <c r="N228" s="2">
        <v>1</v>
      </c>
      <c r="O228" s="2">
        <v>0</v>
      </c>
      <c r="P228" s="2">
        <v>61</v>
      </c>
      <c r="Q228" s="2">
        <v>776</v>
      </c>
      <c r="R228" s="13" t="s">
        <v>27</v>
      </c>
      <c r="S228" s="13" t="s">
        <v>27</v>
      </c>
    </row>
    <row r="229" spans="1:19" hidden="1" x14ac:dyDescent="0.3">
      <c r="A229" s="14">
        <v>43895.708333333336</v>
      </c>
      <c r="B229" s="13" t="s">
        <v>23</v>
      </c>
      <c r="C229" s="2">
        <v>4</v>
      </c>
      <c r="D229" s="13" t="s">
        <v>60</v>
      </c>
      <c r="E229" s="2">
        <v>4606893511</v>
      </c>
      <c r="F229" s="2">
        <v>1112123097</v>
      </c>
      <c r="G229" s="2">
        <v>2</v>
      </c>
      <c r="H229" s="2">
        <v>0</v>
      </c>
      <c r="I229" s="2">
        <v>2</v>
      </c>
      <c r="J229" s="2">
        <v>5</v>
      </c>
      <c r="K229" s="2">
        <v>7</v>
      </c>
      <c r="L229" s="2">
        <v>2</v>
      </c>
      <c r="M229" s="2">
        <v>2</v>
      </c>
      <c r="N229" s="2">
        <v>0</v>
      </c>
      <c r="O229" s="2">
        <v>0</v>
      </c>
      <c r="P229" s="2">
        <v>7</v>
      </c>
      <c r="Q229" s="2">
        <v>122</v>
      </c>
      <c r="R229" s="13" t="s">
        <v>27</v>
      </c>
      <c r="S229" s="13" t="s">
        <v>27</v>
      </c>
    </row>
    <row r="230" spans="1:19" hidden="1" x14ac:dyDescent="0.3">
      <c r="A230" s="14">
        <v>43895.708333333336</v>
      </c>
      <c r="B230" s="13" t="s">
        <v>23</v>
      </c>
      <c r="C230" s="2">
        <v>10</v>
      </c>
      <c r="D230" s="13" t="s">
        <v>61</v>
      </c>
      <c r="E230" s="2">
        <v>4310675841</v>
      </c>
      <c r="F230" s="2">
        <v>1238824698</v>
      </c>
      <c r="G230" s="2">
        <v>1</v>
      </c>
      <c r="H230" s="2">
        <v>1</v>
      </c>
      <c r="I230" s="2">
        <v>2</v>
      </c>
      <c r="J230" s="2">
        <v>7</v>
      </c>
      <c r="K230" s="2">
        <v>9</v>
      </c>
      <c r="L230" s="2">
        <v>0</v>
      </c>
      <c r="M230" s="2">
        <v>0</v>
      </c>
      <c r="N230" s="2">
        <v>0</v>
      </c>
      <c r="O230" s="2">
        <v>0</v>
      </c>
      <c r="P230" s="2">
        <v>9</v>
      </c>
      <c r="Q230" s="2">
        <v>88</v>
      </c>
      <c r="R230" s="13" t="s">
        <v>27</v>
      </c>
      <c r="S230" s="13" t="s">
        <v>27</v>
      </c>
    </row>
    <row r="231" spans="1:19" hidden="1" x14ac:dyDescent="0.3">
      <c r="A231" s="14">
        <v>43895.708333333336</v>
      </c>
      <c r="B231" s="13" t="s">
        <v>23</v>
      </c>
      <c r="C231" s="2">
        <v>2</v>
      </c>
      <c r="D231" s="13" t="s">
        <v>62</v>
      </c>
      <c r="E231" s="2">
        <v>4573750286</v>
      </c>
      <c r="F231" s="2">
        <v>7320149366</v>
      </c>
      <c r="G231" s="2">
        <v>0</v>
      </c>
      <c r="H231" s="2">
        <v>0</v>
      </c>
      <c r="I231" s="2">
        <v>0</v>
      </c>
      <c r="J231" s="2">
        <v>2</v>
      </c>
      <c r="K231" s="2">
        <v>2</v>
      </c>
      <c r="L231" s="2">
        <v>2</v>
      </c>
      <c r="M231" s="2">
        <v>2</v>
      </c>
      <c r="N231" s="2">
        <v>0</v>
      </c>
      <c r="O231" s="2">
        <v>0</v>
      </c>
      <c r="P231" s="2">
        <v>2</v>
      </c>
      <c r="Q231" s="2">
        <v>21</v>
      </c>
      <c r="R231" s="13" t="s">
        <v>27</v>
      </c>
      <c r="S231" s="13" t="s">
        <v>27</v>
      </c>
    </row>
    <row r="232" spans="1:19" hidden="1" x14ac:dyDescent="0.3">
      <c r="A232" s="14">
        <v>43895.708333333336</v>
      </c>
      <c r="B232" s="13" t="s">
        <v>23</v>
      </c>
      <c r="C232" s="2">
        <v>5</v>
      </c>
      <c r="D232" s="13" t="s">
        <v>63</v>
      </c>
      <c r="E232" s="2">
        <v>4543490485</v>
      </c>
      <c r="F232" s="2">
        <v>1233845213</v>
      </c>
      <c r="G232" s="2">
        <v>92</v>
      </c>
      <c r="H232" s="2">
        <v>24</v>
      </c>
      <c r="I232" s="2">
        <v>116</v>
      </c>
      <c r="J232" s="2">
        <v>264</v>
      </c>
      <c r="K232" s="2">
        <v>380</v>
      </c>
      <c r="L232" s="2">
        <v>35</v>
      </c>
      <c r="M232" s="2">
        <v>47</v>
      </c>
      <c r="N232" s="2">
        <v>17</v>
      </c>
      <c r="O232" s="2">
        <v>10</v>
      </c>
      <c r="P232" s="2">
        <v>407</v>
      </c>
      <c r="Q232" s="2">
        <v>11949</v>
      </c>
      <c r="R232" s="13" t="s">
        <v>27</v>
      </c>
      <c r="S232" s="13" t="s">
        <v>27</v>
      </c>
    </row>
    <row r="233" spans="1:19" hidden="1" x14ac:dyDescent="0.3">
      <c r="A233" s="14">
        <v>43896.708333333336</v>
      </c>
      <c r="B233" s="13" t="s">
        <v>23</v>
      </c>
      <c r="C233" s="2">
        <v>13</v>
      </c>
      <c r="D233" s="13" t="s">
        <v>44</v>
      </c>
      <c r="E233" s="2">
        <v>4235122196</v>
      </c>
      <c r="F233" s="2">
        <v>1339843823</v>
      </c>
      <c r="G233" s="2">
        <v>9</v>
      </c>
      <c r="H233" s="2">
        <v>0</v>
      </c>
      <c r="I233" s="2">
        <v>9</v>
      </c>
      <c r="J233" s="2">
        <v>0</v>
      </c>
      <c r="K233" s="2">
        <v>9</v>
      </c>
      <c r="L233" s="2">
        <v>1</v>
      </c>
      <c r="M233" s="2">
        <v>1</v>
      </c>
      <c r="N233" s="2">
        <v>0</v>
      </c>
      <c r="O233" s="2">
        <v>0</v>
      </c>
      <c r="P233" s="2">
        <v>9</v>
      </c>
      <c r="Q233" s="2">
        <v>96</v>
      </c>
      <c r="R233" s="13" t="s">
        <v>27</v>
      </c>
      <c r="S233" s="13" t="s">
        <v>27</v>
      </c>
    </row>
    <row r="234" spans="1:19" hidden="1" x14ac:dyDescent="0.3">
      <c r="A234" s="14">
        <v>43896.708333333336</v>
      </c>
      <c r="B234" s="13" t="s">
        <v>23</v>
      </c>
      <c r="C234" s="2">
        <v>17</v>
      </c>
      <c r="D234" s="13" t="s">
        <v>45</v>
      </c>
      <c r="E234" s="2">
        <v>4063947052</v>
      </c>
      <c r="F234" s="2">
        <v>1580514834</v>
      </c>
      <c r="G234" s="2">
        <v>1</v>
      </c>
      <c r="H234" s="2">
        <v>0</v>
      </c>
      <c r="I234" s="2">
        <v>1</v>
      </c>
      <c r="J234" s="2">
        <v>2</v>
      </c>
      <c r="K234" s="2">
        <v>3</v>
      </c>
      <c r="L234" s="2">
        <v>2</v>
      </c>
      <c r="M234" s="2">
        <v>2</v>
      </c>
      <c r="N234" s="2">
        <v>0</v>
      </c>
      <c r="O234" s="2">
        <v>0</v>
      </c>
      <c r="P234" s="2">
        <v>3</v>
      </c>
      <c r="Q234" s="2">
        <v>63</v>
      </c>
      <c r="R234" s="13" t="s">
        <v>27</v>
      </c>
      <c r="S234" s="13" t="s">
        <v>27</v>
      </c>
    </row>
    <row r="235" spans="1:19" hidden="1" x14ac:dyDescent="0.3">
      <c r="A235" s="14">
        <v>43896.708333333336</v>
      </c>
      <c r="B235" s="13" t="s">
        <v>23</v>
      </c>
      <c r="C235" s="2">
        <v>4</v>
      </c>
      <c r="D235" s="13" t="s">
        <v>46</v>
      </c>
      <c r="E235" s="2">
        <v>4649933453</v>
      </c>
      <c r="F235" s="2">
        <v>1135662422</v>
      </c>
      <c r="G235" s="2">
        <v>4</v>
      </c>
      <c r="H235" s="2">
        <v>0</v>
      </c>
      <c r="I235" s="2">
        <v>4</v>
      </c>
      <c r="J235" s="2">
        <v>0</v>
      </c>
      <c r="K235" s="2">
        <v>4</v>
      </c>
      <c r="L235" s="2">
        <v>3</v>
      </c>
      <c r="M235" s="2">
        <v>3</v>
      </c>
      <c r="N235" s="2">
        <v>0</v>
      </c>
      <c r="O235" s="2">
        <v>0</v>
      </c>
      <c r="P235" s="2">
        <v>4</v>
      </c>
      <c r="Q235" s="2">
        <v>36</v>
      </c>
      <c r="R235" s="13" t="s">
        <v>27</v>
      </c>
      <c r="S235" s="13" t="s">
        <v>27</v>
      </c>
    </row>
    <row r="236" spans="1:19" hidden="1" x14ac:dyDescent="0.3">
      <c r="A236" s="14">
        <v>43896.708333333336</v>
      </c>
      <c r="B236" s="13" t="s">
        <v>23</v>
      </c>
      <c r="C236" s="2">
        <v>18</v>
      </c>
      <c r="D236" s="13" t="s">
        <v>47</v>
      </c>
      <c r="E236" s="2">
        <v>3890597598</v>
      </c>
      <c r="F236" s="2">
        <v>1659440194</v>
      </c>
      <c r="G236" s="2">
        <v>2</v>
      </c>
      <c r="H236" s="2">
        <v>0</v>
      </c>
      <c r="I236" s="2">
        <v>2</v>
      </c>
      <c r="J236" s="2">
        <v>2</v>
      </c>
      <c r="K236" s="2">
        <v>4</v>
      </c>
      <c r="L236" s="2">
        <v>2</v>
      </c>
      <c r="M236" s="2">
        <v>2</v>
      </c>
      <c r="N236" s="2">
        <v>0</v>
      </c>
      <c r="O236" s="2">
        <v>0</v>
      </c>
      <c r="P236" s="2">
        <v>4</v>
      </c>
      <c r="Q236" s="2">
        <v>99</v>
      </c>
      <c r="R236" s="13" t="s">
        <v>27</v>
      </c>
      <c r="S236" s="13" t="s">
        <v>27</v>
      </c>
    </row>
    <row r="237" spans="1:19" hidden="1" x14ac:dyDescent="0.3">
      <c r="A237" s="14">
        <v>43896.708333333336</v>
      </c>
      <c r="B237" s="13" t="s">
        <v>23</v>
      </c>
      <c r="C237" s="2">
        <v>15</v>
      </c>
      <c r="D237" s="13" t="s">
        <v>48</v>
      </c>
      <c r="E237" s="2">
        <v>4083956555</v>
      </c>
      <c r="F237" s="2">
        <v>1425084984</v>
      </c>
      <c r="G237" s="2">
        <v>12</v>
      </c>
      <c r="H237" s="2">
        <v>0</v>
      </c>
      <c r="I237" s="2">
        <v>12</v>
      </c>
      <c r="J237" s="2">
        <v>45</v>
      </c>
      <c r="K237" s="2">
        <v>57</v>
      </c>
      <c r="L237" s="2">
        <v>12</v>
      </c>
      <c r="M237" s="2">
        <v>12</v>
      </c>
      <c r="N237" s="2">
        <v>0</v>
      </c>
      <c r="O237" s="2">
        <v>0</v>
      </c>
      <c r="P237" s="2">
        <v>57</v>
      </c>
      <c r="Q237" s="2">
        <v>471</v>
      </c>
      <c r="R237" s="13" t="s">
        <v>27</v>
      </c>
      <c r="S237" s="13" t="s">
        <v>27</v>
      </c>
    </row>
    <row r="238" spans="1:19" hidden="1" x14ac:dyDescent="0.3">
      <c r="A238" s="14">
        <v>43896.708333333336</v>
      </c>
      <c r="B238" s="13" t="s">
        <v>23</v>
      </c>
      <c r="C238" s="2">
        <v>8</v>
      </c>
      <c r="D238" s="13" t="s">
        <v>98</v>
      </c>
      <c r="E238" s="2">
        <v>4449436681</v>
      </c>
      <c r="F238" s="2">
        <v>113417208</v>
      </c>
      <c r="G238" s="2">
        <v>397</v>
      </c>
      <c r="H238" s="2">
        <v>53</v>
      </c>
      <c r="I238" s="2">
        <v>450</v>
      </c>
      <c r="J238" s="2">
        <v>366</v>
      </c>
      <c r="K238" s="2">
        <v>816</v>
      </c>
      <c r="L238" s="2">
        <v>158</v>
      </c>
      <c r="M238" s="2">
        <v>172</v>
      </c>
      <c r="N238" s="2">
        <v>17</v>
      </c>
      <c r="O238" s="2">
        <v>37</v>
      </c>
      <c r="P238" s="2">
        <v>870</v>
      </c>
      <c r="Q238" s="2">
        <v>3136</v>
      </c>
      <c r="R238" s="13" t="s">
        <v>27</v>
      </c>
      <c r="S238" s="13" t="s">
        <v>27</v>
      </c>
    </row>
    <row r="239" spans="1:19" hidden="1" x14ac:dyDescent="0.3">
      <c r="A239" s="14">
        <v>43896.708333333336</v>
      </c>
      <c r="B239" s="13" t="s">
        <v>23</v>
      </c>
      <c r="C239" s="2">
        <v>6</v>
      </c>
      <c r="D239" s="13" t="s">
        <v>49</v>
      </c>
      <c r="E239" s="2">
        <v>456494354</v>
      </c>
      <c r="F239" s="2">
        <v>1376813649</v>
      </c>
      <c r="G239" s="2">
        <v>4</v>
      </c>
      <c r="H239" s="2">
        <v>0</v>
      </c>
      <c r="I239" s="2">
        <v>4</v>
      </c>
      <c r="J239" s="2">
        <v>24</v>
      </c>
      <c r="K239" s="2">
        <v>28</v>
      </c>
      <c r="L239" s="2">
        <v>7</v>
      </c>
      <c r="M239" s="2">
        <v>10</v>
      </c>
      <c r="N239" s="2">
        <v>3</v>
      </c>
      <c r="O239" s="2">
        <v>0</v>
      </c>
      <c r="P239" s="2">
        <v>31</v>
      </c>
      <c r="Q239" s="2">
        <v>577</v>
      </c>
      <c r="R239" s="13" t="s">
        <v>27</v>
      </c>
      <c r="S239" s="13" t="s">
        <v>27</v>
      </c>
    </row>
    <row r="240" spans="1:19" hidden="1" x14ac:dyDescent="0.3">
      <c r="A240" s="14">
        <v>43896.708333333336</v>
      </c>
      <c r="B240" s="13" t="s">
        <v>23</v>
      </c>
      <c r="C240" s="2">
        <v>12</v>
      </c>
      <c r="D240" s="13" t="s">
        <v>50</v>
      </c>
      <c r="E240" s="2">
        <v>4189277044</v>
      </c>
      <c r="F240" s="2">
        <v>1248366722</v>
      </c>
      <c r="G240" s="2">
        <v>26</v>
      </c>
      <c r="H240" s="2">
        <v>8</v>
      </c>
      <c r="I240" s="2">
        <v>34</v>
      </c>
      <c r="J240" s="2">
        <v>16</v>
      </c>
      <c r="K240" s="2">
        <v>50</v>
      </c>
      <c r="L240" s="2">
        <v>9</v>
      </c>
      <c r="M240" s="2">
        <v>10</v>
      </c>
      <c r="N240" s="2">
        <v>3</v>
      </c>
      <c r="O240" s="2">
        <v>1</v>
      </c>
      <c r="P240" s="2">
        <v>54</v>
      </c>
      <c r="Q240" s="2">
        <v>1373</v>
      </c>
      <c r="R240" s="13" t="s">
        <v>27</v>
      </c>
      <c r="S240" s="13" t="s">
        <v>27</v>
      </c>
    </row>
    <row r="241" spans="1:19" hidden="1" x14ac:dyDescent="0.3">
      <c r="A241" s="14">
        <v>43896.708333333336</v>
      </c>
      <c r="B241" s="13" t="s">
        <v>23</v>
      </c>
      <c r="C241" s="2">
        <v>7</v>
      </c>
      <c r="D241" s="13" t="s">
        <v>51</v>
      </c>
      <c r="E241" s="2">
        <v>4441149315</v>
      </c>
      <c r="F241" s="2">
        <v>89326992</v>
      </c>
      <c r="G241" s="2">
        <v>12</v>
      </c>
      <c r="H241" s="2">
        <v>5</v>
      </c>
      <c r="I241" s="2">
        <v>17</v>
      </c>
      <c r="J241" s="2">
        <v>7</v>
      </c>
      <c r="K241" s="2">
        <v>24</v>
      </c>
      <c r="L241" s="2">
        <v>3</v>
      </c>
      <c r="M241" s="2">
        <v>4</v>
      </c>
      <c r="N241" s="2">
        <v>5</v>
      </c>
      <c r="O241" s="2">
        <v>3</v>
      </c>
      <c r="P241" s="2">
        <v>32</v>
      </c>
      <c r="Q241" s="2">
        <v>229</v>
      </c>
      <c r="R241" s="13" t="s">
        <v>27</v>
      </c>
      <c r="S241" s="13" t="s">
        <v>27</v>
      </c>
    </row>
    <row r="242" spans="1:19" x14ac:dyDescent="0.3">
      <c r="A242" s="14">
        <v>43896.708333333336</v>
      </c>
      <c r="B242" s="13" t="s">
        <v>23</v>
      </c>
      <c r="C242" s="2">
        <v>3</v>
      </c>
      <c r="D242" s="13" t="s">
        <v>52</v>
      </c>
      <c r="E242" s="2">
        <v>4546679409</v>
      </c>
      <c r="F242" s="2">
        <v>9190347404</v>
      </c>
      <c r="G242" s="2">
        <v>1622</v>
      </c>
      <c r="H242" s="2">
        <v>309</v>
      </c>
      <c r="I242" s="2">
        <v>1931</v>
      </c>
      <c r="J242" s="2">
        <v>77</v>
      </c>
      <c r="K242" s="2">
        <v>2008</v>
      </c>
      <c r="L242" s="2">
        <v>231</v>
      </c>
      <c r="M242" s="2">
        <v>361</v>
      </c>
      <c r="N242" s="2">
        <v>469</v>
      </c>
      <c r="O242" s="2">
        <v>135</v>
      </c>
      <c r="P242" s="2">
        <v>2612</v>
      </c>
      <c r="Q242" s="2">
        <v>13556</v>
      </c>
      <c r="R242" s="13" t="s">
        <v>27</v>
      </c>
      <c r="S242" s="13" t="s">
        <v>27</v>
      </c>
    </row>
    <row r="243" spans="1:19" hidden="1" x14ac:dyDescent="0.3">
      <c r="A243" s="14">
        <v>43896.708333333336</v>
      </c>
      <c r="B243" s="13" t="s">
        <v>23</v>
      </c>
      <c r="C243" s="2">
        <v>11</v>
      </c>
      <c r="D243" s="13" t="s">
        <v>53</v>
      </c>
      <c r="E243" s="2">
        <v>4361675973</v>
      </c>
      <c r="F243" s="2">
        <v>135188753</v>
      </c>
      <c r="G243" s="2">
        <v>73</v>
      </c>
      <c r="H243" s="2">
        <v>20</v>
      </c>
      <c r="I243" s="2">
        <v>93</v>
      </c>
      <c r="J243" s="2">
        <v>62</v>
      </c>
      <c r="K243" s="2">
        <v>155</v>
      </c>
      <c r="L243" s="2">
        <v>35</v>
      </c>
      <c r="M243" s="2">
        <v>35</v>
      </c>
      <c r="N243" s="2">
        <v>0</v>
      </c>
      <c r="O243" s="2">
        <v>4</v>
      </c>
      <c r="P243" s="2">
        <v>159</v>
      </c>
      <c r="Q243" s="2">
        <v>585</v>
      </c>
      <c r="R243" s="13" t="s">
        <v>27</v>
      </c>
      <c r="S243" s="13" t="s">
        <v>27</v>
      </c>
    </row>
    <row r="244" spans="1:19" hidden="1" x14ac:dyDescent="0.3">
      <c r="A244" s="14">
        <v>43896.708333333336</v>
      </c>
      <c r="B244" s="13" t="s">
        <v>23</v>
      </c>
      <c r="C244" s="2">
        <v>14</v>
      </c>
      <c r="D244" s="13" t="s">
        <v>54</v>
      </c>
      <c r="E244" s="2">
        <v>4155774754</v>
      </c>
      <c r="F244" s="2">
        <v>1465916051</v>
      </c>
      <c r="G244" s="2">
        <v>3</v>
      </c>
      <c r="H244" s="2">
        <v>2</v>
      </c>
      <c r="I244" s="2">
        <v>5</v>
      </c>
      <c r="J244" s="2">
        <v>7</v>
      </c>
      <c r="K244" s="2">
        <v>12</v>
      </c>
      <c r="L244" s="2">
        <v>5</v>
      </c>
      <c r="M244" s="2">
        <v>5</v>
      </c>
      <c r="N244" s="2">
        <v>0</v>
      </c>
      <c r="O244" s="2">
        <v>0</v>
      </c>
      <c r="P244" s="2">
        <v>12</v>
      </c>
      <c r="Q244" s="2">
        <v>104</v>
      </c>
      <c r="R244" s="13" t="s">
        <v>27</v>
      </c>
      <c r="S244" s="13" t="s">
        <v>27</v>
      </c>
    </row>
    <row r="245" spans="1:19" hidden="1" x14ac:dyDescent="0.3">
      <c r="A245" s="14">
        <v>43896.708333333336</v>
      </c>
      <c r="B245" s="13" t="s">
        <v>23</v>
      </c>
      <c r="C245" s="2">
        <v>1</v>
      </c>
      <c r="D245" s="13" t="s">
        <v>55</v>
      </c>
      <c r="E245" s="2">
        <v>450732745</v>
      </c>
      <c r="F245" s="2">
        <v>7680687483</v>
      </c>
      <c r="G245" s="2">
        <v>57</v>
      </c>
      <c r="H245" s="2">
        <v>30</v>
      </c>
      <c r="I245" s="2">
        <v>87</v>
      </c>
      <c r="J245" s="2">
        <v>52</v>
      </c>
      <c r="K245" s="2">
        <v>139</v>
      </c>
      <c r="L245" s="2">
        <v>33</v>
      </c>
      <c r="M245" s="2">
        <v>35</v>
      </c>
      <c r="N245" s="2">
        <v>0</v>
      </c>
      <c r="O245" s="2">
        <v>4</v>
      </c>
      <c r="P245" s="2">
        <v>143</v>
      </c>
      <c r="Q245" s="2">
        <v>793</v>
      </c>
      <c r="R245" s="13" t="s">
        <v>27</v>
      </c>
      <c r="S245" s="13" t="s">
        <v>27</v>
      </c>
    </row>
    <row r="246" spans="1:19" hidden="1" x14ac:dyDescent="0.3">
      <c r="A246" s="14">
        <v>43896.708333333336</v>
      </c>
      <c r="B246" s="13" t="s">
        <v>23</v>
      </c>
      <c r="C246" s="2">
        <v>16</v>
      </c>
      <c r="D246" s="13" t="s">
        <v>56</v>
      </c>
      <c r="E246" s="2">
        <v>4112559576</v>
      </c>
      <c r="F246" s="2">
        <v>1686736689</v>
      </c>
      <c r="G246" s="2">
        <v>5</v>
      </c>
      <c r="H246" s="2">
        <v>1</v>
      </c>
      <c r="I246" s="2">
        <v>6</v>
      </c>
      <c r="J246" s="2">
        <v>9</v>
      </c>
      <c r="K246" s="2">
        <v>15</v>
      </c>
      <c r="L246" s="2">
        <v>3</v>
      </c>
      <c r="M246" s="2">
        <v>3</v>
      </c>
      <c r="N246" s="2">
        <v>1</v>
      </c>
      <c r="O246" s="2">
        <v>1</v>
      </c>
      <c r="P246" s="2">
        <v>17</v>
      </c>
      <c r="Q246" s="2">
        <v>395</v>
      </c>
      <c r="R246" s="13" t="s">
        <v>27</v>
      </c>
      <c r="S246" s="13" t="s">
        <v>27</v>
      </c>
    </row>
    <row r="247" spans="1:19" hidden="1" x14ac:dyDescent="0.3">
      <c r="A247" s="14">
        <v>43896.708333333336</v>
      </c>
      <c r="B247" s="13" t="s">
        <v>23</v>
      </c>
      <c r="C247" s="2">
        <v>20</v>
      </c>
      <c r="D247" s="13" t="s">
        <v>57</v>
      </c>
      <c r="E247" s="2">
        <v>3921531192</v>
      </c>
      <c r="F247" s="2">
        <v>9110616306</v>
      </c>
      <c r="G247" s="2">
        <v>2</v>
      </c>
      <c r="H247" s="2">
        <v>0</v>
      </c>
      <c r="I247" s="2">
        <v>2</v>
      </c>
      <c r="J247" s="2">
        <v>3</v>
      </c>
      <c r="K247" s="2">
        <v>5</v>
      </c>
      <c r="L247" s="2">
        <v>3</v>
      </c>
      <c r="M247" s="2">
        <v>3</v>
      </c>
      <c r="N247" s="2">
        <v>0</v>
      </c>
      <c r="O247" s="2">
        <v>0</v>
      </c>
      <c r="P247" s="2">
        <v>5</v>
      </c>
      <c r="Q247" s="2">
        <v>99</v>
      </c>
      <c r="R247" s="13" t="s">
        <v>27</v>
      </c>
      <c r="S247" s="13" t="s">
        <v>27</v>
      </c>
    </row>
    <row r="248" spans="1:19" hidden="1" x14ac:dyDescent="0.3">
      <c r="A248" s="14">
        <v>43896.708333333336</v>
      </c>
      <c r="B248" s="13" t="s">
        <v>23</v>
      </c>
      <c r="C248" s="2">
        <v>19</v>
      </c>
      <c r="D248" s="13" t="s">
        <v>58</v>
      </c>
      <c r="E248" s="2">
        <v>3811569725</v>
      </c>
      <c r="F248" s="2">
        <v>133623567</v>
      </c>
      <c r="G248" s="2">
        <v>7</v>
      </c>
      <c r="H248" s="2">
        <v>0</v>
      </c>
      <c r="I248" s="2">
        <v>7</v>
      </c>
      <c r="J248" s="2">
        <v>15</v>
      </c>
      <c r="K248" s="2">
        <v>22</v>
      </c>
      <c r="L248" s="2">
        <v>6</v>
      </c>
      <c r="M248" s="2">
        <v>6</v>
      </c>
      <c r="N248" s="2">
        <v>2</v>
      </c>
      <c r="O248" s="2">
        <v>0</v>
      </c>
      <c r="P248" s="2">
        <v>24</v>
      </c>
      <c r="Q248" s="2">
        <v>367</v>
      </c>
      <c r="R248" s="13" t="s">
        <v>27</v>
      </c>
      <c r="S248" s="13" t="s">
        <v>27</v>
      </c>
    </row>
    <row r="249" spans="1:19" hidden="1" x14ac:dyDescent="0.3">
      <c r="A249" s="14">
        <v>43896.708333333336</v>
      </c>
      <c r="B249" s="13" t="s">
        <v>23</v>
      </c>
      <c r="C249" s="2">
        <v>9</v>
      </c>
      <c r="D249" s="13" t="s">
        <v>59</v>
      </c>
      <c r="E249" s="2">
        <v>4376923077</v>
      </c>
      <c r="F249" s="2">
        <v>1125588885</v>
      </c>
      <c r="G249" s="2">
        <v>35</v>
      </c>
      <c r="H249" s="2">
        <v>5</v>
      </c>
      <c r="I249" s="2">
        <v>40</v>
      </c>
      <c r="J249" s="2">
        <v>38</v>
      </c>
      <c r="K249" s="2">
        <v>78</v>
      </c>
      <c r="L249" s="2">
        <v>18</v>
      </c>
      <c r="M249" s="2">
        <v>18</v>
      </c>
      <c r="N249" s="2">
        <v>1</v>
      </c>
      <c r="O249" s="2">
        <v>0</v>
      </c>
      <c r="P249" s="2">
        <v>79</v>
      </c>
      <c r="Q249" s="2">
        <v>1097</v>
      </c>
      <c r="R249" s="13" t="s">
        <v>27</v>
      </c>
      <c r="S249" s="13" t="s">
        <v>27</v>
      </c>
    </row>
    <row r="250" spans="1:19" hidden="1" x14ac:dyDescent="0.3">
      <c r="A250" s="14">
        <v>43896.708333333336</v>
      </c>
      <c r="B250" s="13" t="s">
        <v>23</v>
      </c>
      <c r="C250" s="2">
        <v>4</v>
      </c>
      <c r="D250" s="13" t="s">
        <v>60</v>
      </c>
      <c r="E250" s="2">
        <v>4606893511</v>
      </c>
      <c r="F250" s="2">
        <v>1112123097</v>
      </c>
      <c r="G250" s="2">
        <v>4</v>
      </c>
      <c r="H250" s="2">
        <v>0</v>
      </c>
      <c r="I250" s="2">
        <v>4</v>
      </c>
      <c r="J250" s="2">
        <v>6</v>
      </c>
      <c r="K250" s="2">
        <v>10</v>
      </c>
      <c r="L250" s="2">
        <v>3</v>
      </c>
      <c r="M250" s="2">
        <v>3</v>
      </c>
      <c r="N250" s="2">
        <v>0</v>
      </c>
      <c r="O250" s="2">
        <v>0</v>
      </c>
      <c r="P250" s="2">
        <v>10</v>
      </c>
      <c r="Q250" s="2">
        <v>122</v>
      </c>
      <c r="R250" s="13" t="s">
        <v>27</v>
      </c>
      <c r="S250" s="13" t="s">
        <v>27</v>
      </c>
    </row>
    <row r="251" spans="1:19" hidden="1" x14ac:dyDescent="0.3">
      <c r="A251" s="14">
        <v>43896.708333333336</v>
      </c>
      <c r="B251" s="13" t="s">
        <v>23</v>
      </c>
      <c r="C251" s="2">
        <v>10</v>
      </c>
      <c r="D251" s="13" t="s">
        <v>61</v>
      </c>
      <c r="E251" s="2">
        <v>4310675841</v>
      </c>
      <c r="F251" s="2">
        <v>1238824698</v>
      </c>
      <c r="G251" s="2">
        <v>2</v>
      </c>
      <c r="H251" s="2">
        <v>2</v>
      </c>
      <c r="I251" s="2">
        <v>4</v>
      </c>
      <c r="J251" s="2">
        <v>12</v>
      </c>
      <c r="K251" s="2">
        <v>16</v>
      </c>
      <c r="L251" s="2">
        <v>7</v>
      </c>
      <c r="M251" s="2">
        <v>7</v>
      </c>
      <c r="N251" s="2">
        <v>0</v>
      </c>
      <c r="O251" s="2">
        <v>0</v>
      </c>
      <c r="P251" s="2">
        <v>16</v>
      </c>
      <c r="Q251" s="2">
        <v>110</v>
      </c>
      <c r="R251" s="13" t="s">
        <v>27</v>
      </c>
      <c r="S251" s="13" t="s">
        <v>27</v>
      </c>
    </row>
    <row r="252" spans="1:19" hidden="1" x14ac:dyDescent="0.3">
      <c r="A252" s="14">
        <v>43896.708333333336</v>
      </c>
      <c r="B252" s="13" t="s">
        <v>23</v>
      </c>
      <c r="C252" s="2">
        <v>2</v>
      </c>
      <c r="D252" s="13" t="s">
        <v>62</v>
      </c>
      <c r="E252" s="2">
        <v>4573750286</v>
      </c>
      <c r="F252" s="2">
        <v>7320149366</v>
      </c>
      <c r="G252" s="2">
        <v>0</v>
      </c>
      <c r="H252" s="2">
        <v>0</v>
      </c>
      <c r="I252" s="2">
        <v>0</v>
      </c>
      <c r="J252" s="2">
        <v>7</v>
      </c>
      <c r="K252" s="2">
        <v>7</v>
      </c>
      <c r="L252" s="2">
        <v>5</v>
      </c>
      <c r="M252" s="2">
        <v>5</v>
      </c>
      <c r="N252" s="2">
        <v>0</v>
      </c>
      <c r="O252" s="2">
        <v>0</v>
      </c>
      <c r="P252" s="2">
        <v>7</v>
      </c>
      <c r="Q252" s="2">
        <v>28</v>
      </c>
      <c r="R252" s="13" t="s">
        <v>27</v>
      </c>
      <c r="S252" s="13" t="s">
        <v>27</v>
      </c>
    </row>
    <row r="253" spans="1:19" hidden="1" x14ac:dyDescent="0.3">
      <c r="A253" s="14">
        <v>43896.708333333336</v>
      </c>
      <c r="B253" s="13" t="s">
        <v>23</v>
      </c>
      <c r="C253" s="2">
        <v>5</v>
      </c>
      <c r="D253" s="13" t="s">
        <v>63</v>
      </c>
      <c r="E253" s="2">
        <v>4543490485</v>
      </c>
      <c r="F253" s="2">
        <v>1233845213</v>
      </c>
      <c r="G253" s="2">
        <v>117</v>
      </c>
      <c r="H253" s="2">
        <v>27</v>
      </c>
      <c r="I253" s="2">
        <v>144</v>
      </c>
      <c r="J253" s="2">
        <v>310</v>
      </c>
      <c r="K253" s="2">
        <v>454</v>
      </c>
      <c r="L253" s="2">
        <v>74</v>
      </c>
      <c r="M253" s="2">
        <v>81</v>
      </c>
      <c r="N253" s="2">
        <v>22</v>
      </c>
      <c r="O253" s="2">
        <v>12</v>
      </c>
      <c r="P253" s="2">
        <v>488</v>
      </c>
      <c r="Q253" s="2">
        <v>13023</v>
      </c>
      <c r="R253" s="13" t="s">
        <v>27</v>
      </c>
      <c r="S253" s="13" t="s">
        <v>27</v>
      </c>
    </row>
    <row r="254" spans="1:19" hidden="1" x14ac:dyDescent="0.3">
      <c r="A254" s="14">
        <v>43897.75</v>
      </c>
      <c r="B254" s="13" t="s">
        <v>23</v>
      </c>
      <c r="C254" s="2">
        <v>13</v>
      </c>
      <c r="D254" s="13" t="s">
        <v>44</v>
      </c>
      <c r="E254" s="2">
        <v>4235122196</v>
      </c>
      <c r="F254" s="2">
        <v>1339843823</v>
      </c>
      <c r="G254" s="2">
        <v>11</v>
      </c>
      <c r="H254" s="2">
        <v>0</v>
      </c>
      <c r="I254" s="2">
        <v>11</v>
      </c>
      <c r="J254" s="2">
        <v>0</v>
      </c>
      <c r="K254" s="2">
        <v>11</v>
      </c>
      <c r="L254" s="2">
        <v>2</v>
      </c>
      <c r="M254" s="2">
        <v>2</v>
      </c>
      <c r="N254" s="2">
        <v>0</v>
      </c>
      <c r="O254" s="2">
        <v>0</v>
      </c>
      <c r="P254" s="2">
        <v>11</v>
      </c>
      <c r="Q254" s="2">
        <v>123</v>
      </c>
      <c r="R254" s="13" t="s">
        <v>27</v>
      </c>
      <c r="S254" s="13" t="s">
        <v>27</v>
      </c>
    </row>
    <row r="255" spans="1:19" hidden="1" x14ac:dyDescent="0.3">
      <c r="A255" s="14">
        <v>43897.75</v>
      </c>
      <c r="B255" s="13" t="s">
        <v>23</v>
      </c>
      <c r="C255" s="2">
        <v>17</v>
      </c>
      <c r="D255" s="13" t="s">
        <v>45</v>
      </c>
      <c r="E255" s="2">
        <v>4063947052</v>
      </c>
      <c r="F255" s="2">
        <v>1580514834</v>
      </c>
      <c r="G255" s="2">
        <v>1</v>
      </c>
      <c r="H255" s="2">
        <v>0</v>
      </c>
      <c r="I255" s="2">
        <v>1</v>
      </c>
      <c r="J255" s="2">
        <v>2</v>
      </c>
      <c r="K255" s="2">
        <v>3</v>
      </c>
      <c r="L255" s="2">
        <v>0</v>
      </c>
      <c r="M255" s="2">
        <v>0</v>
      </c>
      <c r="N255" s="2">
        <v>0</v>
      </c>
      <c r="O255" s="2">
        <v>0</v>
      </c>
      <c r="P255" s="2">
        <v>3</v>
      </c>
      <c r="Q255" s="2">
        <v>75</v>
      </c>
      <c r="R255" s="13" t="s">
        <v>27</v>
      </c>
      <c r="S255" s="13" t="s">
        <v>27</v>
      </c>
    </row>
    <row r="256" spans="1:19" hidden="1" x14ac:dyDescent="0.3">
      <c r="A256" s="14">
        <v>43897.75</v>
      </c>
      <c r="B256" s="13" t="s">
        <v>23</v>
      </c>
      <c r="C256" s="2">
        <v>4</v>
      </c>
      <c r="D256" s="13" t="s">
        <v>46</v>
      </c>
      <c r="E256" s="2">
        <v>4649933453</v>
      </c>
      <c r="F256" s="2">
        <v>1135662422</v>
      </c>
      <c r="G256" s="2">
        <v>8</v>
      </c>
      <c r="H256" s="2">
        <v>0</v>
      </c>
      <c r="I256" s="2">
        <v>8</v>
      </c>
      <c r="J256" s="2">
        <v>1</v>
      </c>
      <c r="K256" s="2">
        <v>9</v>
      </c>
      <c r="L256" s="2">
        <v>5</v>
      </c>
      <c r="M256" s="2">
        <v>5</v>
      </c>
      <c r="N256" s="2">
        <v>0</v>
      </c>
      <c r="O256" s="2">
        <v>0</v>
      </c>
      <c r="P256" s="2">
        <v>9</v>
      </c>
      <c r="Q256" s="2">
        <v>36</v>
      </c>
      <c r="R256" s="13" t="s">
        <v>27</v>
      </c>
      <c r="S256" s="13" t="s">
        <v>27</v>
      </c>
    </row>
    <row r="257" spans="1:19" hidden="1" x14ac:dyDescent="0.3">
      <c r="A257" s="14">
        <v>43897.75</v>
      </c>
      <c r="B257" s="13" t="s">
        <v>23</v>
      </c>
      <c r="C257" s="2">
        <v>18</v>
      </c>
      <c r="D257" s="13" t="s">
        <v>47</v>
      </c>
      <c r="E257" s="2">
        <v>3890597598</v>
      </c>
      <c r="F257" s="2">
        <v>1659440194</v>
      </c>
      <c r="G257" s="2">
        <v>2</v>
      </c>
      <c r="H257" s="2">
        <v>0</v>
      </c>
      <c r="I257" s="2">
        <v>2</v>
      </c>
      <c r="J257" s="2">
        <v>2</v>
      </c>
      <c r="K257" s="2">
        <v>4</v>
      </c>
      <c r="L257" s="2">
        <v>0</v>
      </c>
      <c r="M257" s="2">
        <v>0</v>
      </c>
      <c r="N257" s="2">
        <v>0</v>
      </c>
      <c r="O257" s="2">
        <v>0</v>
      </c>
      <c r="P257" s="2">
        <v>4</v>
      </c>
      <c r="Q257" s="2">
        <v>113</v>
      </c>
      <c r="R257" s="13" t="s">
        <v>27</v>
      </c>
      <c r="S257" s="13" t="s">
        <v>27</v>
      </c>
    </row>
    <row r="258" spans="1:19" hidden="1" x14ac:dyDescent="0.3">
      <c r="A258" s="14">
        <v>43897.75</v>
      </c>
      <c r="B258" s="13" t="s">
        <v>23</v>
      </c>
      <c r="C258" s="2">
        <v>15</v>
      </c>
      <c r="D258" s="13" t="s">
        <v>48</v>
      </c>
      <c r="E258" s="2">
        <v>4083956555</v>
      </c>
      <c r="F258" s="2">
        <v>1425084984</v>
      </c>
      <c r="G258" s="2">
        <v>16</v>
      </c>
      <c r="H258" s="2">
        <v>0</v>
      </c>
      <c r="I258" s="2">
        <v>16</v>
      </c>
      <c r="J258" s="2">
        <v>45</v>
      </c>
      <c r="K258" s="2">
        <v>61</v>
      </c>
      <c r="L258" s="2">
        <v>4</v>
      </c>
      <c r="M258" s="2">
        <v>4</v>
      </c>
      <c r="N258" s="2">
        <v>0</v>
      </c>
      <c r="O258" s="2">
        <v>0</v>
      </c>
      <c r="P258" s="2">
        <v>61</v>
      </c>
      <c r="Q258" s="2">
        <v>612</v>
      </c>
      <c r="R258" s="13" t="s">
        <v>27</v>
      </c>
      <c r="S258" s="13" t="s">
        <v>27</v>
      </c>
    </row>
    <row r="259" spans="1:19" hidden="1" x14ac:dyDescent="0.3">
      <c r="A259" s="14">
        <v>43897.75</v>
      </c>
      <c r="B259" s="13" t="s">
        <v>23</v>
      </c>
      <c r="C259" s="2">
        <v>8</v>
      </c>
      <c r="D259" s="13" t="s">
        <v>98</v>
      </c>
      <c r="E259" s="2">
        <v>4449436681</v>
      </c>
      <c r="F259" s="2">
        <v>113417208</v>
      </c>
      <c r="G259" s="2">
        <v>464</v>
      </c>
      <c r="H259" s="2">
        <v>64</v>
      </c>
      <c r="I259" s="2">
        <v>528</v>
      </c>
      <c r="J259" s="2">
        <v>409</v>
      </c>
      <c r="K259" s="2">
        <v>937</v>
      </c>
      <c r="L259" s="2">
        <v>121</v>
      </c>
      <c r="M259" s="2">
        <v>140</v>
      </c>
      <c r="N259" s="2">
        <v>25</v>
      </c>
      <c r="O259" s="2">
        <v>48</v>
      </c>
      <c r="P259" s="2">
        <v>1010</v>
      </c>
      <c r="Q259" s="2">
        <v>3604</v>
      </c>
      <c r="R259" s="13" t="s">
        <v>27</v>
      </c>
      <c r="S259" s="13" t="s">
        <v>27</v>
      </c>
    </row>
    <row r="260" spans="1:19" hidden="1" x14ac:dyDescent="0.3">
      <c r="A260" s="14">
        <v>43897.75</v>
      </c>
      <c r="B260" s="13" t="s">
        <v>23</v>
      </c>
      <c r="C260" s="2">
        <v>6</v>
      </c>
      <c r="D260" s="13" t="s">
        <v>49</v>
      </c>
      <c r="E260" s="2">
        <v>456494354</v>
      </c>
      <c r="F260" s="2">
        <v>1376813649</v>
      </c>
      <c r="G260" s="2">
        <v>7</v>
      </c>
      <c r="H260" s="2">
        <v>1</v>
      </c>
      <c r="I260" s="2">
        <v>8</v>
      </c>
      <c r="J260" s="2">
        <v>31</v>
      </c>
      <c r="K260" s="2">
        <v>39</v>
      </c>
      <c r="L260" s="2">
        <v>11</v>
      </c>
      <c r="M260" s="2">
        <v>11</v>
      </c>
      <c r="N260" s="2">
        <v>3</v>
      </c>
      <c r="O260" s="2">
        <v>0</v>
      </c>
      <c r="P260" s="2">
        <v>42</v>
      </c>
      <c r="Q260" s="2">
        <v>577</v>
      </c>
      <c r="R260" s="13" t="s">
        <v>27</v>
      </c>
      <c r="S260" s="13" t="s">
        <v>27</v>
      </c>
    </row>
    <row r="261" spans="1:19" hidden="1" x14ac:dyDescent="0.3">
      <c r="A261" s="14">
        <v>43897.75</v>
      </c>
      <c r="B261" s="13" t="s">
        <v>23</v>
      </c>
      <c r="C261" s="2">
        <v>12</v>
      </c>
      <c r="D261" s="13" t="s">
        <v>50</v>
      </c>
      <c r="E261" s="2">
        <v>4189277044</v>
      </c>
      <c r="F261" s="2">
        <v>1248366722</v>
      </c>
      <c r="G261" s="2">
        <v>43</v>
      </c>
      <c r="H261" s="2">
        <v>8</v>
      </c>
      <c r="I261" s="2">
        <v>51</v>
      </c>
      <c r="J261" s="2">
        <v>21</v>
      </c>
      <c r="K261" s="2">
        <v>72</v>
      </c>
      <c r="L261" s="2">
        <v>22</v>
      </c>
      <c r="M261" s="2">
        <v>22</v>
      </c>
      <c r="N261" s="2">
        <v>3</v>
      </c>
      <c r="O261" s="2">
        <v>1</v>
      </c>
      <c r="P261" s="2">
        <v>76</v>
      </c>
      <c r="Q261" s="2">
        <v>1582</v>
      </c>
      <c r="R261" s="13" t="s">
        <v>27</v>
      </c>
      <c r="S261" s="13" t="s">
        <v>27</v>
      </c>
    </row>
    <row r="262" spans="1:19" hidden="1" x14ac:dyDescent="0.3">
      <c r="A262" s="14">
        <v>43897.75</v>
      </c>
      <c r="B262" s="13" t="s">
        <v>23</v>
      </c>
      <c r="C262" s="2">
        <v>7</v>
      </c>
      <c r="D262" s="13" t="s">
        <v>51</v>
      </c>
      <c r="E262" s="2">
        <v>4441149315</v>
      </c>
      <c r="F262" s="2">
        <v>89326992</v>
      </c>
      <c r="G262" s="2">
        <v>26</v>
      </c>
      <c r="H262" s="2">
        <v>6</v>
      </c>
      <c r="I262" s="2">
        <v>32</v>
      </c>
      <c r="J262" s="2">
        <v>10</v>
      </c>
      <c r="K262" s="2">
        <v>42</v>
      </c>
      <c r="L262" s="2">
        <v>18</v>
      </c>
      <c r="M262" s="2">
        <v>19</v>
      </c>
      <c r="N262" s="2">
        <v>5</v>
      </c>
      <c r="O262" s="2">
        <v>4</v>
      </c>
      <c r="P262" s="2">
        <v>51</v>
      </c>
      <c r="Q262" s="2">
        <v>331</v>
      </c>
      <c r="R262" s="13" t="s">
        <v>27</v>
      </c>
      <c r="S262" s="13" t="s">
        <v>27</v>
      </c>
    </row>
    <row r="263" spans="1:19" x14ac:dyDescent="0.3">
      <c r="A263" s="14">
        <v>43897.75</v>
      </c>
      <c r="B263" s="13" t="s">
        <v>23</v>
      </c>
      <c r="C263" s="2">
        <v>3</v>
      </c>
      <c r="D263" s="13" t="s">
        <v>52</v>
      </c>
      <c r="E263" s="2">
        <v>4546679409</v>
      </c>
      <c r="F263" s="2">
        <v>9190347404</v>
      </c>
      <c r="G263" s="2">
        <v>1661</v>
      </c>
      <c r="H263" s="2">
        <v>359</v>
      </c>
      <c r="I263" s="2">
        <v>2020</v>
      </c>
      <c r="J263" s="2">
        <v>722</v>
      </c>
      <c r="K263" s="2">
        <v>2742</v>
      </c>
      <c r="L263" s="2">
        <v>734</v>
      </c>
      <c r="M263" s="2">
        <v>808</v>
      </c>
      <c r="N263" s="2">
        <v>524</v>
      </c>
      <c r="O263" s="2">
        <v>154</v>
      </c>
      <c r="P263" s="2">
        <v>3420</v>
      </c>
      <c r="Q263" s="2">
        <v>15778</v>
      </c>
      <c r="R263" s="13" t="s">
        <v>64</v>
      </c>
      <c r="S263" s="13" t="s">
        <v>65</v>
      </c>
    </row>
    <row r="264" spans="1:19" hidden="1" x14ac:dyDescent="0.3">
      <c r="A264" s="14">
        <v>43897.75</v>
      </c>
      <c r="B264" s="13" t="s">
        <v>23</v>
      </c>
      <c r="C264" s="2">
        <v>11</v>
      </c>
      <c r="D264" s="13" t="s">
        <v>53</v>
      </c>
      <c r="E264" s="2">
        <v>4361675973</v>
      </c>
      <c r="F264" s="2">
        <v>135188753</v>
      </c>
      <c r="G264" s="2">
        <v>94</v>
      </c>
      <c r="H264" s="2">
        <v>36</v>
      </c>
      <c r="I264" s="2">
        <v>130</v>
      </c>
      <c r="J264" s="2">
        <v>71</v>
      </c>
      <c r="K264" s="2">
        <v>201</v>
      </c>
      <c r="L264" s="2">
        <v>46</v>
      </c>
      <c r="M264" s="2">
        <v>48</v>
      </c>
      <c r="N264" s="2">
        <v>0</v>
      </c>
      <c r="O264" s="2">
        <v>6</v>
      </c>
      <c r="P264" s="2">
        <v>207</v>
      </c>
      <c r="Q264" s="2">
        <v>816</v>
      </c>
      <c r="R264" s="13" t="s">
        <v>27</v>
      </c>
      <c r="S264" s="13" t="s">
        <v>27</v>
      </c>
    </row>
    <row r="265" spans="1:19" hidden="1" x14ac:dyDescent="0.3">
      <c r="A265" s="14">
        <v>43897.75</v>
      </c>
      <c r="B265" s="13" t="s">
        <v>23</v>
      </c>
      <c r="C265" s="2">
        <v>14</v>
      </c>
      <c r="D265" s="13" t="s">
        <v>54</v>
      </c>
      <c r="E265" s="2">
        <v>4155774754</v>
      </c>
      <c r="F265" s="2">
        <v>1465916051</v>
      </c>
      <c r="G265" s="2">
        <v>3</v>
      </c>
      <c r="H265" s="2">
        <v>2</v>
      </c>
      <c r="I265" s="2">
        <v>5</v>
      </c>
      <c r="J265" s="2">
        <v>9</v>
      </c>
      <c r="K265" s="2">
        <v>14</v>
      </c>
      <c r="L265" s="2">
        <v>2</v>
      </c>
      <c r="M265" s="2">
        <v>2</v>
      </c>
      <c r="N265" s="2">
        <v>0</v>
      </c>
      <c r="O265" s="2">
        <v>0</v>
      </c>
      <c r="P265" s="2">
        <v>14</v>
      </c>
      <c r="Q265" s="2">
        <v>112</v>
      </c>
      <c r="R265" s="13" t="s">
        <v>27</v>
      </c>
      <c r="S265" s="13" t="s">
        <v>27</v>
      </c>
    </row>
    <row r="266" spans="1:19" hidden="1" x14ac:dyDescent="0.3">
      <c r="A266" s="14">
        <v>43897.75</v>
      </c>
      <c r="B266" s="13" t="s">
        <v>23</v>
      </c>
      <c r="C266" s="2">
        <v>1</v>
      </c>
      <c r="D266" s="13" t="s">
        <v>55</v>
      </c>
      <c r="E266" s="2">
        <v>450732745</v>
      </c>
      <c r="F266" s="2">
        <v>7680687483</v>
      </c>
      <c r="G266" s="2">
        <v>110</v>
      </c>
      <c r="H266" s="2">
        <v>38</v>
      </c>
      <c r="I266" s="2">
        <v>148</v>
      </c>
      <c r="J266" s="2">
        <v>54</v>
      </c>
      <c r="K266" s="2">
        <v>202</v>
      </c>
      <c r="L266" s="2">
        <v>63</v>
      </c>
      <c r="M266" s="2">
        <v>64</v>
      </c>
      <c r="N266" s="2">
        <v>0</v>
      </c>
      <c r="O266" s="2">
        <v>5</v>
      </c>
      <c r="P266" s="2">
        <v>207</v>
      </c>
      <c r="Q266" s="2">
        <v>1046</v>
      </c>
      <c r="R266" s="13" t="s">
        <v>27</v>
      </c>
      <c r="S266" s="13" t="s">
        <v>27</v>
      </c>
    </row>
    <row r="267" spans="1:19" hidden="1" x14ac:dyDescent="0.3">
      <c r="A267" s="14">
        <v>43897.75</v>
      </c>
      <c r="B267" s="13" t="s">
        <v>23</v>
      </c>
      <c r="C267" s="2">
        <v>16</v>
      </c>
      <c r="D267" s="13" t="s">
        <v>56</v>
      </c>
      <c r="E267" s="2">
        <v>4112559576</v>
      </c>
      <c r="F267" s="2">
        <v>1686736689</v>
      </c>
      <c r="G267" s="2">
        <v>9</v>
      </c>
      <c r="H267" s="2">
        <v>2</v>
      </c>
      <c r="I267" s="2">
        <v>11</v>
      </c>
      <c r="J267" s="2">
        <v>12</v>
      </c>
      <c r="K267" s="2">
        <v>23</v>
      </c>
      <c r="L267" s="2">
        <v>8</v>
      </c>
      <c r="M267" s="2">
        <v>9</v>
      </c>
      <c r="N267" s="2">
        <v>1</v>
      </c>
      <c r="O267" s="2">
        <v>2</v>
      </c>
      <c r="P267" s="2">
        <v>26</v>
      </c>
      <c r="Q267" s="2">
        <v>395</v>
      </c>
      <c r="R267" s="13" t="s">
        <v>27</v>
      </c>
      <c r="S267" s="13" t="s">
        <v>27</v>
      </c>
    </row>
    <row r="268" spans="1:19" hidden="1" x14ac:dyDescent="0.3">
      <c r="A268" s="14">
        <v>43897.75</v>
      </c>
      <c r="B268" s="13" t="s">
        <v>23</v>
      </c>
      <c r="C268" s="2">
        <v>20</v>
      </c>
      <c r="D268" s="13" t="s">
        <v>57</v>
      </c>
      <c r="E268" s="2">
        <v>3921531192</v>
      </c>
      <c r="F268" s="2">
        <v>9110616306</v>
      </c>
      <c r="G268" s="2">
        <v>2</v>
      </c>
      <c r="H268" s="2">
        <v>0</v>
      </c>
      <c r="I268" s="2">
        <v>2</v>
      </c>
      <c r="J268" s="2">
        <v>3</v>
      </c>
      <c r="K268" s="2">
        <v>5</v>
      </c>
      <c r="L268" s="2">
        <v>0</v>
      </c>
      <c r="M268" s="2">
        <v>0</v>
      </c>
      <c r="N268" s="2">
        <v>0</v>
      </c>
      <c r="O268" s="2">
        <v>0</v>
      </c>
      <c r="P268" s="2">
        <v>5</v>
      </c>
      <c r="Q268" s="2">
        <v>99</v>
      </c>
      <c r="R268" s="13" t="s">
        <v>27</v>
      </c>
      <c r="S268" s="13" t="s">
        <v>27</v>
      </c>
    </row>
    <row r="269" spans="1:19" hidden="1" x14ac:dyDescent="0.3">
      <c r="A269" s="14">
        <v>43897.75</v>
      </c>
      <c r="B269" s="13" t="s">
        <v>23</v>
      </c>
      <c r="C269" s="2">
        <v>19</v>
      </c>
      <c r="D269" s="13" t="s">
        <v>58</v>
      </c>
      <c r="E269" s="2">
        <v>3811569725</v>
      </c>
      <c r="F269" s="2">
        <v>133623567</v>
      </c>
      <c r="G269" s="2">
        <v>8</v>
      </c>
      <c r="H269" s="2">
        <v>0</v>
      </c>
      <c r="I269" s="2">
        <v>8</v>
      </c>
      <c r="J269" s="2">
        <v>25</v>
      </c>
      <c r="K269" s="2">
        <v>33</v>
      </c>
      <c r="L269" s="2">
        <v>11</v>
      </c>
      <c r="M269" s="2">
        <v>11</v>
      </c>
      <c r="N269" s="2">
        <v>2</v>
      </c>
      <c r="O269" s="2">
        <v>0</v>
      </c>
      <c r="P269" s="2">
        <v>35</v>
      </c>
      <c r="Q269" s="2">
        <v>643</v>
      </c>
      <c r="R269" s="13" t="s">
        <v>27</v>
      </c>
      <c r="S269" s="13" t="s">
        <v>27</v>
      </c>
    </row>
    <row r="270" spans="1:19" hidden="1" x14ac:dyDescent="0.3">
      <c r="A270" s="14">
        <v>43897.75</v>
      </c>
      <c r="B270" s="13" t="s">
        <v>23</v>
      </c>
      <c r="C270" s="2">
        <v>9</v>
      </c>
      <c r="D270" s="13" t="s">
        <v>59</v>
      </c>
      <c r="E270" s="2">
        <v>4376923077</v>
      </c>
      <c r="F270" s="2">
        <v>1125588885</v>
      </c>
      <c r="G270" s="2">
        <v>54</v>
      </c>
      <c r="H270" s="2">
        <v>7</v>
      </c>
      <c r="I270" s="2">
        <v>61</v>
      </c>
      <c r="J270" s="2">
        <v>51</v>
      </c>
      <c r="K270" s="2">
        <v>112</v>
      </c>
      <c r="L270" s="2">
        <v>34</v>
      </c>
      <c r="M270" s="2">
        <v>34</v>
      </c>
      <c r="N270" s="2">
        <v>1</v>
      </c>
      <c r="O270" s="2">
        <v>0</v>
      </c>
      <c r="P270" s="2">
        <v>113</v>
      </c>
      <c r="Q270" s="2">
        <v>1331</v>
      </c>
      <c r="R270" s="13" t="s">
        <v>27</v>
      </c>
      <c r="S270" s="13" t="s">
        <v>27</v>
      </c>
    </row>
    <row r="271" spans="1:19" hidden="1" x14ac:dyDescent="0.3">
      <c r="A271" s="14">
        <v>43897.75</v>
      </c>
      <c r="B271" s="13" t="s">
        <v>23</v>
      </c>
      <c r="C271" s="2">
        <v>4</v>
      </c>
      <c r="D271" s="13" t="s">
        <v>60</v>
      </c>
      <c r="E271" s="2">
        <v>4606893511</v>
      </c>
      <c r="F271" s="2">
        <v>1112123097</v>
      </c>
      <c r="G271" s="2">
        <v>6</v>
      </c>
      <c r="H271" s="2">
        <v>1</v>
      </c>
      <c r="I271" s="2">
        <v>7</v>
      </c>
      <c r="J271" s="2">
        <v>7</v>
      </c>
      <c r="K271" s="2">
        <v>14</v>
      </c>
      <c r="L271" s="2">
        <v>4</v>
      </c>
      <c r="M271" s="2">
        <v>4</v>
      </c>
      <c r="N271" s="2">
        <v>0</v>
      </c>
      <c r="O271" s="2">
        <v>0</v>
      </c>
      <c r="P271" s="2">
        <v>14</v>
      </c>
      <c r="Q271" s="2">
        <v>194</v>
      </c>
      <c r="R271" s="13" t="s">
        <v>27</v>
      </c>
      <c r="S271" s="13" t="s">
        <v>27</v>
      </c>
    </row>
    <row r="272" spans="1:19" hidden="1" x14ac:dyDescent="0.3">
      <c r="A272" s="14">
        <v>43897.75</v>
      </c>
      <c r="B272" s="13" t="s">
        <v>23</v>
      </c>
      <c r="C272" s="2">
        <v>10</v>
      </c>
      <c r="D272" s="13" t="s">
        <v>61</v>
      </c>
      <c r="E272" s="2">
        <v>4310675841</v>
      </c>
      <c r="F272" s="2">
        <v>1238824698</v>
      </c>
      <c r="G272" s="2">
        <v>2</v>
      </c>
      <c r="H272" s="2">
        <v>2</v>
      </c>
      <c r="I272" s="2">
        <v>4</v>
      </c>
      <c r="J272" s="2">
        <v>20</v>
      </c>
      <c r="K272" s="2">
        <v>24</v>
      </c>
      <c r="L272" s="2">
        <v>8</v>
      </c>
      <c r="M272" s="2">
        <v>8</v>
      </c>
      <c r="N272" s="2">
        <v>0</v>
      </c>
      <c r="O272" s="2">
        <v>0</v>
      </c>
      <c r="P272" s="2">
        <v>24</v>
      </c>
      <c r="Q272" s="2">
        <v>134</v>
      </c>
      <c r="R272" s="13" t="s">
        <v>27</v>
      </c>
      <c r="S272" s="13" t="s">
        <v>27</v>
      </c>
    </row>
    <row r="273" spans="1:19" hidden="1" x14ac:dyDescent="0.3">
      <c r="A273" s="14">
        <v>43897.75</v>
      </c>
      <c r="B273" s="13" t="s">
        <v>23</v>
      </c>
      <c r="C273" s="2">
        <v>2</v>
      </c>
      <c r="D273" s="13" t="s">
        <v>62</v>
      </c>
      <c r="E273" s="2">
        <v>4573750286</v>
      </c>
      <c r="F273" s="2">
        <v>7320149366</v>
      </c>
      <c r="G273" s="2">
        <v>1</v>
      </c>
      <c r="H273" s="2">
        <v>0</v>
      </c>
      <c r="I273" s="2">
        <v>1</v>
      </c>
      <c r="J273" s="2">
        <v>7</v>
      </c>
      <c r="K273" s="2">
        <v>8</v>
      </c>
      <c r="L273" s="2">
        <v>1</v>
      </c>
      <c r="M273" s="2">
        <v>1</v>
      </c>
      <c r="N273" s="2">
        <v>0</v>
      </c>
      <c r="O273" s="2">
        <v>0</v>
      </c>
      <c r="P273" s="2">
        <v>8</v>
      </c>
      <c r="Q273" s="2">
        <v>32</v>
      </c>
      <c r="R273" s="13" t="s">
        <v>27</v>
      </c>
      <c r="S273" s="13" t="s">
        <v>27</v>
      </c>
    </row>
    <row r="274" spans="1:19" hidden="1" x14ac:dyDescent="0.3">
      <c r="A274" s="14">
        <v>43897.75</v>
      </c>
      <c r="B274" s="13" t="s">
        <v>23</v>
      </c>
      <c r="C274" s="2">
        <v>5</v>
      </c>
      <c r="D274" s="13" t="s">
        <v>63</v>
      </c>
      <c r="E274" s="2">
        <v>4543490485</v>
      </c>
      <c r="F274" s="2">
        <v>1233845213</v>
      </c>
      <c r="G274" s="2">
        <v>123</v>
      </c>
      <c r="H274" s="2">
        <v>41</v>
      </c>
      <c r="I274" s="2">
        <v>164</v>
      </c>
      <c r="J274" s="2">
        <v>341</v>
      </c>
      <c r="K274" s="2">
        <v>505</v>
      </c>
      <c r="L274" s="2">
        <v>51</v>
      </c>
      <c r="M274" s="2">
        <v>55</v>
      </c>
      <c r="N274" s="2">
        <v>25</v>
      </c>
      <c r="O274" s="2">
        <v>13</v>
      </c>
      <c r="P274" s="2">
        <v>543</v>
      </c>
      <c r="Q274" s="2">
        <v>14429</v>
      </c>
      <c r="R274" s="13" t="s">
        <v>27</v>
      </c>
      <c r="S274" s="13" t="s">
        <v>27</v>
      </c>
    </row>
    <row r="275" spans="1:19" hidden="1" x14ac:dyDescent="0.3">
      <c r="A275" s="14">
        <v>43898.75</v>
      </c>
      <c r="B275" s="13" t="s">
        <v>23</v>
      </c>
      <c r="C275" s="2">
        <v>13</v>
      </c>
      <c r="D275" s="13" t="s">
        <v>44</v>
      </c>
      <c r="E275" s="2">
        <v>4235122196</v>
      </c>
      <c r="F275" s="2">
        <v>1339843823</v>
      </c>
      <c r="G275" s="2">
        <v>14</v>
      </c>
      <c r="H275" s="2">
        <v>0</v>
      </c>
      <c r="I275" s="2">
        <v>14</v>
      </c>
      <c r="J275" s="2">
        <v>3</v>
      </c>
      <c r="K275" s="2">
        <v>17</v>
      </c>
      <c r="L275" s="2">
        <v>6</v>
      </c>
      <c r="M275" s="2">
        <v>6</v>
      </c>
      <c r="N275" s="2">
        <v>0</v>
      </c>
      <c r="O275" s="2">
        <v>0</v>
      </c>
      <c r="P275" s="2">
        <v>17</v>
      </c>
      <c r="Q275" s="2">
        <v>163</v>
      </c>
      <c r="R275" s="13" t="s">
        <v>27</v>
      </c>
      <c r="S275" s="13" t="s">
        <v>27</v>
      </c>
    </row>
    <row r="276" spans="1:19" hidden="1" x14ac:dyDescent="0.3">
      <c r="A276" s="14">
        <v>43898.75</v>
      </c>
      <c r="B276" s="13" t="s">
        <v>23</v>
      </c>
      <c r="C276" s="2">
        <v>17</v>
      </c>
      <c r="D276" s="13" t="s">
        <v>45</v>
      </c>
      <c r="E276" s="2">
        <v>4063947052</v>
      </c>
      <c r="F276" s="2">
        <v>1580514834</v>
      </c>
      <c r="G276" s="2">
        <v>2</v>
      </c>
      <c r="H276" s="2">
        <v>0</v>
      </c>
      <c r="I276" s="2">
        <v>2</v>
      </c>
      <c r="J276" s="2">
        <v>2</v>
      </c>
      <c r="K276" s="2">
        <v>4</v>
      </c>
      <c r="L276" s="2">
        <v>1</v>
      </c>
      <c r="M276" s="2">
        <v>1</v>
      </c>
      <c r="N276" s="2">
        <v>0</v>
      </c>
      <c r="O276" s="2">
        <v>0</v>
      </c>
      <c r="P276" s="2">
        <v>4</v>
      </c>
      <c r="Q276" s="2">
        <v>123</v>
      </c>
      <c r="R276" s="13" t="s">
        <v>27</v>
      </c>
      <c r="S276" s="13" t="s">
        <v>27</v>
      </c>
    </row>
    <row r="277" spans="1:19" hidden="1" x14ac:dyDescent="0.3">
      <c r="A277" s="14">
        <v>43898.75</v>
      </c>
      <c r="B277" s="13" t="s">
        <v>23</v>
      </c>
      <c r="C277" s="2">
        <v>4</v>
      </c>
      <c r="D277" s="13" t="s">
        <v>46</v>
      </c>
      <c r="E277" s="2">
        <v>4649933453</v>
      </c>
      <c r="F277" s="2">
        <v>1135662422</v>
      </c>
      <c r="G277" s="2">
        <v>8</v>
      </c>
      <c r="H277" s="2">
        <v>0</v>
      </c>
      <c r="I277" s="2">
        <v>8</v>
      </c>
      <c r="J277" s="2">
        <v>1</v>
      </c>
      <c r="K277" s="2">
        <v>9</v>
      </c>
      <c r="L277" s="2">
        <v>0</v>
      </c>
      <c r="M277" s="2">
        <v>0</v>
      </c>
      <c r="N277" s="2">
        <v>0</v>
      </c>
      <c r="O277" s="2">
        <v>0</v>
      </c>
      <c r="P277" s="2">
        <v>9</v>
      </c>
      <c r="Q277" s="2">
        <v>36</v>
      </c>
      <c r="R277" s="13" t="s">
        <v>27</v>
      </c>
      <c r="S277" s="13" t="s">
        <v>27</v>
      </c>
    </row>
    <row r="278" spans="1:19" hidden="1" x14ac:dyDescent="0.3">
      <c r="A278" s="14">
        <v>43898.75</v>
      </c>
      <c r="B278" s="13" t="s">
        <v>23</v>
      </c>
      <c r="C278" s="2">
        <v>18</v>
      </c>
      <c r="D278" s="13" t="s">
        <v>47</v>
      </c>
      <c r="E278" s="2">
        <v>3890597598</v>
      </c>
      <c r="F278" s="2">
        <v>1659440194</v>
      </c>
      <c r="G278" s="2">
        <v>5</v>
      </c>
      <c r="H278" s="2">
        <v>0</v>
      </c>
      <c r="I278" s="2">
        <v>5</v>
      </c>
      <c r="J278" s="2">
        <v>4</v>
      </c>
      <c r="K278" s="2">
        <v>9</v>
      </c>
      <c r="L278" s="2">
        <v>5</v>
      </c>
      <c r="M278" s="2">
        <v>5</v>
      </c>
      <c r="N278" s="2">
        <v>0</v>
      </c>
      <c r="O278" s="2">
        <v>0</v>
      </c>
      <c r="P278" s="2">
        <v>9</v>
      </c>
      <c r="Q278" s="2">
        <v>113</v>
      </c>
      <c r="R278" s="13" t="s">
        <v>27</v>
      </c>
      <c r="S278" s="13" t="s">
        <v>27</v>
      </c>
    </row>
    <row r="279" spans="1:19" hidden="1" x14ac:dyDescent="0.3">
      <c r="A279" s="14">
        <v>43898.75</v>
      </c>
      <c r="B279" s="13" t="s">
        <v>23</v>
      </c>
      <c r="C279" s="2">
        <v>15</v>
      </c>
      <c r="D279" s="13" t="s">
        <v>48</v>
      </c>
      <c r="E279" s="2">
        <v>4083956555</v>
      </c>
      <c r="F279" s="2">
        <v>1425084984</v>
      </c>
      <c r="G279" s="2">
        <v>30</v>
      </c>
      <c r="H279" s="2">
        <v>7</v>
      </c>
      <c r="I279" s="2">
        <v>37</v>
      </c>
      <c r="J279" s="2">
        <v>63</v>
      </c>
      <c r="K279" s="2">
        <v>100</v>
      </c>
      <c r="L279" s="2">
        <v>39</v>
      </c>
      <c r="M279" s="2">
        <v>40</v>
      </c>
      <c r="N279" s="2">
        <v>1</v>
      </c>
      <c r="O279" s="2">
        <v>0</v>
      </c>
      <c r="P279" s="2">
        <v>101</v>
      </c>
      <c r="Q279" s="2">
        <v>980</v>
      </c>
      <c r="R279" s="13" t="s">
        <v>27</v>
      </c>
      <c r="S279" s="13" t="s">
        <v>27</v>
      </c>
    </row>
    <row r="280" spans="1:19" hidden="1" x14ac:dyDescent="0.3">
      <c r="A280" s="14">
        <v>43898.75</v>
      </c>
      <c r="B280" s="13" t="s">
        <v>23</v>
      </c>
      <c r="C280" s="2">
        <v>8</v>
      </c>
      <c r="D280" s="13" t="s">
        <v>98</v>
      </c>
      <c r="E280" s="2">
        <v>4449436681</v>
      </c>
      <c r="F280" s="2">
        <v>113417208</v>
      </c>
      <c r="G280" s="2">
        <v>542</v>
      </c>
      <c r="H280" s="2">
        <v>75</v>
      </c>
      <c r="I280" s="2">
        <v>617</v>
      </c>
      <c r="J280" s="2">
        <v>480</v>
      </c>
      <c r="K280" s="2">
        <v>1097</v>
      </c>
      <c r="L280" s="2">
        <v>160</v>
      </c>
      <c r="M280" s="2">
        <v>170</v>
      </c>
      <c r="N280" s="2">
        <v>27</v>
      </c>
      <c r="O280" s="2">
        <v>56</v>
      </c>
      <c r="P280" s="2">
        <v>1180</v>
      </c>
      <c r="Q280" s="2">
        <v>4344</v>
      </c>
      <c r="R280" s="13" t="s">
        <v>27</v>
      </c>
      <c r="S280" s="13" t="s">
        <v>27</v>
      </c>
    </row>
    <row r="281" spans="1:19" hidden="1" x14ac:dyDescent="0.3">
      <c r="A281" s="14">
        <v>43898.75</v>
      </c>
      <c r="B281" s="13" t="s">
        <v>23</v>
      </c>
      <c r="C281" s="2">
        <v>6</v>
      </c>
      <c r="D281" s="13" t="s">
        <v>49</v>
      </c>
      <c r="E281" s="2">
        <v>456494354</v>
      </c>
      <c r="F281" s="2">
        <v>1376813649</v>
      </c>
      <c r="G281" s="2">
        <v>7</v>
      </c>
      <c r="H281" s="2">
        <v>1</v>
      </c>
      <c r="I281" s="2">
        <v>8</v>
      </c>
      <c r="J281" s="2">
        <v>45</v>
      </c>
      <c r="K281" s="2">
        <v>53</v>
      </c>
      <c r="L281" s="2">
        <v>14</v>
      </c>
      <c r="M281" s="2">
        <v>15</v>
      </c>
      <c r="N281" s="2">
        <v>3</v>
      </c>
      <c r="O281" s="2">
        <v>1</v>
      </c>
      <c r="P281" s="2">
        <v>57</v>
      </c>
      <c r="Q281" s="2">
        <v>997</v>
      </c>
      <c r="R281" s="13" t="s">
        <v>27</v>
      </c>
      <c r="S281" s="13" t="s">
        <v>27</v>
      </c>
    </row>
    <row r="282" spans="1:19" hidden="1" x14ac:dyDescent="0.3">
      <c r="A282" s="14">
        <v>43898.75</v>
      </c>
      <c r="B282" s="13" t="s">
        <v>23</v>
      </c>
      <c r="C282" s="2">
        <v>12</v>
      </c>
      <c r="D282" s="13" t="s">
        <v>50</v>
      </c>
      <c r="E282" s="2">
        <v>4189277044</v>
      </c>
      <c r="F282" s="2">
        <v>1248366722</v>
      </c>
      <c r="G282" s="2">
        <v>47</v>
      </c>
      <c r="H282" s="2">
        <v>8</v>
      </c>
      <c r="I282" s="2">
        <v>55</v>
      </c>
      <c r="J282" s="2">
        <v>26</v>
      </c>
      <c r="K282" s="2">
        <v>81</v>
      </c>
      <c r="L282" s="2">
        <v>9</v>
      </c>
      <c r="M282" s="2">
        <v>11</v>
      </c>
      <c r="N282" s="2">
        <v>3</v>
      </c>
      <c r="O282" s="2">
        <v>3</v>
      </c>
      <c r="P282" s="2">
        <v>87</v>
      </c>
      <c r="Q282" s="2">
        <v>1929</v>
      </c>
      <c r="R282" s="13" t="s">
        <v>27</v>
      </c>
      <c r="S282" s="13" t="s">
        <v>27</v>
      </c>
    </row>
    <row r="283" spans="1:19" hidden="1" x14ac:dyDescent="0.3">
      <c r="A283" s="14">
        <v>43898.75</v>
      </c>
      <c r="B283" s="13" t="s">
        <v>23</v>
      </c>
      <c r="C283" s="2">
        <v>7</v>
      </c>
      <c r="D283" s="13" t="s">
        <v>51</v>
      </c>
      <c r="E283" s="2">
        <v>4441149315</v>
      </c>
      <c r="F283" s="2">
        <v>89326992</v>
      </c>
      <c r="G283" s="2">
        <v>39</v>
      </c>
      <c r="H283" s="2">
        <v>11</v>
      </c>
      <c r="I283" s="2">
        <v>50</v>
      </c>
      <c r="J283" s="2">
        <v>17</v>
      </c>
      <c r="K283" s="2">
        <v>67</v>
      </c>
      <c r="L283" s="2">
        <v>25</v>
      </c>
      <c r="M283" s="2">
        <v>27</v>
      </c>
      <c r="N283" s="2">
        <v>5</v>
      </c>
      <c r="O283" s="2">
        <v>6</v>
      </c>
      <c r="P283" s="2">
        <v>78</v>
      </c>
      <c r="Q283" s="2">
        <v>401</v>
      </c>
      <c r="R283" s="13" t="s">
        <v>27</v>
      </c>
      <c r="S283" s="13" t="s">
        <v>27</v>
      </c>
    </row>
    <row r="284" spans="1:19" x14ac:dyDescent="0.3">
      <c r="A284" s="14">
        <v>43898.75</v>
      </c>
      <c r="B284" s="13" t="s">
        <v>23</v>
      </c>
      <c r="C284" s="2">
        <v>3</v>
      </c>
      <c r="D284" s="13" t="s">
        <v>52</v>
      </c>
      <c r="E284" s="2">
        <v>4546679409</v>
      </c>
      <c r="F284" s="2">
        <v>9190347404</v>
      </c>
      <c r="G284" s="2">
        <v>2217</v>
      </c>
      <c r="H284" s="2">
        <v>399</v>
      </c>
      <c r="I284" s="2">
        <v>2616</v>
      </c>
      <c r="J284" s="2">
        <v>756</v>
      </c>
      <c r="K284" s="2">
        <v>3372</v>
      </c>
      <c r="L284" s="2">
        <v>630</v>
      </c>
      <c r="M284" s="2">
        <v>769</v>
      </c>
      <c r="N284" s="2">
        <v>550</v>
      </c>
      <c r="O284" s="2">
        <v>267</v>
      </c>
      <c r="P284" s="2">
        <v>4189</v>
      </c>
      <c r="Q284" s="2">
        <v>18534</v>
      </c>
      <c r="R284" s="13" t="s">
        <v>27</v>
      </c>
      <c r="S284" s="13" t="s">
        <v>27</v>
      </c>
    </row>
    <row r="285" spans="1:19" hidden="1" x14ac:dyDescent="0.3">
      <c r="A285" s="14">
        <v>43898.75</v>
      </c>
      <c r="B285" s="13" t="s">
        <v>23</v>
      </c>
      <c r="C285" s="2">
        <v>11</v>
      </c>
      <c r="D285" s="13" t="s">
        <v>53</v>
      </c>
      <c r="E285" s="2">
        <v>4361675973</v>
      </c>
      <c r="F285" s="2">
        <v>135188753</v>
      </c>
      <c r="G285" s="2">
        <v>110</v>
      </c>
      <c r="H285" s="2">
        <v>41</v>
      </c>
      <c r="I285" s="2">
        <v>151</v>
      </c>
      <c r="J285" s="2">
        <v>114</v>
      </c>
      <c r="K285" s="2">
        <v>265</v>
      </c>
      <c r="L285" s="2">
        <v>64</v>
      </c>
      <c r="M285" s="2">
        <v>65</v>
      </c>
      <c r="N285" s="2">
        <v>0</v>
      </c>
      <c r="O285" s="2">
        <v>7</v>
      </c>
      <c r="P285" s="2">
        <v>272</v>
      </c>
      <c r="Q285" s="2">
        <v>1025</v>
      </c>
      <c r="R285" s="13" t="s">
        <v>27</v>
      </c>
      <c r="S285" s="13" t="s">
        <v>27</v>
      </c>
    </row>
    <row r="286" spans="1:19" hidden="1" x14ac:dyDescent="0.3">
      <c r="A286" s="14">
        <v>43898.75</v>
      </c>
      <c r="B286" s="13" t="s">
        <v>23</v>
      </c>
      <c r="C286" s="2">
        <v>14</v>
      </c>
      <c r="D286" s="13" t="s">
        <v>54</v>
      </c>
      <c r="E286" s="2">
        <v>4155774754</v>
      </c>
      <c r="F286" s="2">
        <v>1465916051</v>
      </c>
      <c r="G286" s="2">
        <v>4</v>
      </c>
      <c r="H286" s="2">
        <v>2</v>
      </c>
      <c r="I286" s="2">
        <v>6</v>
      </c>
      <c r="J286" s="2">
        <v>8</v>
      </c>
      <c r="K286" s="2">
        <v>14</v>
      </c>
      <c r="L286" s="2">
        <v>0</v>
      </c>
      <c r="M286" s="2">
        <v>0</v>
      </c>
      <c r="N286" s="2">
        <v>0</v>
      </c>
      <c r="O286" s="2">
        <v>0</v>
      </c>
      <c r="P286" s="2">
        <v>14</v>
      </c>
      <c r="Q286" s="2">
        <v>116</v>
      </c>
      <c r="R286" s="13" t="s">
        <v>27</v>
      </c>
      <c r="S286" s="13" t="s">
        <v>27</v>
      </c>
    </row>
    <row r="287" spans="1:19" hidden="1" x14ac:dyDescent="0.3">
      <c r="A287" s="14">
        <v>43898.75</v>
      </c>
      <c r="B287" s="13" t="s">
        <v>23</v>
      </c>
      <c r="C287" s="2">
        <v>1</v>
      </c>
      <c r="D287" s="13" t="s">
        <v>55</v>
      </c>
      <c r="E287" s="2">
        <v>450732745</v>
      </c>
      <c r="F287" s="2">
        <v>7680687483</v>
      </c>
      <c r="G287" s="2">
        <v>245</v>
      </c>
      <c r="H287" s="2">
        <v>45</v>
      </c>
      <c r="I287" s="2">
        <v>290</v>
      </c>
      <c r="J287" s="2">
        <v>65</v>
      </c>
      <c r="K287" s="2">
        <v>355</v>
      </c>
      <c r="L287" s="2">
        <v>153</v>
      </c>
      <c r="M287" s="2">
        <v>153</v>
      </c>
      <c r="N287" s="2">
        <v>0</v>
      </c>
      <c r="O287" s="2">
        <v>5</v>
      </c>
      <c r="P287" s="2">
        <v>360</v>
      </c>
      <c r="Q287" s="2">
        <v>1636</v>
      </c>
      <c r="R287" s="13" t="s">
        <v>27</v>
      </c>
      <c r="S287" s="13" t="s">
        <v>27</v>
      </c>
    </row>
    <row r="288" spans="1:19" hidden="1" x14ac:dyDescent="0.3">
      <c r="A288" s="14">
        <v>43898.75</v>
      </c>
      <c r="B288" s="13" t="s">
        <v>23</v>
      </c>
      <c r="C288" s="2">
        <v>16</v>
      </c>
      <c r="D288" s="13" t="s">
        <v>56</v>
      </c>
      <c r="E288" s="2">
        <v>4112559576</v>
      </c>
      <c r="F288" s="2">
        <v>1686736689</v>
      </c>
      <c r="G288" s="2">
        <v>17</v>
      </c>
      <c r="H288" s="2">
        <v>3</v>
      </c>
      <c r="I288" s="2">
        <v>20</v>
      </c>
      <c r="J288" s="2">
        <v>16</v>
      </c>
      <c r="K288" s="2">
        <v>36</v>
      </c>
      <c r="L288" s="2">
        <v>13</v>
      </c>
      <c r="M288" s="2">
        <v>14</v>
      </c>
      <c r="N288" s="2">
        <v>1</v>
      </c>
      <c r="O288" s="2">
        <v>3</v>
      </c>
      <c r="P288" s="2">
        <v>40</v>
      </c>
      <c r="Q288" s="2">
        <v>627</v>
      </c>
      <c r="R288" s="13" t="s">
        <v>27</v>
      </c>
      <c r="S288" s="13" t="s">
        <v>27</v>
      </c>
    </row>
    <row r="289" spans="1:19" hidden="1" x14ac:dyDescent="0.3">
      <c r="A289" s="14">
        <v>43898.75</v>
      </c>
      <c r="B289" s="13" t="s">
        <v>23</v>
      </c>
      <c r="C289" s="2">
        <v>20</v>
      </c>
      <c r="D289" s="13" t="s">
        <v>57</v>
      </c>
      <c r="E289" s="2">
        <v>3921531192</v>
      </c>
      <c r="F289" s="2">
        <v>9110616306</v>
      </c>
      <c r="G289" s="2">
        <v>5</v>
      </c>
      <c r="H289" s="2">
        <v>0</v>
      </c>
      <c r="I289" s="2">
        <v>5</v>
      </c>
      <c r="J289" s="2">
        <v>6</v>
      </c>
      <c r="K289" s="2">
        <v>11</v>
      </c>
      <c r="L289" s="2">
        <v>6</v>
      </c>
      <c r="M289" s="2">
        <v>6</v>
      </c>
      <c r="N289" s="2">
        <v>0</v>
      </c>
      <c r="O289" s="2">
        <v>0</v>
      </c>
      <c r="P289" s="2">
        <v>11</v>
      </c>
      <c r="Q289" s="2">
        <v>149</v>
      </c>
      <c r="R289" s="13" t="s">
        <v>27</v>
      </c>
      <c r="S289" s="13" t="s">
        <v>27</v>
      </c>
    </row>
    <row r="290" spans="1:19" hidden="1" x14ac:dyDescent="0.3">
      <c r="A290" s="14">
        <v>43898.75</v>
      </c>
      <c r="B290" s="13" t="s">
        <v>23</v>
      </c>
      <c r="C290" s="2">
        <v>19</v>
      </c>
      <c r="D290" s="13" t="s">
        <v>58</v>
      </c>
      <c r="E290" s="2">
        <v>3811569725</v>
      </c>
      <c r="F290" s="2">
        <v>133623567</v>
      </c>
      <c r="G290" s="2">
        <v>18</v>
      </c>
      <c r="H290" s="2">
        <v>0</v>
      </c>
      <c r="I290" s="2">
        <v>18</v>
      </c>
      <c r="J290" s="2">
        <v>33</v>
      </c>
      <c r="K290" s="2">
        <v>51</v>
      </c>
      <c r="L290" s="2">
        <v>18</v>
      </c>
      <c r="M290" s="2">
        <v>18</v>
      </c>
      <c r="N290" s="2">
        <v>2</v>
      </c>
      <c r="O290" s="2">
        <v>0</v>
      </c>
      <c r="P290" s="2">
        <v>53</v>
      </c>
      <c r="Q290" s="2">
        <v>791</v>
      </c>
      <c r="R290" s="13" t="s">
        <v>27</v>
      </c>
      <c r="S290" s="13" t="s">
        <v>27</v>
      </c>
    </row>
    <row r="291" spans="1:19" hidden="1" x14ac:dyDescent="0.3">
      <c r="A291" s="14">
        <v>43898.75</v>
      </c>
      <c r="B291" s="13" t="s">
        <v>23</v>
      </c>
      <c r="C291" s="2">
        <v>9</v>
      </c>
      <c r="D291" s="13" t="s">
        <v>59</v>
      </c>
      <c r="E291" s="2">
        <v>4376923077</v>
      </c>
      <c r="F291" s="2">
        <v>1125588885</v>
      </c>
      <c r="G291" s="2">
        <v>91</v>
      </c>
      <c r="H291" s="2">
        <v>7</v>
      </c>
      <c r="I291" s="2">
        <v>98</v>
      </c>
      <c r="J291" s="2">
        <v>67</v>
      </c>
      <c r="K291" s="2">
        <v>165</v>
      </c>
      <c r="L291" s="2">
        <v>53</v>
      </c>
      <c r="M291" s="2">
        <v>53</v>
      </c>
      <c r="N291" s="2">
        <v>1</v>
      </c>
      <c r="O291" s="2">
        <v>0</v>
      </c>
      <c r="P291" s="2">
        <v>166</v>
      </c>
      <c r="Q291" s="2">
        <v>1618</v>
      </c>
      <c r="R291" s="13" t="s">
        <v>27</v>
      </c>
      <c r="S291" s="13" t="s">
        <v>27</v>
      </c>
    </row>
    <row r="292" spans="1:19" hidden="1" x14ac:dyDescent="0.3">
      <c r="A292" s="14">
        <v>43898.75</v>
      </c>
      <c r="B292" s="13" t="s">
        <v>23</v>
      </c>
      <c r="C292" s="2">
        <v>4</v>
      </c>
      <c r="D292" s="13" t="s">
        <v>60</v>
      </c>
      <c r="E292" s="2">
        <v>4606893511</v>
      </c>
      <c r="F292" s="2">
        <v>1112123097</v>
      </c>
      <c r="G292" s="2">
        <v>7</v>
      </c>
      <c r="H292" s="2">
        <v>2</v>
      </c>
      <c r="I292" s="2">
        <v>9</v>
      </c>
      <c r="J292" s="2">
        <v>14</v>
      </c>
      <c r="K292" s="2">
        <v>23</v>
      </c>
      <c r="L292" s="2">
        <v>9</v>
      </c>
      <c r="M292" s="2">
        <v>9</v>
      </c>
      <c r="N292" s="2">
        <v>0</v>
      </c>
      <c r="O292" s="2">
        <v>0</v>
      </c>
      <c r="P292" s="2">
        <v>23</v>
      </c>
      <c r="Q292" s="2">
        <v>228</v>
      </c>
      <c r="R292" s="13" t="s">
        <v>27</v>
      </c>
      <c r="S292" s="13" t="s">
        <v>27</v>
      </c>
    </row>
    <row r="293" spans="1:19" hidden="1" x14ac:dyDescent="0.3">
      <c r="A293" s="14">
        <v>43898.75</v>
      </c>
      <c r="B293" s="13" t="s">
        <v>23</v>
      </c>
      <c r="C293" s="2">
        <v>10</v>
      </c>
      <c r="D293" s="13" t="s">
        <v>61</v>
      </c>
      <c r="E293" s="2">
        <v>4310675841</v>
      </c>
      <c r="F293" s="2">
        <v>1238824698</v>
      </c>
      <c r="G293" s="2">
        <v>2</v>
      </c>
      <c r="H293" s="2">
        <v>2</v>
      </c>
      <c r="I293" s="2">
        <v>4</v>
      </c>
      <c r="J293" s="2">
        <v>22</v>
      </c>
      <c r="K293" s="2">
        <v>26</v>
      </c>
      <c r="L293" s="2">
        <v>2</v>
      </c>
      <c r="M293" s="2">
        <v>2</v>
      </c>
      <c r="N293" s="2">
        <v>0</v>
      </c>
      <c r="O293" s="2">
        <v>0</v>
      </c>
      <c r="P293" s="2">
        <v>26</v>
      </c>
      <c r="Q293" s="2">
        <v>168</v>
      </c>
      <c r="R293" s="13" t="s">
        <v>27</v>
      </c>
      <c r="S293" s="13" t="s">
        <v>27</v>
      </c>
    </row>
    <row r="294" spans="1:19" hidden="1" x14ac:dyDescent="0.3">
      <c r="A294" s="14">
        <v>43898.75</v>
      </c>
      <c r="B294" s="13" t="s">
        <v>23</v>
      </c>
      <c r="C294" s="2">
        <v>2</v>
      </c>
      <c r="D294" s="13" t="s">
        <v>62</v>
      </c>
      <c r="E294" s="2">
        <v>4573750286</v>
      </c>
      <c r="F294" s="2">
        <v>7320149366</v>
      </c>
      <c r="G294" s="2">
        <v>1</v>
      </c>
      <c r="H294" s="2">
        <v>0</v>
      </c>
      <c r="I294" s="2">
        <v>1</v>
      </c>
      <c r="J294" s="2">
        <v>8</v>
      </c>
      <c r="K294" s="2">
        <v>9</v>
      </c>
      <c r="L294" s="2">
        <v>1</v>
      </c>
      <c r="M294" s="2">
        <v>1</v>
      </c>
      <c r="N294" s="2">
        <v>0</v>
      </c>
      <c r="O294" s="2">
        <v>0</v>
      </c>
      <c r="P294" s="2">
        <v>9</v>
      </c>
      <c r="Q294" s="2">
        <v>41</v>
      </c>
      <c r="R294" s="13" t="s">
        <v>27</v>
      </c>
      <c r="S294" s="13" t="s">
        <v>27</v>
      </c>
    </row>
    <row r="295" spans="1:19" hidden="1" x14ac:dyDescent="0.3">
      <c r="A295" s="14">
        <v>43898.75</v>
      </c>
      <c r="B295" s="13" t="s">
        <v>23</v>
      </c>
      <c r="C295" s="2">
        <v>5</v>
      </c>
      <c r="D295" s="13" t="s">
        <v>63</v>
      </c>
      <c r="E295" s="2">
        <v>4543490485</v>
      </c>
      <c r="F295" s="2">
        <v>1233845213</v>
      </c>
      <c r="G295" s="2">
        <v>146</v>
      </c>
      <c r="H295" s="2">
        <v>47</v>
      </c>
      <c r="I295" s="2">
        <v>193</v>
      </c>
      <c r="J295" s="2">
        <v>430</v>
      </c>
      <c r="K295" s="2">
        <v>623</v>
      </c>
      <c r="L295" s="2">
        <v>118</v>
      </c>
      <c r="M295" s="2">
        <v>127</v>
      </c>
      <c r="N295" s="2">
        <v>29</v>
      </c>
      <c r="O295" s="2">
        <v>18</v>
      </c>
      <c r="P295" s="2">
        <v>670</v>
      </c>
      <c r="Q295" s="2">
        <v>15918</v>
      </c>
      <c r="R295" s="13" t="s">
        <v>27</v>
      </c>
      <c r="S295" s="13" t="s">
        <v>27</v>
      </c>
    </row>
    <row r="296" spans="1:19" hidden="1" x14ac:dyDescent="0.3">
      <c r="A296" s="14">
        <v>43899.75</v>
      </c>
      <c r="B296" s="13" t="s">
        <v>23</v>
      </c>
      <c r="C296" s="2">
        <v>13</v>
      </c>
      <c r="D296" s="13" t="s">
        <v>44</v>
      </c>
      <c r="E296" s="2">
        <v>4235122196</v>
      </c>
      <c r="F296" s="2">
        <v>1339843823</v>
      </c>
      <c r="G296" s="2">
        <v>25</v>
      </c>
      <c r="H296" s="2">
        <v>0</v>
      </c>
      <c r="I296" s="2">
        <v>25</v>
      </c>
      <c r="J296" s="2">
        <v>5</v>
      </c>
      <c r="K296" s="2">
        <v>30</v>
      </c>
      <c r="L296" s="2">
        <v>13</v>
      </c>
      <c r="M296" s="2">
        <v>13</v>
      </c>
      <c r="N296" s="2">
        <v>0</v>
      </c>
      <c r="O296" s="2">
        <v>0</v>
      </c>
      <c r="P296" s="2">
        <v>30</v>
      </c>
      <c r="Q296" s="2">
        <v>237</v>
      </c>
      <c r="R296" s="13" t="s">
        <v>27</v>
      </c>
      <c r="S296" s="13" t="s">
        <v>27</v>
      </c>
    </row>
    <row r="297" spans="1:19" hidden="1" x14ac:dyDescent="0.3">
      <c r="A297" s="14">
        <v>43899.75</v>
      </c>
      <c r="B297" s="13" t="s">
        <v>23</v>
      </c>
      <c r="C297" s="2">
        <v>17</v>
      </c>
      <c r="D297" s="13" t="s">
        <v>45</v>
      </c>
      <c r="E297" s="2">
        <v>4063947052</v>
      </c>
      <c r="F297" s="2">
        <v>1580514834</v>
      </c>
      <c r="G297" s="2">
        <v>2</v>
      </c>
      <c r="H297" s="2">
        <v>0</v>
      </c>
      <c r="I297" s="2">
        <v>2</v>
      </c>
      <c r="J297" s="2">
        <v>3</v>
      </c>
      <c r="K297" s="2">
        <v>5</v>
      </c>
      <c r="L297" s="2">
        <v>1</v>
      </c>
      <c r="M297" s="2">
        <v>1</v>
      </c>
      <c r="N297" s="2">
        <v>0</v>
      </c>
      <c r="O297" s="2">
        <v>0</v>
      </c>
      <c r="P297" s="2">
        <v>5</v>
      </c>
      <c r="Q297" s="2">
        <v>135</v>
      </c>
      <c r="R297" s="13" t="s">
        <v>27</v>
      </c>
      <c r="S297" s="13" t="s">
        <v>27</v>
      </c>
    </row>
    <row r="298" spans="1:19" hidden="1" x14ac:dyDescent="0.3">
      <c r="A298" s="14">
        <v>43899.75</v>
      </c>
      <c r="B298" s="13" t="s">
        <v>23</v>
      </c>
      <c r="C298" s="2">
        <v>4</v>
      </c>
      <c r="D298" s="13" t="s">
        <v>46</v>
      </c>
      <c r="E298" s="2">
        <v>4649933453</v>
      </c>
      <c r="F298" s="2">
        <v>1135662422</v>
      </c>
      <c r="G298" s="2">
        <v>8</v>
      </c>
      <c r="H298" s="2">
        <v>0</v>
      </c>
      <c r="I298" s="2">
        <v>8</v>
      </c>
      <c r="J298" s="2">
        <v>1</v>
      </c>
      <c r="K298" s="2">
        <v>9</v>
      </c>
      <c r="L298" s="2">
        <v>0</v>
      </c>
      <c r="M298" s="2">
        <v>0</v>
      </c>
      <c r="N298" s="2">
        <v>0</v>
      </c>
      <c r="O298" s="2">
        <v>0</v>
      </c>
      <c r="P298" s="2">
        <v>9</v>
      </c>
      <c r="Q298" s="2">
        <v>36</v>
      </c>
      <c r="R298" s="13" t="s">
        <v>27</v>
      </c>
      <c r="S298" s="13" t="s">
        <v>27</v>
      </c>
    </row>
    <row r="299" spans="1:19" hidden="1" x14ac:dyDescent="0.3">
      <c r="A299" s="14">
        <v>43899.75</v>
      </c>
      <c r="B299" s="13" t="s">
        <v>23</v>
      </c>
      <c r="C299" s="2">
        <v>18</v>
      </c>
      <c r="D299" s="13" t="s">
        <v>47</v>
      </c>
      <c r="E299" s="2">
        <v>3890597598</v>
      </c>
      <c r="F299" s="2">
        <v>1659440194</v>
      </c>
      <c r="G299" s="2">
        <v>8</v>
      </c>
      <c r="H299" s="2">
        <v>0</v>
      </c>
      <c r="I299" s="2">
        <v>8</v>
      </c>
      <c r="J299" s="2">
        <v>1</v>
      </c>
      <c r="K299" s="2">
        <v>9</v>
      </c>
      <c r="L299" s="2">
        <v>0</v>
      </c>
      <c r="M299" s="2">
        <v>2</v>
      </c>
      <c r="N299" s="2">
        <v>2</v>
      </c>
      <c r="O299" s="2">
        <v>0</v>
      </c>
      <c r="P299" s="2">
        <v>11</v>
      </c>
      <c r="Q299" s="2">
        <v>173</v>
      </c>
      <c r="R299" s="13" t="s">
        <v>27</v>
      </c>
      <c r="S299" s="13" t="s">
        <v>27</v>
      </c>
    </row>
    <row r="300" spans="1:19" hidden="1" x14ac:dyDescent="0.3">
      <c r="A300" s="14">
        <v>43899.75</v>
      </c>
      <c r="B300" s="13" t="s">
        <v>23</v>
      </c>
      <c r="C300" s="2">
        <v>15</v>
      </c>
      <c r="D300" s="13" t="s">
        <v>48</v>
      </c>
      <c r="E300" s="2">
        <v>4083956555</v>
      </c>
      <c r="F300" s="2">
        <v>1425084984</v>
      </c>
      <c r="G300" s="2">
        <v>42</v>
      </c>
      <c r="H300" s="2">
        <v>8</v>
      </c>
      <c r="I300" s="2">
        <v>50</v>
      </c>
      <c r="J300" s="2">
        <v>69</v>
      </c>
      <c r="K300" s="2">
        <v>119</v>
      </c>
      <c r="L300" s="2">
        <v>19</v>
      </c>
      <c r="M300" s="2">
        <v>19</v>
      </c>
      <c r="N300" s="2">
        <v>1</v>
      </c>
      <c r="O300" s="2">
        <v>0</v>
      </c>
      <c r="P300" s="2">
        <v>120</v>
      </c>
      <c r="Q300" s="2">
        <v>980</v>
      </c>
      <c r="R300" s="13" t="s">
        <v>27</v>
      </c>
      <c r="S300" s="13" t="s">
        <v>27</v>
      </c>
    </row>
    <row r="301" spans="1:19" hidden="1" x14ac:dyDescent="0.3">
      <c r="A301" s="14">
        <v>43899.75</v>
      </c>
      <c r="B301" s="13" t="s">
        <v>23</v>
      </c>
      <c r="C301" s="2">
        <v>8</v>
      </c>
      <c r="D301" s="13" t="s">
        <v>98</v>
      </c>
      <c r="E301" s="2">
        <v>4449436681</v>
      </c>
      <c r="F301" s="2">
        <v>113417208</v>
      </c>
      <c r="G301" s="2">
        <v>576</v>
      </c>
      <c r="H301" s="2">
        <v>90</v>
      </c>
      <c r="I301" s="2">
        <v>666</v>
      </c>
      <c r="J301" s="2">
        <v>620</v>
      </c>
      <c r="K301" s="2">
        <v>1286</v>
      </c>
      <c r="L301" s="2">
        <v>189</v>
      </c>
      <c r="M301" s="2">
        <v>206</v>
      </c>
      <c r="N301" s="2">
        <v>30</v>
      </c>
      <c r="O301" s="2">
        <v>70</v>
      </c>
      <c r="P301" s="2">
        <v>1386</v>
      </c>
      <c r="Q301" s="2">
        <v>4906</v>
      </c>
      <c r="R301" s="13" t="s">
        <v>27</v>
      </c>
      <c r="S301" s="13" t="s">
        <v>27</v>
      </c>
    </row>
    <row r="302" spans="1:19" hidden="1" x14ac:dyDescent="0.3">
      <c r="A302" s="14">
        <v>43899.75</v>
      </c>
      <c r="B302" s="13" t="s">
        <v>23</v>
      </c>
      <c r="C302" s="2">
        <v>6</v>
      </c>
      <c r="D302" s="13" t="s">
        <v>49</v>
      </c>
      <c r="E302" s="2">
        <v>456494354</v>
      </c>
      <c r="F302" s="2">
        <v>1376813649</v>
      </c>
      <c r="G302" s="2">
        <v>18</v>
      </c>
      <c r="H302" s="2">
        <v>1</v>
      </c>
      <c r="I302" s="2">
        <v>19</v>
      </c>
      <c r="J302" s="2">
        <v>70</v>
      </c>
      <c r="K302" s="2">
        <v>89</v>
      </c>
      <c r="L302" s="2">
        <v>36</v>
      </c>
      <c r="M302" s="2">
        <v>36</v>
      </c>
      <c r="N302" s="2">
        <v>3</v>
      </c>
      <c r="O302" s="2">
        <v>1</v>
      </c>
      <c r="P302" s="2">
        <v>93</v>
      </c>
      <c r="Q302" s="2">
        <v>1344</v>
      </c>
      <c r="R302" s="13" t="s">
        <v>27</v>
      </c>
      <c r="S302" s="13" t="s">
        <v>27</v>
      </c>
    </row>
    <row r="303" spans="1:19" hidden="1" x14ac:dyDescent="0.3">
      <c r="A303" s="14">
        <v>43899.75</v>
      </c>
      <c r="B303" s="13" t="s">
        <v>23</v>
      </c>
      <c r="C303" s="2">
        <v>12</v>
      </c>
      <c r="D303" s="13" t="s">
        <v>50</v>
      </c>
      <c r="E303" s="2">
        <v>4189277044</v>
      </c>
      <c r="F303" s="2">
        <v>1248366722</v>
      </c>
      <c r="G303" s="2">
        <v>55</v>
      </c>
      <c r="H303" s="2">
        <v>8</v>
      </c>
      <c r="I303" s="2">
        <v>63</v>
      </c>
      <c r="J303" s="2">
        <v>31</v>
      </c>
      <c r="K303" s="2">
        <v>94</v>
      </c>
      <c r="L303" s="2">
        <v>13</v>
      </c>
      <c r="M303" s="2">
        <v>15</v>
      </c>
      <c r="N303" s="2">
        <v>3</v>
      </c>
      <c r="O303" s="2">
        <v>5</v>
      </c>
      <c r="P303" s="2">
        <v>102</v>
      </c>
      <c r="Q303" s="2">
        <v>1929</v>
      </c>
      <c r="R303" s="13" t="s">
        <v>27</v>
      </c>
      <c r="S303" s="13" t="s">
        <v>27</v>
      </c>
    </row>
    <row r="304" spans="1:19" hidden="1" x14ac:dyDescent="0.3">
      <c r="A304" s="14">
        <v>43899.75</v>
      </c>
      <c r="B304" s="13" t="s">
        <v>23</v>
      </c>
      <c r="C304" s="2">
        <v>7</v>
      </c>
      <c r="D304" s="13" t="s">
        <v>51</v>
      </c>
      <c r="E304" s="2">
        <v>4441149315</v>
      </c>
      <c r="F304" s="2">
        <v>89326992</v>
      </c>
      <c r="G304" s="2">
        <v>60</v>
      </c>
      <c r="H304" s="2">
        <v>17</v>
      </c>
      <c r="I304" s="2">
        <v>77</v>
      </c>
      <c r="J304" s="2">
        <v>20</v>
      </c>
      <c r="K304" s="2">
        <v>97</v>
      </c>
      <c r="L304" s="2">
        <v>30</v>
      </c>
      <c r="M304" s="2">
        <v>31</v>
      </c>
      <c r="N304" s="2">
        <v>5</v>
      </c>
      <c r="O304" s="2">
        <v>7</v>
      </c>
      <c r="P304" s="2">
        <v>109</v>
      </c>
      <c r="Q304" s="2">
        <v>611</v>
      </c>
      <c r="R304" s="13" t="s">
        <v>27</v>
      </c>
      <c r="S304" s="13" t="s">
        <v>27</v>
      </c>
    </row>
    <row r="305" spans="1:19" x14ac:dyDescent="0.3">
      <c r="A305" s="14">
        <v>43899.75</v>
      </c>
      <c r="B305" s="13" t="s">
        <v>23</v>
      </c>
      <c r="C305" s="2">
        <v>3</v>
      </c>
      <c r="D305" s="13" t="s">
        <v>52</v>
      </c>
      <c r="E305" s="2">
        <v>4546679409</v>
      </c>
      <c r="F305" s="2">
        <v>9190347404</v>
      </c>
      <c r="G305" s="2">
        <v>2802</v>
      </c>
      <c r="H305" s="2">
        <v>440</v>
      </c>
      <c r="I305" s="2">
        <v>3242</v>
      </c>
      <c r="J305" s="2">
        <v>1248</v>
      </c>
      <c r="K305" s="2">
        <v>4490</v>
      </c>
      <c r="L305" s="2">
        <v>1118</v>
      </c>
      <c r="M305" s="2">
        <v>1280</v>
      </c>
      <c r="N305" s="2">
        <v>646</v>
      </c>
      <c r="O305" s="2">
        <v>333</v>
      </c>
      <c r="P305" s="2">
        <v>5469</v>
      </c>
      <c r="Q305" s="2">
        <v>20135</v>
      </c>
      <c r="R305" s="13" t="s">
        <v>27</v>
      </c>
      <c r="S305" s="13" t="s">
        <v>27</v>
      </c>
    </row>
    <row r="306" spans="1:19" hidden="1" x14ac:dyDescent="0.3">
      <c r="A306" s="14">
        <v>43899.75</v>
      </c>
      <c r="B306" s="13" t="s">
        <v>23</v>
      </c>
      <c r="C306" s="2">
        <v>11</v>
      </c>
      <c r="D306" s="13" t="s">
        <v>53</v>
      </c>
      <c r="E306" s="2">
        <v>4361675973</v>
      </c>
      <c r="F306" s="2">
        <v>135188753</v>
      </c>
      <c r="G306" s="2">
        <v>136</v>
      </c>
      <c r="H306" s="2">
        <v>47</v>
      </c>
      <c r="I306" s="2">
        <v>183</v>
      </c>
      <c r="J306" s="2">
        <v>130</v>
      </c>
      <c r="K306" s="2">
        <v>313</v>
      </c>
      <c r="L306" s="2">
        <v>48</v>
      </c>
      <c r="M306" s="2">
        <v>51</v>
      </c>
      <c r="N306" s="2">
        <v>0</v>
      </c>
      <c r="O306" s="2">
        <v>10</v>
      </c>
      <c r="P306" s="2">
        <v>323</v>
      </c>
      <c r="Q306" s="2">
        <v>1250</v>
      </c>
      <c r="R306" s="13" t="s">
        <v>27</v>
      </c>
      <c r="S306" s="13" t="s">
        <v>27</v>
      </c>
    </row>
    <row r="307" spans="1:19" hidden="1" x14ac:dyDescent="0.3">
      <c r="A307" s="14">
        <v>43899.75</v>
      </c>
      <c r="B307" s="13" t="s">
        <v>23</v>
      </c>
      <c r="C307" s="2">
        <v>14</v>
      </c>
      <c r="D307" s="13" t="s">
        <v>54</v>
      </c>
      <c r="E307" s="2">
        <v>4155774754</v>
      </c>
      <c r="F307" s="2">
        <v>1465916051</v>
      </c>
      <c r="G307" s="2">
        <v>4</v>
      </c>
      <c r="H307" s="2">
        <v>2</v>
      </c>
      <c r="I307" s="2">
        <v>6</v>
      </c>
      <c r="J307" s="2">
        <v>8</v>
      </c>
      <c r="K307" s="2">
        <v>14</v>
      </c>
      <c r="L307" s="2">
        <v>0</v>
      </c>
      <c r="M307" s="2">
        <v>0</v>
      </c>
      <c r="N307" s="2">
        <v>0</v>
      </c>
      <c r="O307" s="2">
        <v>0</v>
      </c>
      <c r="P307" s="2">
        <v>14</v>
      </c>
      <c r="Q307" s="2">
        <v>212</v>
      </c>
      <c r="R307" s="13" t="s">
        <v>27</v>
      </c>
      <c r="S307" s="13" t="s">
        <v>27</v>
      </c>
    </row>
    <row r="308" spans="1:19" hidden="1" x14ac:dyDescent="0.3">
      <c r="A308" s="14">
        <v>43899.75</v>
      </c>
      <c r="B308" s="13" t="s">
        <v>23</v>
      </c>
      <c r="C308" s="2">
        <v>1</v>
      </c>
      <c r="D308" s="13" t="s">
        <v>55</v>
      </c>
      <c r="E308" s="2">
        <v>450732745</v>
      </c>
      <c r="F308" s="2">
        <v>7680687483</v>
      </c>
      <c r="G308" s="2">
        <v>222</v>
      </c>
      <c r="H308" s="2">
        <v>50</v>
      </c>
      <c r="I308" s="2">
        <v>272</v>
      </c>
      <c r="J308" s="2">
        <v>65</v>
      </c>
      <c r="K308" s="2">
        <v>337</v>
      </c>
      <c r="L308" s="2">
        <v>-18</v>
      </c>
      <c r="M308" s="2">
        <v>-10</v>
      </c>
      <c r="N308" s="2">
        <v>0</v>
      </c>
      <c r="O308" s="2">
        <v>13</v>
      </c>
      <c r="P308" s="2">
        <v>350</v>
      </c>
      <c r="Q308" s="2">
        <v>1681</v>
      </c>
      <c r="R308" s="13" t="s">
        <v>27</v>
      </c>
      <c r="S308" s="13" t="s">
        <v>27</v>
      </c>
    </row>
    <row r="309" spans="1:19" hidden="1" x14ac:dyDescent="0.3">
      <c r="A309" s="14">
        <v>43899.75</v>
      </c>
      <c r="B309" s="13" t="s">
        <v>23</v>
      </c>
      <c r="C309" s="2">
        <v>16</v>
      </c>
      <c r="D309" s="13" t="s">
        <v>56</v>
      </c>
      <c r="E309" s="2">
        <v>4112559576</v>
      </c>
      <c r="F309" s="2">
        <v>1686736689</v>
      </c>
      <c r="G309" s="2">
        <v>20</v>
      </c>
      <c r="H309" s="2">
        <v>6</v>
      </c>
      <c r="I309" s="2">
        <v>26</v>
      </c>
      <c r="J309" s="2">
        <v>20</v>
      </c>
      <c r="K309" s="2">
        <v>46</v>
      </c>
      <c r="L309" s="2">
        <v>10</v>
      </c>
      <c r="M309" s="2">
        <v>10</v>
      </c>
      <c r="N309" s="2">
        <v>1</v>
      </c>
      <c r="O309" s="2">
        <v>3</v>
      </c>
      <c r="P309" s="2">
        <v>50</v>
      </c>
      <c r="Q309" s="2">
        <v>685</v>
      </c>
      <c r="R309" s="13" t="s">
        <v>27</v>
      </c>
      <c r="S309" s="13" t="s">
        <v>27</v>
      </c>
    </row>
    <row r="310" spans="1:19" hidden="1" x14ac:dyDescent="0.3">
      <c r="A310" s="14">
        <v>43899.75</v>
      </c>
      <c r="B310" s="13" t="s">
        <v>23</v>
      </c>
      <c r="C310" s="2">
        <v>20</v>
      </c>
      <c r="D310" s="13" t="s">
        <v>57</v>
      </c>
      <c r="E310" s="2">
        <v>3921531192</v>
      </c>
      <c r="F310" s="2">
        <v>9110616306</v>
      </c>
      <c r="G310" s="2">
        <v>8</v>
      </c>
      <c r="H310" s="2">
        <v>0</v>
      </c>
      <c r="I310" s="2">
        <v>8</v>
      </c>
      <c r="J310" s="2">
        <v>11</v>
      </c>
      <c r="K310" s="2">
        <v>19</v>
      </c>
      <c r="L310" s="2">
        <v>8</v>
      </c>
      <c r="M310" s="2">
        <v>8</v>
      </c>
      <c r="N310" s="2">
        <v>0</v>
      </c>
      <c r="O310" s="2">
        <v>0</v>
      </c>
      <c r="P310" s="2">
        <v>19</v>
      </c>
      <c r="Q310" s="2">
        <v>185</v>
      </c>
      <c r="R310" s="13" t="s">
        <v>27</v>
      </c>
      <c r="S310" s="13" t="s">
        <v>27</v>
      </c>
    </row>
    <row r="311" spans="1:19" hidden="1" x14ac:dyDescent="0.3">
      <c r="A311" s="14">
        <v>43899.75</v>
      </c>
      <c r="B311" s="13" t="s">
        <v>23</v>
      </c>
      <c r="C311" s="2">
        <v>19</v>
      </c>
      <c r="D311" s="13" t="s">
        <v>58</v>
      </c>
      <c r="E311" s="2">
        <v>3811569725</v>
      </c>
      <c r="F311" s="2">
        <v>133623567</v>
      </c>
      <c r="G311" s="2">
        <v>19</v>
      </c>
      <c r="H311" s="2">
        <v>0</v>
      </c>
      <c r="I311" s="2">
        <v>19</v>
      </c>
      <c r="J311" s="2">
        <v>33</v>
      </c>
      <c r="K311" s="2">
        <v>52</v>
      </c>
      <c r="L311" s="2">
        <v>1</v>
      </c>
      <c r="M311" s="2">
        <v>1</v>
      </c>
      <c r="N311" s="2">
        <v>2</v>
      </c>
      <c r="O311" s="2">
        <v>0</v>
      </c>
      <c r="P311" s="2">
        <v>54</v>
      </c>
      <c r="Q311" s="2">
        <v>836</v>
      </c>
      <c r="R311" s="13" t="s">
        <v>27</v>
      </c>
      <c r="S311" s="13" t="s">
        <v>27</v>
      </c>
    </row>
    <row r="312" spans="1:19" hidden="1" x14ac:dyDescent="0.3">
      <c r="A312" s="14">
        <v>43899.75</v>
      </c>
      <c r="B312" s="13" t="s">
        <v>23</v>
      </c>
      <c r="C312" s="2">
        <v>9</v>
      </c>
      <c r="D312" s="13" t="s">
        <v>59</v>
      </c>
      <c r="E312" s="2">
        <v>4376923077</v>
      </c>
      <c r="F312" s="2">
        <v>1125588885</v>
      </c>
      <c r="G312" s="2">
        <v>107</v>
      </c>
      <c r="H312" s="2">
        <v>9</v>
      </c>
      <c r="I312" s="2">
        <v>116</v>
      </c>
      <c r="J312" s="2">
        <v>90</v>
      </c>
      <c r="K312" s="2">
        <v>206</v>
      </c>
      <c r="L312" s="2">
        <v>41</v>
      </c>
      <c r="M312" s="2">
        <v>42</v>
      </c>
      <c r="N312" s="2">
        <v>1</v>
      </c>
      <c r="O312" s="2">
        <v>1</v>
      </c>
      <c r="P312" s="2">
        <v>208</v>
      </c>
      <c r="Q312" s="2">
        <v>2018</v>
      </c>
      <c r="R312" s="13" t="s">
        <v>27</v>
      </c>
      <c r="S312" s="13" t="s">
        <v>27</v>
      </c>
    </row>
    <row r="313" spans="1:19" hidden="1" x14ac:dyDescent="0.3">
      <c r="A313" s="14">
        <v>43899.75</v>
      </c>
      <c r="B313" s="13" t="s">
        <v>23</v>
      </c>
      <c r="C313" s="2">
        <v>4</v>
      </c>
      <c r="D313" s="13" t="s">
        <v>60</v>
      </c>
      <c r="E313" s="2">
        <v>4606893511</v>
      </c>
      <c r="F313" s="2">
        <v>1112123097</v>
      </c>
      <c r="G313" s="2">
        <v>10</v>
      </c>
      <c r="H313" s="2">
        <v>2</v>
      </c>
      <c r="I313" s="2">
        <v>12</v>
      </c>
      <c r="J313" s="2">
        <v>21</v>
      </c>
      <c r="K313" s="2">
        <v>33</v>
      </c>
      <c r="L313" s="2">
        <v>10</v>
      </c>
      <c r="M313" s="2">
        <v>10</v>
      </c>
      <c r="N313" s="2">
        <v>0</v>
      </c>
      <c r="O313" s="2">
        <v>0</v>
      </c>
      <c r="P313" s="2">
        <v>33</v>
      </c>
      <c r="Q313" s="2">
        <v>267</v>
      </c>
      <c r="R313" s="13" t="s">
        <v>27</v>
      </c>
      <c r="S313" s="13" t="s">
        <v>27</v>
      </c>
    </row>
    <row r="314" spans="1:19" hidden="1" x14ac:dyDescent="0.3">
      <c r="A314" s="14">
        <v>43899.75</v>
      </c>
      <c r="B314" s="13" t="s">
        <v>23</v>
      </c>
      <c r="C314" s="2">
        <v>10</v>
      </c>
      <c r="D314" s="13" t="s">
        <v>61</v>
      </c>
      <c r="E314" s="2">
        <v>4310675841</v>
      </c>
      <c r="F314" s="2">
        <v>1238824698</v>
      </c>
      <c r="G314" s="2">
        <v>4</v>
      </c>
      <c r="H314" s="2">
        <v>2</v>
      </c>
      <c r="I314" s="2">
        <v>6</v>
      </c>
      <c r="J314" s="2">
        <v>22</v>
      </c>
      <c r="K314" s="2">
        <v>28</v>
      </c>
      <c r="L314" s="2">
        <v>2</v>
      </c>
      <c r="M314" s="2">
        <v>2</v>
      </c>
      <c r="N314" s="2">
        <v>0</v>
      </c>
      <c r="O314" s="2">
        <v>0</v>
      </c>
      <c r="P314" s="2">
        <v>28</v>
      </c>
      <c r="Q314" s="2">
        <v>183</v>
      </c>
      <c r="R314" s="13" t="s">
        <v>27</v>
      </c>
      <c r="S314" s="13" t="s">
        <v>27</v>
      </c>
    </row>
    <row r="315" spans="1:19" hidden="1" x14ac:dyDescent="0.3">
      <c r="A315" s="14">
        <v>43899.75</v>
      </c>
      <c r="B315" s="13" t="s">
        <v>23</v>
      </c>
      <c r="C315" s="2">
        <v>2</v>
      </c>
      <c r="D315" s="13" t="s">
        <v>62</v>
      </c>
      <c r="E315" s="2">
        <v>4573750286</v>
      </c>
      <c r="F315" s="2">
        <v>7320149366</v>
      </c>
      <c r="G315" s="2">
        <v>4</v>
      </c>
      <c r="H315" s="2">
        <v>0</v>
      </c>
      <c r="I315" s="2">
        <v>4</v>
      </c>
      <c r="J315" s="2">
        <v>11</v>
      </c>
      <c r="K315" s="2">
        <v>15</v>
      </c>
      <c r="L315" s="2">
        <v>6</v>
      </c>
      <c r="M315" s="2">
        <v>6</v>
      </c>
      <c r="N315" s="2">
        <v>0</v>
      </c>
      <c r="O315" s="2">
        <v>0</v>
      </c>
      <c r="P315" s="2">
        <v>15</v>
      </c>
      <c r="Q315" s="2">
        <v>67</v>
      </c>
      <c r="R315" s="13" t="s">
        <v>27</v>
      </c>
      <c r="S315" s="13" t="s">
        <v>27</v>
      </c>
    </row>
    <row r="316" spans="1:19" hidden="1" x14ac:dyDescent="0.3">
      <c r="A316" s="14">
        <v>43899.75</v>
      </c>
      <c r="B316" s="13" t="s">
        <v>23</v>
      </c>
      <c r="C316" s="2">
        <v>5</v>
      </c>
      <c r="D316" s="13" t="s">
        <v>63</v>
      </c>
      <c r="E316" s="2">
        <v>4543490485</v>
      </c>
      <c r="F316" s="2">
        <v>1233845213</v>
      </c>
      <c r="G316" s="2">
        <v>186</v>
      </c>
      <c r="H316" s="2">
        <v>51</v>
      </c>
      <c r="I316" s="2">
        <v>237</v>
      </c>
      <c r="J316" s="2">
        <v>457</v>
      </c>
      <c r="K316" s="2">
        <v>694</v>
      </c>
      <c r="L316" s="2">
        <v>71</v>
      </c>
      <c r="M316" s="2">
        <v>74</v>
      </c>
      <c r="N316" s="2">
        <v>30</v>
      </c>
      <c r="O316" s="2">
        <v>20</v>
      </c>
      <c r="P316" s="2">
        <v>744</v>
      </c>
      <c r="Q316" s="2">
        <v>15956</v>
      </c>
      <c r="R316" s="13" t="s">
        <v>27</v>
      </c>
      <c r="S316" s="13" t="s">
        <v>27</v>
      </c>
    </row>
    <row r="317" spans="1:19" hidden="1" x14ac:dyDescent="0.3">
      <c r="A317" s="14">
        <v>43900.75</v>
      </c>
      <c r="B317" s="13" t="s">
        <v>23</v>
      </c>
      <c r="C317" s="2">
        <v>13</v>
      </c>
      <c r="D317" s="13" t="s">
        <v>44</v>
      </c>
      <c r="E317" s="2">
        <v>4235122196</v>
      </c>
      <c r="F317" s="2">
        <v>1339843823</v>
      </c>
      <c r="G317" s="2">
        <v>17</v>
      </c>
      <c r="H317" s="2">
        <v>9</v>
      </c>
      <c r="I317" s="2">
        <v>26</v>
      </c>
      <c r="J317" s="2">
        <v>11</v>
      </c>
      <c r="K317" s="2">
        <v>37</v>
      </c>
      <c r="L317" s="2">
        <v>7</v>
      </c>
      <c r="M317" s="2">
        <v>8</v>
      </c>
      <c r="N317" s="2">
        <v>0</v>
      </c>
      <c r="O317" s="2">
        <v>1</v>
      </c>
      <c r="P317" s="2">
        <v>38</v>
      </c>
      <c r="Q317" s="2">
        <v>310</v>
      </c>
      <c r="R317" s="13" t="s">
        <v>27</v>
      </c>
      <c r="S317" s="13" t="s">
        <v>27</v>
      </c>
    </row>
    <row r="318" spans="1:19" hidden="1" x14ac:dyDescent="0.3">
      <c r="A318" s="14">
        <v>43900.75</v>
      </c>
      <c r="B318" s="13" t="s">
        <v>23</v>
      </c>
      <c r="C318" s="2">
        <v>17</v>
      </c>
      <c r="D318" s="13" t="s">
        <v>45</v>
      </c>
      <c r="E318" s="2">
        <v>4063947052</v>
      </c>
      <c r="F318" s="2">
        <v>1580514834</v>
      </c>
      <c r="G318" s="2">
        <v>2</v>
      </c>
      <c r="H318" s="2">
        <v>0</v>
      </c>
      <c r="I318" s="2">
        <v>2</v>
      </c>
      <c r="J318" s="2">
        <v>5</v>
      </c>
      <c r="K318" s="2">
        <v>7</v>
      </c>
      <c r="L318" s="2">
        <v>2</v>
      </c>
      <c r="M318" s="2">
        <v>2</v>
      </c>
      <c r="N318" s="2">
        <v>0</v>
      </c>
      <c r="O318" s="2">
        <v>0</v>
      </c>
      <c r="P318" s="2">
        <v>7</v>
      </c>
      <c r="Q318" s="2">
        <v>148</v>
      </c>
      <c r="R318" s="13" t="s">
        <v>27</v>
      </c>
      <c r="S318" s="13" t="s">
        <v>27</v>
      </c>
    </row>
    <row r="319" spans="1:19" hidden="1" x14ac:dyDescent="0.3">
      <c r="A319" s="14">
        <v>43900.75</v>
      </c>
      <c r="B319" s="13" t="s">
        <v>23</v>
      </c>
      <c r="C319" s="2">
        <v>4</v>
      </c>
      <c r="D319" s="13" t="s">
        <v>46</v>
      </c>
      <c r="E319" s="2">
        <v>4649933453</v>
      </c>
      <c r="F319" s="2">
        <v>1135662422</v>
      </c>
      <c r="G319" s="2">
        <v>17</v>
      </c>
      <c r="H319" s="2">
        <v>1</v>
      </c>
      <c r="I319" s="2">
        <v>18</v>
      </c>
      <c r="J319" s="2">
        <v>20</v>
      </c>
      <c r="K319" s="2">
        <v>38</v>
      </c>
      <c r="L319" s="2">
        <v>29</v>
      </c>
      <c r="M319" s="2">
        <v>29</v>
      </c>
      <c r="N319" s="2">
        <v>0</v>
      </c>
      <c r="O319" s="2">
        <v>0</v>
      </c>
      <c r="P319" s="2">
        <v>38</v>
      </c>
      <c r="Q319" s="2">
        <v>36</v>
      </c>
      <c r="R319" s="13" t="s">
        <v>27</v>
      </c>
      <c r="S319" s="13" t="s">
        <v>27</v>
      </c>
    </row>
    <row r="320" spans="1:19" hidden="1" x14ac:dyDescent="0.3">
      <c r="A320" s="14">
        <v>43900.75</v>
      </c>
      <c r="B320" s="13" t="s">
        <v>23</v>
      </c>
      <c r="C320" s="2">
        <v>18</v>
      </c>
      <c r="D320" s="13" t="s">
        <v>47</v>
      </c>
      <c r="E320" s="2">
        <v>3890597598</v>
      </c>
      <c r="F320" s="2">
        <v>1659440194</v>
      </c>
      <c r="G320" s="2">
        <v>8</v>
      </c>
      <c r="H320" s="2">
        <v>2</v>
      </c>
      <c r="I320" s="2">
        <v>10</v>
      </c>
      <c r="J320" s="2">
        <v>1</v>
      </c>
      <c r="K320" s="2">
        <v>11</v>
      </c>
      <c r="L320" s="2">
        <v>2</v>
      </c>
      <c r="M320" s="2">
        <v>2</v>
      </c>
      <c r="N320" s="2">
        <v>2</v>
      </c>
      <c r="O320" s="2">
        <v>0</v>
      </c>
      <c r="P320" s="2">
        <v>13</v>
      </c>
      <c r="Q320" s="2">
        <v>360</v>
      </c>
      <c r="R320" s="13" t="s">
        <v>27</v>
      </c>
      <c r="S320" s="13" t="s">
        <v>27</v>
      </c>
    </row>
    <row r="321" spans="1:19" hidden="1" x14ac:dyDescent="0.3">
      <c r="A321" s="14">
        <v>43900.75</v>
      </c>
      <c r="B321" s="13" t="s">
        <v>23</v>
      </c>
      <c r="C321" s="2">
        <v>15</v>
      </c>
      <c r="D321" s="13" t="s">
        <v>48</v>
      </c>
      <c r="E321" s="2">
        <v>4083956555</v>
      </c>
      <c r="F321" s="2">
        <v>1425084984</v>
      </c>
      <c r="G321" s="2">
        <v>33</v>
      </c>
      <c r="H321" s="2">
        <v>8</v>
      </c>
      <c r="I321" s="2">
        <v>41</v>
      </c>
      <c r="J321" s="2">
        <v>85</v>
      </c>
      <c r="K321" s="2">
        <v>126</v>
      </c>
      <c r="L321" s="2">
        <v>7</v>
      </c>
      <c r="M321" s="2">
        <v>7</v>
      </c>
      <c r="N321" s="2">
        <v>1</v>
      </c>
      <c r="O321" s="2">
        <v>0</v>
      </c>
      <c r="P321" s="2">
        <v>127</v>
      </c>
      <c r="Q321" s="2">
        <v>1141</v>
      </c>
      <c r="R321" s="13" t="s">
        <v>27</v>
      </c>
      <c r="S321" s="13" t="s">
        <v>27</v>
      </c>
    </row>
    <row r="322" spans="1:19" hidden="1" x14ac:dyDescent="0.3">
      <c r="A322" s="14">
        <v>43900.75</v>
      </c>
      <c r="B322" s="13" t="s">
        <v>23</v>
      </c>
      <c r="C322" s="2">
        <v>8</v>
      </c>
      <c r="D322" s="13" t="s">
        <v>98</v>
      </c>
      <c r="E322" s="2">
        <v>4449436681</v>
      </c>
      <c r="F322" s="2">
        <v>113417208</v>
      </c>
      <c r="G322" s="2">
        <v>669</v>
      </c>
      <c r="H322" s="2">
        <v>98</v>
      </c>
      <c r="I322" s="2">
        <v>767</v>
      </c>
      <c r="J322" s="2">
        <v>650</v>
      </c>
      <c r="K322" s="2">
        <v>1417</v>
      </c>
      <c r="L322" s="2">
        <v>131</v>
      </c>
      <c r="M322" s="2">
        <v>147</v>
      </c>
      <c r="N322" s="2">
        <v>31</v>
      </c>
      <c r="O322" s="2">
        <v>85</v>
      </c>
      <c r="P322" s="2">
        <v>1533</v>
      </c>
      <c r="Q322" s="2">
        <v>5494</v>
      </c>
      <c r="R322" s="13" t="s">
        <v>27</v>
      </c>
      <c r="S322" s="13" t="s">
        <v>27</v>
      </c>
    </row>
    <row r="323" spans="1:19" hidden="1" x14ac:dyDescent="0.3">
      <c r="A323" s="14">
        <v>43900.75</v>
      </c>
      <c r="B323" s="13" t="s">
        <v>23</v>
      </c>
      <c r="C323" s="2">
        <v>6</v>
      </c>
      <c r="D323" s="13" t="s">
        <v>49</v>
      </c>
      <c r="E323" s="2">
        <v>456494354</v>
      </c>
      <c r="F323" s="2">
        <v>1376813649</v>
      </c>
      <c r="G323" s="2">
        <v>27</v>
      </c>
      <c r="H323" s="2">
        <v>6</v>
      </c>
      <c r="I323" s="2">
        <v>33</v>
      </c>
      <c r="J323" s="2">
        <v>77</v>
      </c>
      <c r="K323" s="2">
        <v>110</v>
      </c>
      <c r="L323" s="2">
        <v>21</v>
      </c>
      <c r="M323" s="2">
        <v>23</v>
      </c>
      <c r="N323" s="2">
        <v>3</v>
      </c>
      <c r="O323" s="2">
        <v>3</v>
      </c>
      <c r="P323" s="2">
        <v>116</v>
      </c>
      <c r="Q323" s="2">
        <v>1602</v>
      </c>
      <c r="R323" s="13" t="s">
        <v>27</v>
      </c>
      <c r="S323" s="13" t="s">
        <v>27</v>
      </c>
    </row>
    <row r="324" spans="1:19" hidden="1" x14ac:dyDescent="0.3">
      <c r="A324" s="14">
        <v>43900.75</v>
      </c>
      <c r="B324" s="13" t="s">
        <v>23</v>
      </c>
      <c r="C324" s="2">
        <v>12</v>
      </c>
      <c r="D324" s="13" t="s">
        <v>50</v>
      </c>
      <c r="E324" s="2">
        <v>4189277044</v>
      </c>
      <c r="F324" s="2">
        <v>1248366722</v>
      </c>
      <c r="G324" s="2">
        <v>50</v>
      </c>
      <c r="H324" s="2">
        <v>15</v>
      </c>
      <c r="I324" s="2">
        <v>65</v>
      </c>
      <c r="J324" s="2">
        <v>34</v>
      </c>
      <c r="K324" s="2">
        <v>99</v>
      </c>
      <c r="L324" s="2">
        <v>5</v>
      </c>
      <c r="M324" s="2">
        <v>14</v>
      </c>
      <c r="N324" s="2">
        <v>11</v>
      </c>
      <c r="O324" s="2">
        <v>6</v>
      </c>
      <c r="P324" s="2">
        <v>116</v>
      </c>
      <c r="Q324" s="2">
        <v>3591</v>
      </c>
      <c r="R324" s="13" t="s">
        <v>27</v>
      </c>
      <c r="S324" s="13" t="s">
        <v>27</v>
      </c>
    </row>
    <row r="325" spans="1:19" hidden="1" x14ac:dyDescent="0.3">
      <c r="A325" s="14">
        <v>43900.75</v>
      </c>
      <c r="B325" s="13" t="s">
        <v>23</v>
      </c>
      <c r="C325" s="2">
        <v>7</v>
      </c>
      <c r="D325" s="13" t="s">
        <v>51</v>
      </c>
      <c r="E325" s="2">
        <v>4441149315</v>
      </c>
      <c r="F325" s="2">
        <v>89326992</v>
      </c>
      <c r="G325" s="2">
        <v>57</v>
      </c>
      <c r="H325" s="2">
        <v>29</v>
      </c>
      <c r="I325" s="2">
        <v>86</v>
      </c>
      <c r="J325" s="2">
        <v>42</v>
      </c>
      <c r="K325" s="2">
        <v>128</v>
      </c>
      <c r="L325" s="2">
        <v>31</v>
      </c>
      <c r="M325" s="2">
        <v>32</v>
      </c>
      <c r="N325" s="2">
        <v>5</v>
      </c>
      <c r="O325" s="2">
        <v>8</v>
      </c>
      <c r="P325" s="2">
        <v>141</v>
      </c>
      <c r="Q325" s="2">
        <v>694</v>
      </c>
      <c r="R325" s="13" t="s">
        <v>27</v>
      </c>
      <c r="S325" s="13" t="s">
        <v>27</v>
      </c>
    </row>
    <row r="326" spans="1:19" x14ac:dyDescent="0.3">
      <c r="A326" s="14">
        <v>43900.75</v>
      </c>
      <c r="B326" s="13" t="s">
        <v>23</v>
      </c>
      <c r="C326" s="2">
        <v>3</v>
      </c>
      <c r="D326" s="13" t="s">
        <v>52</v>
      </c>
      <c r="E326" s="2">
        <v>4546679409</v>
      </c>
      <c r="F326" s="2">
        <v>9190347404</v>
      </c>
      <c r="G326" s="2">
        <v>3319</v>
      </c>
      <c r="H326" s="2">
        <v>466</v>
      </c>
      <c r="I326" s="2">
        <v>3785</v>
      </c>
      <c r="J326" s="2">
        <v>642</v>
      </c>
      <c r="K326" s="2">
        <v>4427</v>
      </c>
      <c r="L326" s="2">
        <v>-63</v>
      </c>
      <c r="M326" s="2">
        <v>322</v>
      </c>
      <c r="N326" s="2">
        <v>896</v>
      </c>
      <c r="O326" s="2">
        <v>468</v>
      </c>
      <c r="P326" s="2">
        <v>5791</v>
      </c>
      <c r="Q326" s="2">
        <v>21479</v>
      </c>
      <c r="R326" s="13" t="s">
        <v>66</v>
      </c>
      <c r="S326" s="13" t="s">
        <v>67</v>
      </c>
    </row>
    <row r="327" spans="1:19" hidden="1" x14ac:dyDescent="0.3">
      <c r="A327" s="14">
        <v>43900.75</v>
      </c>
      <c r="B327" s="13" t="s">
        <v>23</v>
      </c>
      <c r="C327" s="2">
        <v>11</v>
      </c>
      <c r="D327" s="13" t="s">
        <v>53</v>
      </c>
      <c r="E327" s="2">
        <v>4361675973</v>
      </c>
      <c r="F327" s="2">
        <v>135188753</v>
      </c>
      <c r="G327" s="2">
        <v>152</v>
      </c>
      <c r="H327" s="2">
        <v>54</v>
      </c>
      <c r="I327" s="2">
        <v>206</v>
      </c>
      <c r="J327" s="2">
        <v>175</v>
      </c>
      <c r="K327" s="2">
        <v>381</v>
      </c>
      <c r="L327" s="2">
        <v>68</v>
      </c>
      <c r="M327" s="2">
        <v>71</v>
      </c>
      <c r="N327" s="2">
        <v>0</v>
      </c>
      <c r="O327" s="2">
        <v>13</v>
      </c>
      <c r="P327" s="2">
        <v>394</v>
      </c>
      <c r="Q327" s="2">
        <v>1437</v>
      </c>
      <c r="R327" s="13" t="s">
        <v>27</v>
      </c>
      <c r="S327" s="13" t="s">
        <v>27</v>
      </c>
    </row>
    <row r="328" spans="1:19" hidden="1" x14ac:dyDescent="0.3">
      <c r="A328" s="14">
        <v>43900.75</v>
      </c>
      <c r="B328" s="13" t="s">
        <v>23</v>
      </c>
      <c r="C328" s="2">
        <v>14</v>
      </c>
      <c r="D328" s="13" t="s">
        <v>54</v>
      </c>
      <c r="E328" s="2">
        <v>4155774754</v>
      </c>
      <c r="F328" s="2">
        <v>1465916051</v>
      </c>
      <c r="G328" s="2">
        <v>3</v>
      </c>
      <c r="H328" s="2">
        <v>3</v>
      </c>
      <c r="I328" s="2">
        <v>6</v>
      </c>
      <c r="J328" s="2">
        <v>9</v>
      </c>
      <c r="K328" s="2">
        <v>15</v>
      </c>
      <c r="L328" s="2">
        <v>1</v>
      </c>
      <c r="M328" s="2">
        <v>1</v>
      </c>
      <c r="N328" s="2">
        <v>0</v>
      </c>
      <c r="O328" s="2">
        <v>0</v>
      </c>
      <c r="P328" s="2">
        <v>15</v>
      </c>
      <c r="Q328" s="2">
        <v>225</v>
      </c>
      <c r="R328" s="13" t="s">
        <v>27</v>
      </c>
      <c r="S328" s="13" t="s">
        <v>27</v>
      </c>
    </row>
    <row r="329" spans="1:19" hidden="1" x14ac:dyDescent="0.3">
      <c r="A329" s="14">
        <v>43900.75</v>
      </c>
      <c r="B329" s="13" t="s">
        <v>23</v>
      </c>
      <c r="C329" s="2">
        <v>1</v>
      </c>
      <c r="D329" s="13" t="s">
        <v>55</v>
      </c>
      <c r="E329" s="2">
        <v>450732745</v>
      </c>
      <c r="F329" s="2">
        <v>7680687483</v>
      </c>
      <c r="G329" s="2">
        <v>306</v>
      </c>
      <c r="H329" s="2">
        <v>66</v>
      </c>
      <c r="I329" s="2">
        <v>372</v>
      </c>
      <c r="J329" s="2">
        <v>64</v>
      </c>
      <c r="K329" s="2">
        <v>436</v>
      </c>
      <c r="L329" s="2">
        <v>99</v>
      </c>
      <c r="M329" s="2">
        <v>103</v>
      </c>
      <c r="N329" s="2">
        <v>0</v>
      </c>
      <c r="O329" s="2">
        <v>17</v>
      </c>
      <c r="P329" s="2">
        <v>453</v>
      </c>
      <c r="Q329" s="2">
        <v>2374</v>
      </c>
      <c r="R329" s="13" t="s">
        <v>27</v>
      </c>
      <c r="S329" s="13" t="s">
        <v>27</v>
      </c>
    </row>
    <row r="330" spans="1:19" hidden="1" x14ac:dyDescent="0.3">
      <c r="A330" s="14">
        <v>43900.75</v>
      </c>
      <c r="B330" s="13" t="s">
        <v>23</v>
      </c>
      <c r="C330" s="2">
        <v>16</v>
      </c>
      <c r="D330" s="13" t="s">
        <v>56</v>
      </c>
      <c r="E330" s="2">
        <v>4112559576</v>
      </c>
      <c r="F330" s="2">
        <v>1686736689</v>
      </c>
      <c r="G330" s="2">
        <v>28</v>
      </c>
      <c r="H330" s="2">
        <v>6</v>
      </c>
      <c r="I330" s="2">
        <v>34</v>
      </c>
      <c r="J330" s="2">
        <v>21</v>
      </c>
      <c r="K330" s="2">
        <v>55</v>
      </c>
      <c r="L330" s="2">
        <v>9</v>
      </c>
      <c r="M330" s="2">
        <v>9</v>
      </c>
      <c r="N330" s="2">
        <v>1</v>
      </c>
      <c r="O330" s="2">
        <v>3</v>
      </c>
      <c r="P330" s="2">
        <v>59</v>
      </c>
      <c r="Q330" s="2">
        <v>747</v>
      </c>
      <c r="R330" s="13" t="s">
        <v>27</v>
      </c>
      <c r="S330" s="13" t="s">
        <v>27</v>
      </c>
    </row>
    <row r="331" spans="1:19" hidden="1" x14ac:dyDescent="0.3">
      <c r="A331" s="14">
        <v>43900.75</v>
      </c>
      <c r="B331" s="13" t="s">
        <v>23</v>
      </c>
      <c r="C331" s="2">
        <v>20</v>
      </c>
      <c r="D331" s="13" t="s">
        <v>57</v>
      </c>
      <c r="E331" s="2">
        <v>3921531192</v>
      </c>
      <c r="F331" s="2">
        <v>9110616306</v>
      </c>
      <c r="G331" s="2">
        <v>9</v>
      </c>
      <c r="H331" s="2">
        <v>0</v>
      </c>
      <c r="I331" s="2">
        <v>9</v>
      </c>
      <c r="J331" s="2">
        <v>11</v>
      </c>
      <c r="K331" s="2">
        <v>20</v>
      </c>
      <c r="L331" s="2">
        <v>1</v>
      </c>
      <c r="M331" s="2">
        <v>1</v>
      </c>
      <c r="N331" s="2">
        <v>0</v>
      </c>
      <c r="O331" s="2">
        <v>0</v>
      </c>
      <c r="P331" s="2">
        <v>20</v>
      </c>
      <c r="Q331" s="2">
        <v>204</v>
      </c>
      <c r="R331" s="13" t="s">
        <v>27</v>
      </c>
      <c r="S331" s="13" t="s">
        <v>27</v>
      </c>
    </row>
    <row r="332" spans="1:19" hidden="1" x14ac:dyDescent="0.3">
      <c r="A332" s="14">
        <v>43900.75</v>
      </c>
      <c r="B332" s="13" t="s">
        <v>23</v>
      </c>
      <c r="C332" s="2">
        <v>19</v>
      </c>
      <c r="D332" s="13" t="s">
        <v>58</v>
      </c>
      <c r="E332" s="2">
        <v>3811569725</v>
      </c>
      <c r="F332" s="2">
        <v>133623567</v>
      </c>
      <c r="G332" s="2">
        <v>17</v>
      </c>
      <c r="H332" s="2">
        <v>2</v>
      </c>
      <c r="I332" s="2">
        <v>19</v>
      </c>
      <c r="J332" s="2">
        <v>41</v>
      </c>
      <c r="K332" s="2">
        <v>60</v>
      </c>
      <c r="L332" s="2">
        <v>8</v>
      </c>
      <c r="M332" s="2">
        <v>8</v>
      </c>
      <c r="N332" s="2">
        <v>2</v>
      </c>
      <c r="O332" s="2">
        <v>0</v>
      </c>
      <c r="P332" s="2">
        <v>62</v>
      </c>
      <c r="Q332" s="2">
        <v>955</v>
      </c>
      <c r="R332" s="13" t="s">
        <v>27</v>
      </c>
      <c r="S332" s="13" t="s">
        <v>27</v>
      </c>
    </row>
    <row r="333" spans="1:19" hidden="1" x14ac:dyDescent="0.3">
      <c r="A333" s="14">
        <v>43900.75</v>
      </c>
      <c r="B333" s="13" t="s">
        <v>23</v>
      </c>
      <c r="C333" s="2">
        <v>9</v>
      </c>
      <c r="D333" s="13" t="s">
        <v>59</v>
      </c>
      <c r="E333" s="2">
        <v>4376923077</v>
      </c>
      <c r="F333" s="2">
        <v>1125588885</v>
      </c>
      <c r="G333" s="2">
        <v>91</v>
      </c>
      <c r="H333" s="2">
        <v>40</v>
      </c>
      <c r="I333" s="2">
        <v>131</v>
      </c>
      <c r="J333" s="2">
        <v>129</v>
      </c>
      <c r="K333" s="2">
        <v>260</v>
      </c>
      <c r="L333" s="2">
        <v>54</v>
      </c>
      <c r="M333" s="2">
        <v>56</v>
      </c>
      <c r="N333" s="2">
        <v>3</v>
      </c>
      <c r="O333" s="2">
        <v>1</v>
      </c>
      <c r="P333" s="2">
        <v>264</v>
      </c>
      <c r="Q333" s="2">
        <v>2573</v>
      </c>
      <c r="R333" s="13" t="s">
        <v>27</v>
      </c>
      <c r="S333" s="13" t="s">
        <v>27</v>
      </c>
    </row>
    <row r="334" spans="1:19" hidden="1" x14ac:dyDescent="0.3">
      <c r="A334" s="14">
        <v>43900.75</v>
      </c>
      <c r="B334" s="13" t="s">
        <v>23</v>
      </c>
      <c r="C334" s="2">
        <v>4</v>
      </c>
      <c r="D334" s="13" t="s">
        <v>60</v>
      </c>
      <c r="E334" s="2">
        <v>4606893511</v>
      </c>
      <c r="F334" s="2">
        <v>1112123097</v>
      </c>
      <c r="G334" s="2">
        <v>19</v>
      </c>
      <c r="H334" s="2">
        <v>3</v>
      </c>
      <c r="I334" s="2">
        <v>22</v>
      </c>
      <c r="J334" s="2">
        <v>28</v>
      </c>
      <c r="K334" s="2">
        <v>50</v>
      </c>
      <c r="L334" s="2">
        <v>17</v>
      </c>
      <c r="M334" s="2">
        <v>19</v>
      </c>
      <c r="N334" s="2">
        <v>2</v>
      </c>
      <c r="O334" s="2">
        <v>0</v>
      </c>
      <c r="P334" s="2">
        <v>52</v>
      </c>
      <c r="Q334" s="2">
        <v>399</v>
      </c>
      <c r="R334" s="13" t="s">
        <v>27</v>
      </c>
      <c r="S334" s="13" t="s">
        <v>27</v>
      </c>
    </row>
    <row r="335" spans="1:19" hidden="1" x14ac:dyDescent="0.3">
      <c r="A335" s="14">
        <v>43900.75</v>
      </c>
      <c r="B335" s="13" t="s">
        <v>23</v>
      </c>
      <c r="C335" s="2">
        <v>10</v>
      </c>
      <c r="D335" s="13" t="s">
        <v>61</v>
      </c>
      <c r="E335" s="2">
        <v>4310675841</v>
      </c>
      <c r="F335" s="2">
        <v>1238824698</v>
      </c>
      <c r="G335" s="2">
        <v>8</v>
      </c>
      <c r="H335" s="2">
        <v>2</v>
      </c>
      <c r="I335" s="2">
        <v>10</v>
      </c>
      <c r="J335" s="2">
        <v>27</v>
      </c>
      <c r="K335" s="2">
        <v>37</v>
      </c>
      <c r="L335" s="2">
        <v>9</v>
      </c>
      <c r="M335" s="2">
        <v>9</v>
      </c>
      <c r="N335" s="2">
        <v>0</v>
      </c>
      <c r="O335" s="2">
        <v>0</v>
      </c>
      <c r="P335" s="2">
        <v>37</v>
      </c>
      <c r="Q335" s="2">
        <v>260</v>
      </c>
      <c r="R335" s="13" t="s">
        <v>27</v>
      </c>
      <c r="S335" s="13" t="s">
        <v>27</v>
      </c>
    </row>
    <row r="336" spans="1:19" hidden="1" x14ac:dyDescent="0.3">
      <c r="A336" s="14">
        <v>43900.75</v>
      </c>
      <c r="B336" s="13" t="s">
        <v>23</v>
      </c>
      <c r="C336" s="2">
        <v>2</v>
      </c>
      <c r="D336" s="13" t="s">
        <v>62</v>
      </c>
      <c r="E336" s="2">
        <v>4573750286</v>
      </c>
      <c r="F336" s="2">
        <v>7320149366</v>
      </c>
      <c r="G336" s="2">
        <v>2</v>
      </c>
      <c r="H336" s="2">
        <v>0</v>
      </c>
      <c r="I336" s="2">
        <v>2</v>
      </c>
      <c r="J336" s="2">
        <v>15</v>
      </c>
      <c r="K336" s="2">
        <v>17</v>
      </c>
      <c r="L336" s="2">
        <v>2</v>
      </c>
      <c r="M336" s="2">
        <v>2</v>
      </c>
      <c r="N336" s="2">
        <v>0</v>
      </c>
      <c r="O336" s="2">
        <v>0</v>
      </c>
      <c r="P336" s="2">
        <v>17</v>
      </c>
      <c r="Q336" s="2">
        <v>89</v>
      </c>
      <c r="R336" s="13" t="s">
        <v>27</v>
      </c>
      <c r="S336" s="13" t="s">
        <v>27</v>
      </c>
    </row>
    <row r="337" spans="1:19" hidden="1" x14ac:dyDescent="0.3">
      <c r="A337" s="14">
        <v>43900.75</v>
      </c>
      <c r="B337" s="13" t="s">
        <v>23</v>
      </c>
      <c r="C337" s="2">
        <v>5</v>
      </c>
      <c r="D337" s="13" t="s">
        <v>63</v>
      </c>
      <c r="E337" s="2">
        <v>4543490485</v>
      </c>
      <c r="F337" s="2">
        <v>1233845213</v>
      </c>
      <c r="G337" s="2">
        <v>204</v>
      </c>
      <c r="H337" s="2">
        <v>67</v>
      </c>
      <c r="I337" s="2">
        <v>271</v>
      </c>
      <c r="J337" s="2">
        <v>512</v>
      </c>
      <c r="K337" s="2">
        <v>783</v>
      </c>
      <c r="L337" s="2">
        <v>89</v>
      </c>
      <c r="M337" s="2">
        <v>112</v>
      </c>
      <c r="N337" s="2">
        <v>47</v>
      </c>
      <c r="O337" s="2">
        <v>26</v>
      </c>
      <c r="P337" s="2">
        <v>856</v>
      </c>
      <c r="Q337" s="2">
        <v>16643</v>
      </c>
      <c r="R337" s="13" t="s">
        <v>27</v>
      </c>
      <c r="S337" s="13" t="s">
        <v>27</v>
      </c>
    </row>
    <row r="338" spans="1:19" hidden="1" x14ac:dyDescent="0.3">
      <c r="A338" s="14">
        <v>43901.708333333336</v>
      </c>
      <c r="B338" s="13" t="s">
        <v>23</v>
      </c>
      <c r="C338" s="2">
        <v>13</v>
      </c>
      <c r="D338" s="13" t="s">
        <v>44</v>
      </c>
      <c r="E338" s="2">
        <v>4235122196</v>
      </c>
      <c r="F338" s="2">
        <v>1339843823</v>
      </c>
      <c r="G338" s="2">
        <v>17</v>
      </c>
      <c r="H338" s="2">
        <v>9</v>
      </c>
      <c r="I338" s="2">
        <v>26</v>
      </c>
      <c r="J338" s="2">
        <v>11</v>
      </c>
      <c r="K338" s="2">
        <v>37</v>
      </c>
      <c r="L338" s="2">
        <v>0</v>
      </c>
      <c r="M338" s="2">
        <v>0</v>
      </c>
      <c r="N338" s="2">
        <v>0</v>
      </c>
      <c r="O338" s="2">
        <v>1</v>
      </c>
      <c r="P338" s="2">
        <v>38</v>
      </c>
      <c r="Q338" s="2">
        <v>310</v>
      </c>
      <c r="R338" s="13" t="s">
        <v>68</v>
      </c>
      <c r="S338" s="13" t="s">
        <v>69</v>
      </c>
    </row>
    <row r="339" spans="1:19" hidden="1" x14ac:dyDescent="0.3">
      <c r="A339" s="14">
        <v>43901.708333333336</v>
      </c>
      <c r="B339" s="13" t="s">
        <v>23</v>
      </c>
      <c r="C339" s="2">
        <v>17</v>
      </c>
      <c r="D339" s="13" t="s">
        <v>45</v>
      </c>
      <c r="E339" s="2">
        <v>4063947052</v>
      </c>
      <c r="F339" s="2">
        <v>1580514834</v>
      </c>
      <c r="G339" s="2">
        <v>1</v>
      </c>
      <c r="H339" s="2">
        <v>1</v>
      </c>
      <c r="I339" s="2">
        <v>2</v>
      </c>
      <c r="J339" s="2">
        <v>6</v>
      </c>
      <c r="K339" s="2">
        <v>8</v>
      </c>
      <c r="L339" s="2">
        <v>1</v>
      </c>
      <c r="M339" s="2">
        <v>1</v>
      </c>
      <c r="N339" s="2">
        <v>0</v>
      </c>
      <c r="O339" s="2">
        <v>0</v>
      </c>
      <c r="P339" s="2">
        <v>8</v>
      </c>
      <c r="Q339" s="2">
        <v>155</v>
      </c>
      <c r="R339" s="13" t="s">
        <v>27</v>
      </c>
      <c r="S339" s="13" t="s">
        <v>27</v>
      </c>
    </row>
    <row r="340" spans="1:19" hidden="1" x14ac:dyDescent="0.3">
      <c r="A340" s="14">
        <v>43901.708333333336</v>
      </c>
      <c r="B340" s="13" t="s">
        <v>23</v>
      </c>
      <c r="C340" s="2">
        <v>4</v>
      </c>
      <c r="D340" s="13" t="s">
        <v>46</v>
      </c>
      <c r="E340" s="2">
        <v>4649933453</v>
      </c>
      <c r="F340" s="2">
        <v>1135662422</v>
      </c>
      <c r="G340" s="2">
        <v>8</v>
      </c>
      <c r="H340" s="2">
        <v>4</v>
      </c>
      <c r="I340" s="2">
        <v>12</v>
      </c>
      <c r="J340" s="2">
        <v>63</v>
      </c>
      <c r="K340" s="2">
        <v>75</v>
      </c>
      <c r="L340" s="2">
        <v>37</v>
      </c>
      <c r="M340" s="2">
        <v>37</v>
      </c>
      <c r="N340" s="2">
        <v>0</v>
      </c>
      <c r="O340" s="2">
        <v>0</v>
      </c>
      <c r="P340" s="2">
        <v>75</v>
      </c>
      <c r="Q340" s="2">
        <v>75</v>
      </c>
      <c r="R340" s="13" t="s">
        <v>27</v>
      </c>
      <c r="S340" s="13" t="s">
        <v>27</v>
      </c>
    </row>
    <row r="341" spans="1:19" hidden="1" x14ac:dyDescent="0.3">
      <c r="A341" s="14">
        <v>43901.708333333336</v>
      </c>
      <c r="B341" s="13" t="s">
        <v>23</v>
      </c>
      <c r="C341" s="2">
        <v>18</v>
      </c>
      <c r="D341" s="13" t="s">
        <v>47</v>
      </c>
      <c r="E341" s="2">
        <v>3890597598</v>
      </c>
      <c r="F341" s="2">
        <v>1659440194</v>
      </c>
      <c r="G341" s="2">
        <v>10</v>
      </c>
      <c r="H341" s="2">
        <v>2</v>
      </c>
      <c r="I341" s="2">
        <v>12</v>
      </c>
      <c r="J341" s="2">
        <v>5</v>
      </c>
      <c r="K341" s="2">
        <v>17</v>
      </c>
      <c r="L341" s="2">
        <v>6</v>
      </c>
      <c r="M341" s="2">
        <v>6</v>
      </c>
      <c r="N341" s="2">
        <v>2</v>
      </c>
      <c r="O341" s="2">
        <v>0</v>
      </c>
      <c r="P341" s="2">
        <v>19</v>
      </c>
      <c r="Q341" s="2">
        <v>405</v>
      </c>
      <c r="R341" s="13" t="s">
        <v>27</v>
      </c>
      <c r="S341" s="13" t="s">
        <v>27</v>
      </c>
    </row>
    <row r="342" spans="1:19" hidden="1" x14ac:dyDescent="0.3">
      <c r="A342" s="14">
        <v>43901.708333333336</v>
      </c>
      <c r="B342" s="13" t="s">
        <v>23</v>
      </c>
      <c r="C342" s="2">
        <v>15</v>
      </c>
      <c r="D342" s="13" t="s">
        <v>48</v>
      </c>
      <c r="E342" s="2">
        <v>4083956555</v>
      </c>
      <c r="F342" s="2">
        <v>1425084984</v>
      </c>
      <c r="G342" s="2">
        <v>56</v>
      </c>
      <c r="H342" s="2">
        <v>11</v>
      </c>
      <c r="I342" s="2">
        <v>67</v>
      </c>
      <c r="J342" s="2">
        <v>82</v>
      </c>
      <c r="K342" s="2">
        <v>149</v>
      </c>
      <c r="L342" s="2">
        <v>23</v>
      </c>
      <c r="M342" s="2">
        <v>27</v>
      </c>
      <c r="N342" s="2">
        <v>4</v>
      </c>
      <c r="O342" s="2">
        <v>1</v>
      </c>
      <c r="P342" s="2">
        <v>154</v>
      </c>
      <c r="Q342" s="2">
        <v>1375</v>
      </c>
      <c r="R342" s="13" t="s">
        <v>27</v>
      </c>
      <c r="S342" s="13" t="s">
        <v>27</v>
      </c>
    </row>
    <row r="343" spans="1:19" hidden="1" x14ac:dyDescent="0.3">
      <c r="A343" s="14">
        <v>43901.708333333336</v>
      </c>
      <c r="B343" s="13" t="s">
        <v>23</v>
      </c>
      <c r="C343" s="2">
        <v>8</v>
      </c>
      <c r="D343" s="13" t="s">
        <v>98</v>
      </c>
      <c r="E343" s="2">
        <v>4449436681</v>
      </c>
      <c r="F343" s="2">
        <v>113417208</v>
      </c>
      <c r="G343" s="2">
        <v>745</v>
      </c>
      <c r="H343" s="2">
        <v>104</v>
      </c>
      <c r="I343" s="2">
        <v>849</v>
      </c>
      <c r="J343" s="2">
        <v>739</v>
      </c>
      <c r="K343" s="2">
        <v>1588</v>
      </c>
      <c r="L343" s="2">
        <v>171</v>
      </c>
      <c r="M343" s="2">
        <v>206</v>
      </c>
      <c r="N343" s="2">
        <v>38</v>
      </c>
      <c r="O343" s="2">
        <v>113</v>
      </c>
      <c r="P343" s="2">
        <v>1739</v>
      </c>
      <c r="Q343" s="2">
        <v>6640</v>
      </c>
      <c r="R343" s="13" t="s">
        <v>27</v>
      </c>
      <c r="S343" s="13" t="s">
        <v>27</v>
      </c>
    </row>
    <row r="344" spans="1:19" hidden="1" x14ac:dyDescent="0.3">
      <c r="A344" s="14">
        <v>43901.708333333336</v>
      </c>
      <c r="B344" s="13" t="s">
        <v>23</v>
      </c>
      <c r="C344" s="2">
        <v>6</v>
      </c>
      <c r="D344" s="13" t="s">
        <v>49</v>
      </c>
      <c r="E344" s="2">
        <v>456494354</v>
      </c>
      <c r="F344" s="2">
        <v>1376813649</v>
      </c>
      <c r="G344" s="2">
        <v>16</v>
      </c>
      <c r="H344" s="2">
        <v>5</v>
      </c>
      <c r="I344" s="2">
        <v>21</v>
      </c>
      <c r="J344" s="2">
        <v>89</v>
      </c>
      <c r="K344" s="2">
        <v>110</v>
      </c>
      <c r="L344" s="2">
        <v>0</v>
      </c>
      <c r="M344" s="2">
        <v>10</v>
      </c>
      <c r="N344" s="2">
        <v>10</v>
      </c>
      <c r="O344" s="2">
        <v>6</v>
      </c>
      <c r="P344" s="2">
        <v>126</v>
      </c>
      <c r="Q344" s="2">
        <v>2073</v>
      </c>
      <c r="R344" s="13" t="s">
        <v>27</v>
      </c>
      <c r="S344" s="13" t="s">
        <v>27</v>
      </c>
    </row>
    <row r="345" spans="1:19" hidden="1" x14ac:dyDescent="0.3">
      <c r="A345" s="14">
        <v>43901.708333333336</v>
      </c>
      <c r="B345" s="13" t="s">
        <v>23</v>
      </c>
      <c r="C345" s="2">
        <v>12</v>
      </c>
      <c r="D345" s="13" t="s">
        <v>50</v>
      </c>
      <c r="E345" s="2">
        <v>4189277044</v>
      </c>
      <c r="F345" s="2">
        <v>1248366722</v>
      </c>
      <c r="G345" s="2">
        <v>67</v>
      </c>
      <c r="H345" s="2">
        <v>18</v>
      </c>
      <c r="I345" s="2">
        <v>85</v>
      </c>
      <c r="J345" s="2">
        <v>40</v>
      </c>
      <c r="K345" s="2">
        <v>125</v>
      </c>
      <c r="L345" s="2">
        <v>26</v>
      </c>
      <c r="M345" s="2">
        <v>34</v>
      </c>
      <c r="N345" s="2">
        <v>19</v>
      </c>
      <c r="O345" s="2">
        <v>6</v>
      </c>
      <c r="P345" s="2">
        <v>150</v>
      </c>
      <c r="Q345" s="2">
        <v>3591</v>
      </c>
      <c r="R345" s="13" t="s">
        <v>27</v>
      </c>
      <c r="S345" s="13" t="s">
        <v>27</v>
      </c>
    </row>
    <row r="346" spans="1:19" hidden="1" x14ac:dyDescent="0.3">
      <c r="A346" s="14">
        <v>43901.708333333336</v>
      </c>
      <c r="B346" s="13" t="s">
        <v>23</v>
      </c>
      <c r="C346" s="2">
        <v>7</v>
      </c>
      <c r="D346" s="13" t="s">
        <v>51</v>
      </c>
      <c r="E346" s="2">
        <v>4441149315</v>
      </c>
      <c r="F346" s="2">
        <v>89326992</v>
      </c>
      <c r="G346" s="2">
        <v>74</v>
      </c>
      <c r="H346" s="2">
        <v>34</v>
      </c>
      <c r="I346" s="2">
        <v>108</v>
      </c>
      <c r="J346" s="2">
        <v>73</v>
      </c>
      <c r="K346" s="2">
        <v>181</v>
      </c>
      <c r="L346" s="2">
        <v>53</v>
      </c>
      <c r="M346" s="2">
        <v>53</v>
      </c>
      <c r="N346" s="2">
        <v>5</v>
      </c>
      <c r="O346" s="2">
        <v>8</v>
      </c>
      <c r="P346" s="2">
        <v>194</v>
      </c>
      <c r="Q346" s="2">
        <v>1025</v>
      </c>
      <c r="R346" s="13" t="s">
        <v>27</v>
      </c>
      <c r="S346" s="13" t="s">
        <v>27</v>
      </c>
    </row>
    <row r="347" spans="1:19" x14ac:dyDescent="0.3">
      <c r="A347" s="14">
        <v>43901.708333333336</v>
      </c>
      <c r="B347" s="13" t="s">
        <v>23</v>
      </c>
      <c r="C347" s="2">
        <v>3</v>
      </c>
      <c r="D347" s="13" t="s">
        <v>52</v>
      </c>
      <c r="E347" s="2">
        <v>4546679409</v>
      </c>
      <c r="F347" s="2">
        <v>9190347404</v>
      </c>
      <c r="G347" s="2">
        <v>3852</v>
      </c>
      <c r="H347" s="2">
        <v>560</v>
      </c>
      <c r="I347" s="2">
        <v>4412</v>
      </c>
      <c r="J347" s="2">
        <v>1351</v>
      </c>
      <c r="K347" s="2">
        <v>5763</v>
      </c>
      <c r="L347" s="2">
        <v>1336</v>
      </c>
      <c r="M347" s="2">
        <v>1489</v>
      </c>
      <c r="N347" s="2">
        <v>900</v>
      </c>
      <c r="O347" s="2">
        <v>617</v>
      </c>
      <c r="P347" s="2">
        <v>7280</v>
      </c>
      <c r="Q347" s="2">
        <v>25629</v>
      </c>
      <c r="R347" s="13" t="s">
        <v>27</v>
      </c>
      <c r="S347" s="13" t="s">
        <v>27</v>
      </c>
    </row>
    <row r="348" spans="1:19" hidden="1" x14ac:dyDescent="0.3">
      <c r="A348" s="14">
        <v>43901.708333333336</v>
      </c>
      <c r="B348" s="13" t="s">
        <v>23</v>
      </c>
      <c r="C348" s="2">
        <v>11</v>
      </c>
      <c r="D348" s="13" t="s">
        <v>53</v>
      </c>
      <c r="E348" s="2">
        <v>4361675973</v>
      </c>
      <c r="F348" s="2">
        <v>135188753</v>
      </c>
      <c r="G348" s="2">
        <v>212</v>
      </c>
      <c r="H348" s="2">
        <v>66</v>
      </c>
      <c r="I348" s="2">
        <v>278</v>
      </c>
      <c r="J348" s="2">
        <v>183</v>
      </c>
      <c r="K348" s="2">
        <v>461</v>
      </c>
      <c r="L348" s="2">
        <v>80</v>
      </c>
      <c r="M348" s="2">
        <v>85</v>
      </c>
      <c r="N348" s="2">
        <v>0</v>
      </c>
      <c r="O348" s="2">
        <v>18</v>
      </c>
      <c r="P348" s="2">
        <v>479</v>
      </c>
      <c r="Q348" s="2">
        <v>1656</v>
      </c>
      <c r="R348" s="13" t="s">
        <v>27</v>
      </c>
      <c r="S348" s="13" t="s">
        <v>27</v>
      </c>
    </row>
    <row r="349" spans="1:19" hidden="1" x14ac:dyDescent="0.3">
      <c r="A349" s="14">
        <v>43901.708333333336</v>
      </c>
      <c r="B349" s="13" t="s">
        <v>23</v>
      </c>
      <c r="C349" s="2">
        <v>14</v>
      </c>
      <c r="D349" s="13" t="s">
        <v>54</v>
      </c>
      <c r="E349" s="2">
        <v>4155774754</v>
      </c>
      <c r="F349" s="2">
        <v>1465916051</v>
      </c>
      <c r="G349" s="2">
        <v>4</v>
      </c>
      <c r="H349" s="2">
        <v>3</v>
      </c>
      <c r="I349" s="2">
        <v>7</v>
      </c>
      <c r="J349" s="2">
        <v>9</v>
      </c>
      <c r="K349" s="2">
        <v>16</v>
      </c>
      <c r="L349" s="2">
        <v>1</v>
      </c>
      <c r="M349" s="2">
        <v>1</v>
      </c>
      <c r="N349" s="2">
        <v>0</v>
      </c>
      <c r="O349" s="2">
        <v>0</v>
      </c>
      <c r="P349" s="2">
        <v>16</v>
      </c>
      <c r="Q349" s="2">
        <v>233</v>
      </c>
      <c r="R349" s="13" t="s">
        <v>27</v>
      </c>
      <c r="S349" s="13" t="s">
        <v>27</v>
      </c>
    </row>
    <row r="350" spans="1:19" hidden="1" x14ac:dyDescent="0.3">
      <c r="A350" s="14">
        <v>43901.708333333336</v>
      </c>
      <c r="B350" s="13" t="s">
        <v>23</v>
      </c>
      <c r="C350" s="2">
        <v>1</v>
      </c>
      <c r="D350" s="13" t="s">
        <v>55</v>
      </c>
      <c r="E350" s="2">
        <v>450732745</v>
      </c>
      <c r="F350" s="2">
        <v>7680687483</v>
      </c>
      <c r="G350" s="2">
        <v>319</v>
      </c>
      <c r="H350" s="2">
        <v>75</v>
      </c>
      <c r="I350" s="2">
        <v>394</v>
      </c>
      <c r="J350" s="2">
        <v>86</v>
      </c>
      <c r="K350" s="2">
        <v>480</v>
      </c>
      <c r="L350" s="2">
        <v>44</v>
      </c>
      <c r="M350" s="2">
        <v>48</v>
      </c>
      <c r="N350" s="2">
        <v>0</v>
      </c>
      <c r="O350" s="2">
        <v>21</v>
      </c>
      <c r="P350" s="2">
        <v>501</v>
      </c>
      <c r="Q350" s="2">
        <v>2431</v>
      </c>
      <c r="R350" s="13" t="s">
        <v>27</v>
      </c>
      <c r="S350" s="13" t="s">
        <v>27</v>
      </c>
    </row>
    <row r="351" spans="1:19" hidden="1" x14ac:dyDescent="0.3">
      <c r="A351" s="14">
        <v>43901.708333333336</v>
      </c>
      <c r="B351" s="13" t="s">
        <v>23</v>
      </c>
      <c r="C351" s="2">
        <v>16</v>
      </c>
      <c r="D351" s="13" t="s">
        <v>56</v>
      </c>
      <c r="E351" s="2">
        <v>4112559576</v>
      </c>
      <c r="F351" s="2">
        <v>1686736689</v>
      </c>
      <c r="G351" s="2">
        <v>38</v>
      </c>
      <c r="H351" s="2">
        <v>4</v>
      </c>
      <c r="I351" s="2">
        <v>42</v>
      </c>
      <c r="J351" s="2">
        <v>29</v>
      </c>
      <c r="K351" s="2">
        <v>71</v>
      </c>
      <c r="L351" s="2">
        <v>16</v>
      </c>
      <c r="M351" s="2">
        <v>18</v>
      </c>
      <c r="N351" s="2">
        <v>1</v>
      </c>
      <c r="O351" s="2">
        <v>5</v>
      </c>
      <c r="P351" s="2">
        <v>77</v>
      </c>
      <c r="Q351" s="2">
        <v>909</v>
      </c>
      <c r="R351" s="13" t="s">
        <v>27</v>
      </c>
      <c r="S351" s="13" t="s">
        <v>27</v>
      </c>
    </row>
    <row r="352" spans="1:19" hidden="1" x14ac:dyDescent="0.3">
      <c r="A352" s="14">
        <v>43901.708333333336</v>
      </c>
      <c r="B352" s="13" t="s">
        <v>23</v>
      </c>
      <c r="C352" s="2">
        <v>20</v>
      </c>
      <c r="D352" s="13" t="s">
        <v>57</v>
      </c>
      <c r="E352" s="2">
        <v>3921531192</v>
      </c>
      <c r="F352" s="2">
        <v>9110616306</v>
      </c>
      <c r="G352" s="2">
        <v>10</v>
      </c>
      <c r="H352" s="2">
        <v>0</v>
      </c>
      <c r="I352" s="2">
        <v>10</v>
      </c>
      <c r="J352" s="2">
        <v>27</v>
      </c>
      <c r="K352" s="2">
        <v>37</v>
      </c>
      <c r="L352" s="2">
        <v>17</v>
      </c>
      <c r="M352" s="2">
        <v>17</v>
      </c>
      <c r="N352" s="2">
        <v>0</v>
      </c>
      <c r="O352" s="2">
        <v>0</v>
      </c>
      <c r="P352" s="2">
        <v>37</v>
      </c>
      <c r="Q352" s="2">
        <v>283</v>
      </c>
      <c r="R352" s="13" t="s">
        <v>27</v>
      </c>
      <c r="S352" s="13" t="s">
        <v>27</v>
      </c>
    </row>
    <row r="353" spans="1:19" hidden="1" x14ac:dyDescent="0.3">
      <c r="A353" s="14">
        <v>43901.708333333336</v>
      </c>
      <c r="B353" s="13" t="s">
        <v>23</v>
      </c>
      <c r="C353" s="2">
        <v>19</v>
      </c>
      <c r="D353" s="13" t="s">
        <v>58</v>
      </c>
      <c r="E353" s="2">
        <v>3811569725</v>
      </c>
      <c r="F353" s="2">
        <v>133623567</v>
      </c>
      <c r="G353" s="2">
        <v>23</v>
      </c>
      <c r="H353" s="2">
        <v>1</v>
      </c>
      <c r="I353" s="2">
        <v>24</v>
      </c>
      <c r="J353" s="2">
        <v>57</v>
      </c>
      <c r="K353" s="2">
        <v>81</v>
      </c>
      <c r="L353" s="2">
        <v>21</v>
      </c>
      <c r="M353" s="2">
        <v>21</v>
      </c>
      <c r="N353" s="2">
        <v>2</v>
      </c>
      <c r="O353" s="2">
        <v>0</v>
      </c>
      <c r="P353" s="2">
        <v>83</v>
      </c>
      <c r="Q353" s="2">
        <v>1194</v>
      </c>
      <c r="R353" s="13" t="s">
        <v>27</v>
      </c>
      <c r="S353" s="13" t="s">
        <v>27</v>
      </c>
    </row>
    <row r="354" spans="1:19" hidden="1" x14ac:dyDescent="0.3">
      <c r="A354" s="14">
        <v>43901.708333333336</v>
      </c>
      <c r="B354" s="13" t="s">
        <v>23</v>
      </c>
      <c r="C354" s="2">
        <v>9</v>
      </c>
      <c r="D354" s="13" t="s">
        <v>59</v>
      </c>
      <c r="E354" s="2">
        <v>4376923077</v>
      </c>
      <c r="F354" s="2">
        <v>1125588885</v>
      </c>
      <c r="G354" s="2">
        <v>87</v>
      </c>
      <c r="H354" s="2">
        <v>54</v>
      </c>
      <c r="I354" s="2">
        <v>141</v>
      </c>
      <c r="J354" s="2">
        <v>173</v>
      </c>
      <c r="K354" s="2">
        <v>314</v>
      </c>
      <c r="L354" s="2">
        <v>54</v>
      </c>
      <c r="M354" s="2">
        <v>56</v>
      </c>
      <c r="N354" s="2">
        <v>5</v>
      </c>
      <c r="O354" s="2">
        <v>1</v>
      </c>
      <c r="P354" s="2">
        <v>320</v>
      </c>
      <c r="Q354" s="2">
        <v>2804</v>
      </c>
      <c r="R354" s="13" t="s">
        <v>27</v>
      </c>
      <c r="S354" s="13" t="s">
        <v>27</v>
      </c>
    </row>
    <row r="355" spans="1:19" hidden="1" x14ac:dyDescent="0.3">
      <c r="A355" s="14">
        <v>43901.708333333336</v>
      </c>
      <c r="B355" s="13" t="s">
        <v>23</v>
      </c>
      <c r="C355" s="2">
        <v>4</v>
      </c>
      <c r="D355" s="13" t="s">
        <v>60</v>
      </c>
      <c r="E355" s="2">
        <v>4606893511</v>
      </c>
      <c r="F355" s="2">
        <v>1112123097</v>
      </c>
      <c r="G355" s="2">
        <v>28</v>
      </c>
      <c r="H355" s="2">
        <v>4</v>
      </c>
      <c r="I355" s="2">
        <v>32</v>
      </c>
      <c r="J355" s="2">
        <v>42</v>
      </c>
      <c r="K355" s="2">
        <v>74</v>
      </c>
      <c r="L355" s="2">
        <v>24</v>
      </c>
      <c r="M355" s="2">
        <v>25</v>
      </c>
      <c r="N355" s="2">
        <v>3</v>
      </c>
      <c r="O355" s="2">
        <v>0</v>
      </c>
      <c r="P355" s="2">
        <v>77</v>
      </c>
      <c r="Q355" s="2">
        <v>527</v>
      </c>
      <c r="R355" s="13" t="s">
        <v>27</v>
      </c>
      <c r="S355" s="13" t="s">
        <v>27</v>
      </c>
    </row>
    <row r="356" spans="1:19" hidden="1" x14ac:dyDescent="0.3">
      <c r="A356" s="14">
        <v>43901.708333333336</v>
      </c>
      <c r="B356" s="13" t="s">
        <v>23</v>
      </c>
      <c r="C356" s="2">
        <v>10</v>
      </c>
      <c r="D356" s="13" t="s">
        <v>61</v>
      </c>
      <c r="E356" s="2">
        <v>4310675841</v>
      </c>
      <c r="F356" s="2">
        <v>1238824698</v>
      </c>
      <c r="G356" s="2">
        <v>7</v>
      </c>
      <c r="H356" s="2">
        <v>5</v>
      </c>
      <c r="I356" s="2">
        <v>12</v>
      </c>
      <c r="J356" s="2">
        <v>32</v>
      </c>
      <c r="K356" s="2">
        <v>44</v>
      </c>
      <c r="L356" s="2">
        <v>7</v>
      </c>
      <c r="M356" s="2">
        <v>9</v>
      </c>
      <c r="N356" s="2">
        <v>2</v>
      </c>
      <c r="O356" s="2">
        <v>0</v>
      </c>
      <c r="P356" s="2">
        <v>46</v>
      </c>
      <c r="Q356" s="2">
        <v>340</v>
      </c>
      <c r="R356" s="13" t="s">
        <v>27</v>
      </c>
      <c r="S356" s="13" t="s">
        <v>27</v>
      </c>
    </row>
    <row r="357" spans="1:19" hidden="1" x14ac:dyDescent="0.3">
      <c r="A357" s="14">
        <v>43901.708333333336</v>
      </c>
      <c r="B357" s="13" t="s">
        <v>23</v>
      </c>
      <c r="C357" s="2">
        <v>2</v>
      </c>
      <c r="D357" s="13" t="s">
        <v>62</v>
      </c>
      <c r="E357" s="2">
        <v>4573750286</v>
      </c>
      <c r="F357" s="2">
        <v>7320149366</v>
      </c>
      <c r="G357" s="2">
        <v>2</v>
      </c>
      <c r="H357" s="2">
        <v>0</v>
      </c>
      <c r="I357" s="2">
        <v>2</v>
      </c>
      <c r="J357" s="2">
        <v>17</v>
      </c>
      <c r="K357" s="2">
        <v>19</v>
      </c>
      <c r="L357" s="2">
        <v>2</v>
      </c>
      <c r="M357" s="2">
        <v>3</v>
      </c>
      <c r="N357" s="2">
        <v>0</v>
      </c>
      <c r="O357" s="2">
        <v>1</v>
      </c>
      <c r="P357" s="2">
        <v>20</v>
      </c>
      <c r="Q357" s="2">
        <v>99</v>
      </c>
      <c r="R357" s="13" t="s">
        <v>27</v>
      </c>
      <c r="S357" s="13" t="s">
        <v>27</v>
      </c>
    </row>
    <row r="358" spans="1:19" hidden="1" x14ac:dyDescent="0.3">
      <c r="A358" s="14">
        <v>43901.708333333336</v>
      </c>
      <c r="B358" s="13" t="s">
        <v>23</v>
      </c>
      <c r="C358" s="2">
        <v>5</v>
      </c>
      <c r="D358" s="13" t="s">
        <v>63</v>
      </c>
      <c r="E358" s="2">
        <v>4543490485</v>
      </c>
      <c r="F358" s="2">
        <v>1233845213</v>
      </c>
      <c r="G358" s="2">
        <v>262</v>
      </c>
      <c r="H358" s="2">
        <v>68</v>
      </c>
      <c r="I358" s="2">
        <v>330</v>
      </c>
      <c r="J358" s="2">
        <v>610</v>
      </c>
      <c r="K358" s="2">
        <v>940</v>
      </c>
      <c r="L358" s="2">
        <v>157</v>
      </c>
      <c r="M358" s="2">
        <v>167</v>
      </c>
      <c r="N358" s="2">
        <v>54</v>
      </c>
      <c r="O358" s="2">
        <v>29</v>
      </c>
      <c r="P358" s="2">
        <v>1023</v>
      </c>
      <c r="Q358" s="2">
        <v>21400</v>
      </c>
      <c r="R358" s="13" t="s">
        <v>27</v>
      </c>
      <c r="S358" s="13" t="s">
        <v>27</v>
      </c>
    </row>
    <row r="359" spans="1:19" hidden="1" x14ac:dyDescent="0.3">
      <c r="A359" s="14">
        <v>43902.708333333336</v>
      </c>
      <c r="B359" s="13" t="s">
        <v>23</v>
      </c>
      <c r="C359" s="2">
        <v>13</v>
      </c>
      <c r="D359" s="13" t="s">
        <v>44</v>
      </c>
      <c r="E359" s="2">
        <v>4235122196</v>
      </c>
      <c r="F359" s="2">
        <v>1339843823</v>
      </c>
      <c r="G359" s="2">
        <v>47</v>
      </c>
      <c r="H359" s="2">
        <v>12</v>
      </c>
      <c r="I359" s="2">
        <v>59</v>
      </c>
      <c r="J359" s="2">
        <v>19</v>
      </c>
      <c r="K359" s="2">
        <v>78</v>
      </c>
      <c r="L359" s="2">
        <v>41</v>
      </c>
      <c r="M359" s="2">
        <v>46</v>
      </c>
      <c r="N359" s="2">
        <v>4</v>
      </c>
      <c r="O359" s="2">
        <v>2</v>
      </c>
      <c r="P359" s="2">
        <v>84</v>
      </c>
      <c r="Q359" s="2">
        <v>867</v>
      </c>
      <c r="R359" s="13" t="s">
        <v>27</v>
      </c>
      <c r="S359" s="13" t="s">
        <v>27</v>
      </c>
    </row>
    <row r="360" spans="1:19" hidden="1" x14ac:dyDescent="0.3">
      <c r="A360" s="14">
        <v>43902.708333333336</v>
      </c>
      <c r="B360" s="13" t="s">
        <v>23</v>
      </c>
      <c r="C360" s="2">
        <v>17</v>
      </c>
      <c r="D360" s="13" t="s">
        <v>45</v>
      </c>
      <c r="E360" s="2">
        <v>4063947052</v>
      </c>
      <c r="F360" s="2">
        <v>1580514834</v>
      </c>
      <c r="G360" s="2">
        <v>1</v>
      </c>
      <c r="H360" s="2">
        <v>1</v>
      </c>
      <c r="I360" s="2">
        <v>2</v>
      </c>
      <c r="J360" s="2">
        <v>6</v>
      </c>
      <c r="K360" s="2">
        <v>8</v>
      </c>
      <c r="L360" s="2">
        <v>0</v>
      </c>
      <c r="M360" s="2">
        <v>0</v>
      </c>
      <c r="N360" s="2">
        <v>0</v>
      </c>
      <c r="O360" s="2">
        <v>0</v>
      </c>
      <c r="P360" s="2">
        <v>8</v>
      </c>
      <c r="Q360" s="2">
        <v>155</v>
      </c>
      <c r="R360" s="13" t="s">
        <v>27</v>
      </c>
      <c r="S360" s="13" t="s">
        <v>27</v>
      </c>
    </row>
    <row r="361" spans="1:19" hidden="1" x14ac:dyDescent="0.3">
      <c r="A361" s="14">
        <v>43902.708333333336</v>
      </c>
      <c r="B361" s="13" t="s">
        <v>23</v>
      </c>
      <c r="C361" s="2">
        <v>4</v>
      </c>
      <c r="D361" s="13" t="s">
        <v>46</v>
      </c>
      <c r="E361" s="2">
        <v>4649933453</v>
      </c>
      <c r="F361" s="2">
        <v>1135662422</v>
      </c>
      <c r="G361" s="2">
        <v>21</v>
      </c>
      <c r="H361" s="2">
        <v>4</v>
      </c>
      <c r="I361" s="2">
        <v>25</v>
      </c>
      <c r="J361" s="2">
        <v>78</v>
      </c>
      <c r="K361" s="2">
        <v>103</v>
      </c>
      <c r="L361" s="2">
        <v>28</v>
      </c>
      <c r="M361" s="2">
        <v>29</v>
      </c>
      <c r="N361" s="2">
        <v>0</v>
      </c>
      <c r="O361" s="2">
        <v>1</v>
      </c>
      <c r="P361" s="2">
        <v>104</v>
      </c>
      <c r="Q361" s="2">
        <v>607</v>
      </c>
      <c r="R361" s="13" t="s">
        <v>27</v>
      </c>
      <c r="S361" s="13" t="s">
        <v>27</v>
      </c>
    </row>
    <row r="362" spans="1:19" hidden="1" x14ac:dyDescent="0.3">
      <c r="A362" s="14">
        <v>43902.708333333336</v>
      </c>
      <c r="B362" s="13" t="s">
        <v>23</v>
      </c>
      <c r="C362" s="2">
        <v>18</v>
      </c>
      <c r="D362" s="13" t="s">
        <v>47</v>
      </c>
      <c r="E362" s="2">
        <v>3890597598</v>
      </c>
      <c r="F362" s="2">
        <v>1659440194</v>
      </c>
      <c r="G362" s="2">
        <v>14</v>
      </c>
      <c r="H362" s="2">
        <v>2</v>
      </c>
      <c r="I362" s="2">
        <v>16</v>
      </c>
      <c r="J362" s="2">
        <v>16</v>
      </c>
      <c r="K362" s="2">
        <v>32</v>
      </c>
      <c r="L362" s="2">
        <v>15</v>
      </c>
      <c r="M362" s="2">
        <v>14</v>
      </c>
      <c r="N362" s="2">
        <v>1</v>
      </c>
      <c r="O362" s="2">
        <v>0</v>
      </c>
      <c r="P362" s="2">
        <v>33</v>
      </c>
      <c r="Q362" s="2">
        <v>483</v>
      </c>
      <c r="R362" s="13" t="s">
        <v>27</v>
      </c>
      <c r="S362" s="13" t="s">
        <v>27</v>
      </c>
    </row>
    <row r="363" spans="1:19" hidden="1" x14ac:dyDescent="0.3">
      <c r="A363" s="14">
        <v>43902.708333333336</v>
      </c>
      <c r="B363" s="13" t="s">
        <v>23</v>
      </c>
      <c r="C363" s="2">
        <v>15</v>
      </c>
      <c r="D363" s="13" t="s">
        <v>48</v>
      </c>
      <c r="E363" s="2">
        <v>4083956555</v>
      </c>
      <c r="F363" s="2">
        <v>1425084984</v>
      </c>
      <c r="G363" s="2">
        <v>56</v>
      </c>
      <c r="H363" s="2">
        <v>11</v>
      </c>
      <c r="I363" s="2">
        <v>67</v>
      </c>
      <c r="J363" s="2">
        <v>107</v>
      </c>
      <c r="K363" s="2">
        <v>174</v>
      </c>
      <c r="L363" s="2">
        <v>25</v>
      </c>
      <c r="M363" s="2">
        <v>25</v>
      </c>
      <c r="N363" s="2">
        <v>4</v>
      </c>
      <c r="O363" s="2">
        <v>1</v>
      </c>
      <c r="P363" s="2">
        <v>179</v>
      </c>
      <c r="Q363" s="2">
        <v>1551</v>
      </c>
      <c r="R363" s="13" t="s">
        <v>27</v>
      </c>
      <c r="S363" s="13" t="s">
        <v>27</v>
      </c>
    </row>
    <row r="364" spans="1:19" hidden="1" x14ac:dyDescent="0.3">
      <c r="A364" s="14">
        <v>43902.708333333336</v>
      </c>
      <c r="B364" s="13" t="s">
        <v>23</v>
      </c>
      <c r="C364" s="2">
        <v>8</v>
      </c>
      <c r="D364" s="13" t="s">
        <v>98</v>
      </c>
      <c r="E364" s="2">
        <v>4449436681</v>
      </c>
      <c r="F364" s="2">
        <v>113417208</v>
      </c>
      <c r="G364" s="2">
        <v>814</v>
      </c>
      <c r="H364" s="2">
        <v>112</v>
      </c>
      <c r="I364" s="2">
        <v>926</v>
      </c>
      <c r="J364" s="2">
        <v>832</v>
      </c>
      <c r="K364" s="2">
        <v>1758</v>
      </c>
      <c r="L364" s="2">
        <v>170</v>
      </c>
      <c r="M364" s="2">
        <v>208</v>
      </c>
      <c r="N364" s="2">
        <v>43</v>
      </c>
      <c r="O364" s="2">
        <v>146</v>
      </c>
      <c r="P364" s="2">
        <v>1947</v>
      </c>
      <c r="Q364" s="2">
        <v>7600</v>
      </c>
      <c r="R364" s="13" t="s">
        <v>27</v>
      </c>
      <c r="S364" s="13" t="s">
        <v>27</v>
      </c>
    </row>
    <row r="365" spans="1:19" hidden="1" x14ac:dyDescent="0.3">
      <c r="A365" s="14">
        <v>43902.708333333336</v>
      </c>
      <c r="B365" s="13" t="s">
        <v>23</v>
      </c>
      <c r="C365" s="2">
        <v>6</v>
      </c>
      <c r="D365" s="13" t="s">
        <v>49</v>
      </c>
      <c r="E365" s="2">
        <v>456494354</v>
      </c>
      <c r="F365" s="2">
        <v>1376813649</v>
      </c>
      <c r="G365" s="2">
        <v>23</v>
      </c>
      <c r="H365" s="2">
        <v>10</v>
      </c>
      <c r="I365" s="2">
        <v>33</v>
      </c>
      <c r="J365" s="2">
        <v>115</v>
      </c>
      <c r="K365" s="2">
        <v>148</v>
      </c>
      <c r="L365" s="2">
        <v>38</v>
      </c>
      <c r="M365" s="2">
        <v>41</v>
      </c>
      <c r="N365" s="2">
        <v>11</v>
      </c>
      <c r="O365" s="2">
        <v>8</v>
      </c>
      <c r="P365" s="2">
        <v>167</v>
      </c>
      <c r="Q365" s="2">
        <v>2604</v>
      </c>
      <c r="R365" s="13" t="s">
        <v>27</v>
      </c>
      <c r="S365" s="13" t="s">
        <v>27</v>
      </c>
    </row>
    <row r="366" spans="1:19" hidden="1" x14ac:dyDescent="0.3">
      <c r="A366" s="14">
        <v>43902.708333333336</v>
      </c>
      <c r="B366" s="13" t="s">
        <v>23</v>
      </c>
      <c r="C366" s="2">
        <v>12</v>
      </c>
      <c r="D366" s="13" t="s">
        <v>50</v>
      </c>
      <c r="E366" s="2">
        <v>4189277044</v>
      </c>
      <c r="F366" s="2">
        <v>1248366722</v>
      </c>
      <c r="G366" s="2">
        <v>85</v>
      </c>
      <c r="H366" s="2">
        <v>20</v>
      </c>
      <c r="I366" s="2">
        <v>105</v>
      </c>
      <c r="J366" s="2">
        <v>67</v>
      </c>
      <c r="K366" s="2">
        <v>172</v>
      </c>
      <c r="L366" s="2">
        <v>47</v>
      </c>
      <c r="M366" s="2">
        <v>50</v>
      </c>
      <c r="N366" s="2">
        <v>19</v>
      </c>
      <c r="O366" s="2">
        <v>9</v>
      </c>
      <c r="P366" s="2">
        <v>200</v>
      </c>
      <c r="Q366" s="2">
        <v>5592</v>
      </c>
      <c r="R366" s="13" t="s">
        <v>27</v>
      </c>
      <c r="S366" s="13" t="s">
        <v>27</v>
      </c>
    </row>
    <row r="367" spans="1:19" hidden="1" x14ac:dyDescent="0.3">
      <c r="A367" s="14">
        <v>43902.708333333336</v>
      </c>
      <c r="B367" s="13" t="s">
        <v>23</v>
      </c>
      <c r="C367" s="2">
        <v>7</v>
      </c>
      <c r="D367" s="13" t="s">
        <v>51</v>
      </c>
      <c r="E367" s="2">
        <v>4441149315</v>
      </c>
      <c r="F367" s="2">
        <v>89326992</v>
      </c>
      <c r="G367" s="2">
        <v>100</v>
      </c>
      <c r="H367" s="2">
        <v>36</v>
      </c>
      <c r="I367" s="2">
        <v>136</v>
      </c>
      <c r="J367" s="2">
        <v>107</v>
      </c>
      <c r="K367" s="2">
        <v>243</v>
      </c>
      <c r="L367" s="2">
        <v>62</v>
      </c>
      <c r="M367" s="2">
        <v>80</v>
      </c>
      <c r="N367" s="2">
        <v>20</v>
      </c>
      <c r="O367" s="2">
        <v>11</v>
      </c>
      <c r="P367" s="2">
        <v>274</v>
      </c>
      <c r="Q367" s="2">
        <v>1174</v>
      </c>
      <c r="R367" s="13" t="s">
        <v>27</v>
      </c>
      <c r="S367" s="13" t="s">
        <v>27</v>
      </c>
    </row>
    <row r="368" spans="1:19" x14ac:dyDescent="0.3">
      <c r="A368" s="14">
        <v>43902.708333333336</v>
      </c>
      <c r="B368" s="13" t="s">
        <v>23</v>
      </c>
      <c r="C368" s="2">
        <v>3</v>
      </c>
      <c r="D368" s="13" t="s">
        <v>52</v>
      </c>
      <c r="E368" s="2">
        <v>4546679409</v>
      </c>
      <c r="F368" s="2">
        <v>9190347404</v>
      </c>
      <c r="G368" s="2">
        <v>4247</v>
      </c>
      <c r="H368" s="2">
        <v>605</v>
      </c>
      <c r="I368" s="2">
        <v>4852</v>
      </c>
      <c r="J368" s="2">
        <v>2044</v>
      </c>
      <c r="K368" s="2">
        <v>6896</v>
      </c>
      <c r="L368" s="2">
        <v>1133</v>
      </c>
      <c r="M368" s="2">
        <v>1445</v>
      </c>
      <c r="N368" s="2">
        <v>1085</v>
      </c>
      <c r="O368" s="2">
        <v>744</v>
      </c>
      <c r="P368" s="2">
        <v>8725</v>
      </c>
      <c r="Q368" s="2">
        <v>29534</v>
      </c>
      <c r="R368" s="13" t="s">
        <v>27</v>
      </c>
      <c r="S368" s="13" t="s">
        <v>27</v>
      </c>
    </row>
    <row r="369" spans="1:19" hidden="1" x14ac:dyDescent="0.3">
      <c r="A369" s="14">
        <v>43902.708333333336</v>
      </c>
      <c r="B369" s="13" t="s">
        <v>23</v>
      </c>
      <c r="C369" s="2">
        <v>11</v>
      </c>
      <c r="D369" s="13" t="s">
        <v>53</v>
      </c>
      <c r="E369" s="2">
        <v>4361675973</v>
      </c>
      <c r="F369" s="2">
        <v>135188753</v>
      </c>
      <c r="G369" s="2">
        <v>254</v>
      </c>
      <c r="H369" s="2">
        <v>76</v>
      </c>
      <c r="I369" s="2">
        <v>330</v>
      </c>
      <c r="J369" s="2">
        <v>240</v>
      </c>
      <c r="K369" s="2">
        <v>570</v>
      </c>
      <c r="L369" s="2">
        <v>109</v>
      </c>
      <c r="M369" s="2">
        <v>113</v>
      </c>
      <c r="N369" s="2">
        <v>0</v>
      </c>
      <c r="O369" s="2">
        <v>22</v>
      </c>
      <c r="P369" s="2">
        <v>592</v>
      </c>
      <c r="Q369" s="2">
        <v>1907</v>
      </c>
      <c r="R369" s="13" t="s">
        <v>27</v>
      </c>
      <c r="S369" s="13" t="s">
        <v>27</v>
      </c>
    </row>
    <row r="370" spans="1:19" hidden="1" x14ac:dyDescent="0.3">
      <c r="A370" s="14">
        <v>43902.708333333336</v>
      </c>
      <c r="B370" s="13" t="s">
        <v>23</v>
      </c>
      <c r="C370" s="2">
        <v>14</v>
      </c>
      <c r="D370" s="13" t="s">
        <v>54</v>
      </c>
      <c r="E370" s="2">
        <v>4155774754</v>
      </c>
      <c r="F370" s="2">
        <v>1465916051</v>
      </c>
      <c r="G370" s="2">
        <v>4</v>
      </c>
      <c r="H370" s="2">
        <v>3</v>
      </c>
      <c r="I370" s="2">
        <v>7</v>
      </c>
      <c r="J370" s="2">
        <v>9</v>
      </c>
      <c r="K370" s="2">
        <v>16</v>
      </c>
      <c r="L370" s="2">
        <v>0</v>
      </c>
      <c r="M370" s="2">
        <v>0</v>
      </c>
      <c r="N370" s="2">
        <v>0</v>
      </c>
      <c r="O370" s="2">
        <v>0</v>
      </c>
      <c r="P370" s="2">
        <v>16</v>
      </c>
      <c r="Q370" s="2">
        <v>238</v>
      </c>
      <c r="R370" s="13" t="s">
        <v>27</v>
      </c>
      <c r="S370" s="13" t="s">
        <v>27</v>
      </c>
    </row>
    <row r="371" spans="1:19" hidden="1" x14ac:dyDescent="0.3">
      <c r="A371" s="14">
        <v>43902.708333333336</v>
      </c>
      <c r="B371" s="13" t="s">
        <v>23</v>
      </c>
      <c r="C371" s="2">
        <v>1</v>
      </c>
      <c r="D371" s="13" t="s">
        <v>55</v>
      </c>
      <c r="E371" s="2">
        <v>450732745</v>
      </c>
      <c r="F371" s="2">
        <v>7680687483</v>
      </c>
      <c r="G371" s="2">
        <v>368</v>
      </c>
      <c r="H371" s="2">
        <v>97</v>
      </c>
      <c r="I371" s="2">
        <v>465</v>
      </c>
      <c r="J371" s="2">
        <v>89</v>
      </c>
      <c r="K371" s="2">
        <v>554</v>
      </c>
      <c r="L371" s="2">
        <v>74</v>
      </c>
      <c r="M371" s="2">
        <v>79</v>
      </c>
      <c r="N371" s="2">
        <v>0</v>
      </c>
      <c r="O371" s="2">
        <v>26</v>
      </c>
      <c r="P371" s="2">
        <v>580</v>
      </c>
      <c r="Q371" s="2">
        <v>2879</v>
      </c>
      <c r="R371" s="13" t="s">
        <v>27</v>
      </c>
      <c r="S371" s="13" t="s">
        <v>27</v>
      </c>
    </row>
    <row r="372" spans="1:19" hidden="1" x14ac:dyDescent="0.3">
      <c r="A372" s="14">
        <v>43902.708333333336</v>
      </c>
      <c r="B372" s="13" t="s">
        <v>23</v>
      </c>
      <c r="C372" s="2">
        <v>16</v>
      </c>
      <c r="D372" s="13" t="s">
        <v>56</v>
      </c>
      <c r="E372" s="2">
        <v>4112559576</v>
      </c>
      <c r="F372" s="2">
        <v>1686736689</v>
      </c>
      <c r="G372" s="2">
        <v>58</v>
      </c>
      <c r="H372" s="2">
        <v>2</v>
      </c>
      <c r="I372" s="2">
        <v>60</v>
      </c>
      <c r="J372" s="2">
        <v>38</v>
      </c>
      <c r="K372" s="2">
        <v>98</v>
      </c>
      <c r="L372" s="2">
        <v>27</v>
      </c>
      <c r="M372" s="2">
        <v>27</v>
      </c>
      <c r="N372" s="2">
        <v>1</v>
      </c>
      <c r="O372" s="2">
        <v>5</v>
      </c>
      <c r="P372" s="2">
        <v>104</v>
      </c>
      <c r="Q372" s="2">
        <v>1269</v>
      </c>
      <c r="R372" s="13" t="s">
        <v>27</v>
      </c>
      <c r="S372" s="13" t="s">
        <v>27</v>
      </c>
    </row>
    <row r="373" spans="1:19" hidden="1" x14ac:dyDescent="0.3">
      <c r="A373" s="14">
        <v>43902.708333333336</v>
      </c>
      <c r="B373" s="13" t="s">
        <v>23</v>
      </c>
      <c r="C373" s="2">
        <v>20</v>
      </c>
      <c r="D373" s="13" t="s">
        <v>57</v>
      </c>
      <c r="E373" s="2">
        <v>3921531192</v>
      </c>
      <c r="F373" s="2">
        <v>9110616306</v>
      </c>
      <c r="G373" s="2">
        <v>12</v>
      </c>
      <c r="H373" s="2">
        <v>0</v>
      </c>
      <c r="I373" s="2">
        <v>12</v>
      </c>
      <c r="J373" s="2">
        <v>27</v>
      </c>
      <c r="K373" s="2">
        <v>39</v>
      </c>
      <c r="L373" s="2">
        <v>2</v>
      </c>
      <c r="M373" s="2">
        <v>2</v>
      </c>
      <c r="N373" s="2">
        <v>0</v>
      </c>
      <c r="O373" s="2">
        <v>0</v>
      </c>
      <c r="P373" s="2">
        <v>39</v>
      </c>
      <c r="Q373" s="2">
        <v>302</v>
      </c>
      <c r="R373" s="13" t="s">
        <v>27</v>
      </c>
      <c r="S373" s="13" t="s">
        <v>27</v>
      </c>
    </row>
    <row r="374" spans="1:19" hidden="1" x14ac:dyDescent="0.3">
      <c r="A374" s="14">
        <v>43902.708333333336</v>
      </c>
      <c r="B374" s="13" t="s">
        <v>23</v>
      </c>
      <c r="C374" s="2">
        <v>19</v>
      </c>
      <c r="D374" s="13" t="s">
        <v>58</v>
      </c>
      <c r="E374" s="2">
        <v>3811569725</v>
      </c>
      <c r="F374" s="2">
        <v>133623567</v>
      </c>
      <c r="G374" s="2">
        <v>28</v>
      </c>
      <c r="H374" s="2">
        <v>5</v>
      </c>
      <c r="I374" s="2">
        <v>33</v>
      </c>
      <c r="J374" s="2">
        <v>78</v>
      </c>
      <c r="K374" s="2">
        <v>111</v>
      </c>
      <c r="L374" s="2">
        <v>30</v>
      </c>
      <c r="M374" s="2">
        <v>32</v>
      </c>
      <c r="N374" s="2">
        <v>2</v>
      </c>
      <c r="O374" s="2">
        <v>2</v>
      </c>
      <c r="P374" s="2">
        <v>115</v>
      </c>
      <c r="Q374" s="2">
        <v>1477</v>
      </c>
      <c r="R374" s="13" t="s">
        <v>27</v>
      </c>
      <c r="S374" s="13" t="s">
        <v>27</v>
      </c>
    </row>
    <row r="375" spans="1:19" hidden="1" x14ac:dyDescent="0.3">
      <c r="A375" s="14">
        <v>43902.708333333336</v>
      </c>
      <c r="B375" s="13" t="s">
        <v>23</v>
      </c>
      <c r="C375" s="2">
        <v>9</v>
      </c>
      <c r="D375" s="13" t="s">
        <v>59</v>
      </c>
      <c r="E375" s="2">
        <v>4376923077</v>
      </c>
      <c r="F375" s="2">
        <v>1125588885</v>
      </c>
      <c r="G375" s="2">
        <v>100</v>
      </c>
      <c r="H375" s="2">
        <v>59</v>
      </c>
      <c r="I375" s="2">
        <v>159</v>
      </c>
      <c r="J375" s="2">
        <v>193</v>
      </c>
      <c r="K375" s="2">
        <v>352</v>
      </c>
      <c r="L375" s="2">
        <v>38</v>
      </c>
      <c r="M375" s="2">
        <v>44</v>
      </c>
      <c r="N375" s="2">
        <v>7</v>
      </c>
      <c r="O375" s="2">
        <v>5</v>
      </c>
      <c r="P375" s="2">
        <v>364</v>
      </c>
      <c r="Q375" s="2">
        <v>3165</v>
      </c>
      <c r="R375" s="13" t="s">
        <v>27</v>
      </c>
      <c r="S375" s="13" t="s">
        <v>27</v>
      </c>
    </row>
    <row r="376" spans="1:19" hidden="1" x14ac:dyDescent="0.3">
      <c r="A376" s="14">
        <v>43902.708333333336</v>
      </c>
      <c r="B376" s="13" t="s">
        <v>23</v>
      </c>
      <c r="C376" s="2">
        <v>4</v>
      </c>
      <c r="D376" s="13" t="s">
        <v>60</v>
      </c>
      <c r="E376" s="2">
        <v>4606893511</v>
      </c>
      <c r="F376" s="2">
        <v>1112123097</v>
      </c>
      <c r="G376" s="2">
        <v>43</v>
      </c>
      <c r="H376" s="2">
        <v>5</v>
      </c>
      <c r="I376" s="2">
        <v>48</v>
      </c>
      <c r="J376" s="2">
        <v>54</v>
      </c>
      <c r="K376" s="2">
        <v>102</v>
      </c>
      <c r="L376" s="2">
        <v>28</v>
      </c>
      <c r="M376" s="2">
        <v>30</v>
      </c>
      <c r="N376" s="2">
        <v>4</v>
      </c>
      <c r="O376" s="2">
        <v>1</v>
      </c>
      <c r="P376" s="2">
        <v>107</v>
      </c>
      <c r="Q376" s="2">
        <v>593</v>
      </c>
      <c r="R376" s="13" t="s">
        <v>27</v>
      </c>
      <c r="S376" s="13" t="s">
        <v>27</v>
      </c>
    </row>
    <row r="377" spans="1:19" hidden="1" x14ac:dyDescent="0.3">
      <c r="A377" s="14">
        <v>43902.708333333336</v>
      </c>
      <c r="B377" s="13" t="s">
        <v>23</v>
      </c>
      <c r="C377" s="2">
        <v>10</v>
      </c>
      <c r="D377" s="13" t="s">
        <v>61</v>
      </c>
      <c r="E377" s="2">
        <v>4310675841</v>
      </c>
      <c r="F377" s="2">
        <v>1238824698</v>
      </c>
      <c r="G377" s="2">
        <v>8</v>
      </c>
      <c r="H377" s="2">
        <v>8</v>
      </c>
      <c r="I377" s="2">
        <v>16</v>
      </c>
      <c r="J377" s="2">
        <v>46</v>
      </c>
      <c r="K377" s="2">
        <v>62</v>
      </c>
      <c r="L377" s="2">
        <v>18</v>
      </c>
      <c r="M377" s="2">
        <v>18</v>
      </c>
      <c r="N377" s="2">
        <v>2</v>
      </c>
      <c r="O377" s="2">
        <v>0</v>
      </c>
      <c r="P377" s="2">
        <v>64</v>
      </c>
      <c r="Q377" s="2">
        <v>458</v>
      </c>
      <c r="R377" s="13" t="s">
        <v>27</v>
      </c>
      <c r="S377" s="13" t="s">
        <v>27</v>
      </c>
    </row>
    <row r="378" spans="1:19" hidden="1" x14ac:dyDescent="0.3">
      <c r="A378" s="14">
        <v>43902.708333333336</v>
      </c>
      <c r="B378" s="13" t="s">
        <v>23</v>
      </c>
      <c r="C378" s="2">
        <v>2</v>
      </c>
      <c r="D378" s="13" t="s">
        <v>62</v>
      </c>
      <c r="E378" s="2">
        <v>4573750286</v>
      </c>
      <c r="F378" s="2">
        <v>7320149366</v>
      </c>
      <c r="G378" s="2">
        <v>7</v>
      </c>
      <c r="H378" s="2">
        <v>0</v>
      </c>
      <c r="I378" s="2">
        <v>7</v>
      </c>
      <c r="J378" s="2">
        <v>19</v>
      </c>
      <c r="K378" s="2">
        <v>26</v>
      </c>
      <c r="L378" s="2">
        <v>7</v>
      </c>
      <c r="M378" s="2">
        <v>7</v>
      </c>
      <c r="N378" s="2">
        <v>0</v>
      </c>
      <c r="O378" s="2">
        <v>1</v>
      </c>
      <c r="P378" s="2">
        <v>27</v>
      </c>
      <c r="Q378" s="2">
        <v>118</v>
      </c>
      <c r="R378" s="13" t="s">
        <v>27</v>
      </c>
      <c r="S378" s="13" t="s">
        <v>27</v>
      </c>
    </row>
    <row r="379" spans="1:19" hidden="1" x14ac:dyDescent="0.3">
      <c r="A379" s="14">
        <v>43902.708333333336</v>
      </c>
      <c r="B379" s="13" t="s">
        <v>23</v>
      </c>
      <c r="C379" s="2">
        <v>5</v>
      </c>
      <c r="D379" s="13" t="s">
        <v>63</v>
      </c>
      <c r="E379" s="2">
        <v>4543490485</v>
      </c>
      <c r="F379" s="2">
        <v>1233845213</v>
      </c>
      <c r="G379" s="2">
        <v>360</v>
      </c>
      <c r="H379" s="2">
        <v>85</v>
      </c>
      <c r="I379" s="2">
        <v>445</v>
      </c>
      <c r="J379" s="2">
        <v>852</v>
      </c>
      <c r="K379" s="2">
        <v>1297</v>
      </c>
      <c r="L379" s="2">
        <v>357</v>
      </c>
      <c r="M379" s="2">
        <v>361</v>
      </c>
      <c r="N379" s="2">
        <v>55</v>
      </c>
      <c r="O379" s="2">
        <v>32</v>
      </c>
      <c r="P379" s="2">
        <v>1384</v>
      </c>
      <c r="Q379" s="2">
        <v>23438</v>
      </c>
      <c r="R379" s="13" t="s">
        <v>27</v>
      </c>
      <c r="S379" s="13" t="s">
        <v>27</v>
      </c>
    </row>
    <row r="380" spans="1:19" hidden="1" x14ac:dyDescent="0.3">
      <c r="A380" s="14">
        <v>43903.708333333336</v>
      </c>
      <c r="B380" s="13" t="s">
        <v>23</v>
      </c>
      <c r="C380" s="2">
        <v>13</v>
      </c>
      <c r="D380" s="13" t="s">
        <v>44</v>
      </c>
      <c r="E380" s="2">
        <v>4235122196</v>
      </c>
      <c r="F380" s="2">
        <v>1339843823</v>
      </c>
      <c r="G380" s="2">
        <v>42</v>
      </c>
      <c r="H380" s="2">
        <v>14</v>
      </c>
      <c r="I380" s="2">
        <v>56</v>
      </c>
      <c r="J380" s="2">
        <v>27</v>
      </c>
      <c r="K380" s="2">
        <v>83</v>
      </c>
      <c r="L380" s="2">
        <v>5</v>
      </c>
      <c r="M380" s="2">
        <v>5</v>
      </c>
      <c r="N380" s="2">
        <v>4</v>
      </c>
      <c r="O380" s="2">
        <v>2</v>
      </c>
      <c r="P380" s="2">
        <v>89</v>
      </c>
      <c r="Q380" s="2">
        <v>958</v>
      </c>
      <c r="R380" s="13" t="s">
        <v>27</v>
      </c>
      <c r="S380" s="13" t="s">
        <v>27</v>
      </c>
    </row>
    <row r="381" spans="1:19" hidden="1" x14ac:dyDescent="0.3">
      <c r="A381" s="14">
        <v>43903.708333333336</v>
      </c>
      <c r="B381" s="13" t="s">
        <v>23</v>
      </c>
      <c r="C381" s="2">
        <v>17</v>
      </c>
      <c r="D381" s="13" t="s">
        <v>45</v>
      </c>
      <c r="E381" s="2">
        <v>4063947052</v>
      </c>
      <c r="F381" s="2">
        <v>1580514834</v>
      </c>
      <c r="G381" s="2">
        <v>1</v>
      </c>
      <c r="H381" s="2">
        <v>1</v>
      </c>
      <c r="I381" s="2">
        <v>2</v>
      </c>
      <c r="J381" s="2">
        <v>8</v>
      </c>
      <c r="K381" s="2">
        <v>10</v>
      </c>
      <c r="L381" s="2">
        <v>2</v>
      </c>
      <c r="M381" s="2">
        <v>2</v>
      </c>
      <c r="N381" s="2">
        <v>0</v>
      </c>
      <c r="O381" s="2">
        <v>0</v>
      </c>
      <c r="P381" s="2">
        <v>10</v>
      </c>
      <c r="Q381" s="2">
        <v>155</v>
      </c>
      <c r="R381" s="13" t="s">
        <v>27</v>
      </c>
      <c r="S381" s="13" t="s">
        <v>27</v>
      </c>
    </row>
    <row r="382" spans="1:19" hidden="1" x14ac:dyDescent="0.3">
      <c r="A382" s="14">
        <v>43903.708333333336</v>
      </c>
      <c r="B382" s="13" t="s">
        <v>23</v>
      </c>
      <c r="C382" s="2">
        <v>4</v>
      </c>
      <c r="D382" s="13" t="s">
        <v>46</v>
      </c>
      <c r="E382" s="2">
        <v>4649933453</v>
      </c>
      <c r="F382" s="2">
        <v>1135662422</v>
      </c>
      <c r="G382" s="2">
        <v>20</v>
      </c>
      <c r="H382" s="2">
        <v>5</v>
      </c>
      <c r="I382" s="2">
        <v>25</v>
      </c>
      <c r="J382" s="2">
        <v>98</v>
      </c>
      <c r="K382" s="2">
        <v>123</v>
      </c>
      <c r="L382" s="2">
        <v>20</v>
      </c>
      <c r="M382" s="2">
        <v>21</v>
      </c>
      <c r="N382" s="2">
        <v>0</v>
      </c>
      <c r="O382" s="2">
        <v>2</v>
      </c>
      <c r="P382" s="2">
        <v>125</v>
      </c>
      <c r="Q382" s="2">
        <v>811</v>
      </c>
      <c r="R382" s="13" t="s">
        <v>27</v>
      </c>
      <c r="S382" s="13" t="s">
        <v>27</v>
      </c>
    </row>
    <row r="383" spans="1:19" hidden="1" x14ac:dyDescent="0.3">
      <c r="A383" s="14">
        <v>43903.708333333336</v>
      </c>
      <c r="B383" s="13" t="s">
        <v>23</v>
      </c>
      <c r="C383" s="2">
        <v>18</v>
      </c>
      <c r="D383" s="13" t="s">
        <v>47</v>
      </c>
      <c r="E383" s="2">
        <v>3890597598</v>
      </c>
      <c r="F383" s="2">
        <v>1659440194</v>
      </c>
      <c r="G383" s="2">
        <v>18</v>
      </c>
      <c r="H383" s="2">
        <v>3</v>
      </c>
      <c r="I383" s="2">
        <v>21</v>
      </c>
      <c r="J383" s="2">
        <v>16</v>
      </c>
      <c r="K383" s="2">
        <v>37</v>
      </c>
      <c r="L383" s="2">
        <v>5</v>
      </c>
      <c r="M383" s="2">
        <v>5</v>
      </c>
      <c r="N383" s="2">
        <v>1</v>
      </c>
      <c r="O383" s="2">
        <v>0</v>
      </c>
      <c r="P383" s="2">
        <v>38</v>
      </c>
      <c r="Q383" s="2">
        <v>504</v>
      </c>
      <c r="R383" s="13" t="s">
        <v>27</v>
      </c>
      <c r="S383" s="13" t="s">
        <v>27</v>
      </c>
    </row>
    <row r="384" spans="1:19" hidden="1" x14ac:dyDescent="0.3">
      <c r="A384" s="14">
        <v>43903.708333333336</v>
      </c>
      <c r="B384" s="13" t="s">
        <v>23</v>
      </c>
      <c r="C384" s="2">
        <v>15</v>
      </c>
      <c r="D384" s="13" t="s">
        <v>48</v>
      </c>
      <c r="E384" s="2">
        <v>4083956555</v>
      </c>
      <c r="F384" s="2">
        <v>1425084984</v>
      </c>
      <c r="G384" s="2">
        <v>60</v>
      </c>
      <c r="H384" s="2">
        <v>19</v>
      </c>
      <c r="I384" s="2">
        <v>79</v>
      </c>
      <c r="J384" s="2">
        <v>134</v>
      </c>
      <c r="K384" s="2">
        <v>213</v>
      </c>
      <c r="L384" s="2">
        <v>39</v>
      </c>
      <c r="M384" s="2">
        <v>41</v>
      </c>
      <c r="N384" s="2">
        <v>5</v>
      </c>
      <c r="O384" s="2">
        <v>2</v>
      </c>
      <c r="P384" s="2">
        <v>220</v>
      </c>
      <c r="Q384" s="2">
        <v>1671</v>
      </c>
      <c r="R384" s="13" t="s">
        <v>27</v>
      </c>
      <c r="S384" s="13" t="s">
        <v>27</v>
      </c>
    </row>
    <row r="385" spans="1:19" hidden="1" x14ac:dyDescent="0.3">
      <c r="A385" s="14">
        <v>43903.708333333336</v>
      </c>
      <c r="B385" s="13" t="s">
        <v>23</v>
      </c>
      <c r="C385" s="2">
        <v>8</v>
      </c>
      <c r="D385" s="13" t="s">
        <v>98</v>
      </c>
      <c r="E385" s="2">
        <v>4449436681</v>
      </c>
      <c r="F385" s="2">
        <v>113417208</v>
      </c>
      <c r="G385" s="2">
        <v>942</v>
      </c>
      <c r="H385" s="2">
        <v>128</v>
      </c>
      <c r="I385" s="2">
        <v>1070</v>
      </c>
      <c r="J385" s="2">
        <v>941</v>
      </c>
      <c r="K385" s="2">
        <v>2011</v>
      </c>
      <c r="L385" s="2">
        <v>253</v>
      </c>
      <c r="M385" s="2">
        <v>316</v>
      </c>
      <c r="N385" s="2">
        <v>51</v>
      </c>
      <c r="O385" s="2">
        <v>201</v>
      </c>
      <c r="P385" s="2">
        <v>2263</v>
      </c>
      <c r="Q385" s="2">
        <v>8787</v>
      </c>
      <c r="R385" s="13" t="s">
        <v>27</v>
      </c>
      <c r="S385" s="13" t="s">
        <v>27</v>
      </c>
    </row>
    <row r="386" spans="1:19" hidden="1" x14ac:dyDescent="0.3">
      <c r="A386" s="14">
        <v>43903.708333333336</v>
      </c>
      <c r="B386" s="13" t="s">
        <v>23</v>
      </c>
      <c r="C386" s="2">
        <v>6</v>
      </c>
      <c r="D386" s="13" t="s">
        <v>49</v>
      </c>
      <c r="E386" s="2">
        <v>456494354</v>
      </c>
      <c r="F386" s="2">
        <v>1376813649</v>
      </c>
      <c r="G386" s="2">
        <v>59</v>
      </c>
      <c r="H386" s="2">
        <v>8</v>
      </c>
      <c r="I386" s="2">
        <v>67</v>
      </c>
      <c r="J386" s="2">
        <v>169</v>
      </c>
      <c r="K386" s="2">
        <v>236</v>
      </c>
      <c r="L386" s="2">
        <v>88</v>
      </c>
      <c r="M386" s="2">
        <v>90</v>
      </c>
      <c r="N386" s="2">
        <v>11</v>
      </c>
      <c r="O386" s="2">
        <v>10</v>
      </c>
      <c r="P386" s="2">
        <v>257</v>
      </c>
      <c r="Q386" s="2">
        <v>3149</v>
      </c>
      <c r="R386" s="13" t="s">
        <v>27</v>
      </c>
      <c r="S386" s="13" t="s">
        <v>27</v>
      </c>
    </row>
    <row r="387" spans="1:19" hidden="1" x14ac:dyDescent="0.3">
      <c r="A387" s="14">
        <v>43903.708333333336</v>
      </c>
      <c r="B387" s="13" t="s">
        <v>23</v>
      </c>
      <c r="C387" s="2">
        <v>12</v>
      </c>
      <c r="D387" s="13" t="s">
        <v>50</v>
      </c>
      <c r="E387" s="2">
        <v>4189277044</v>
      </c>
      <c r="F387" s="2">
        <v>1248366722</v>
      </c>
      <c r="G387" s="2">
        <v>122</v>
      </c>
      <c r="H387" s="2">
        <v>24</v>
      </c>
      <c r="I387" s="2">
        <v>146</v>
      </c>
      <c r="J387" s="2">
        <v>96</v>
      </c>
      <c r="K387" s="2">
        <v>242</v>
      </c>
      <c r="L387" s="2">
        <v>70</v>
      </c>
      <c r="M387" s="2">
        <v>77</v>
      </c>
      <c r="N387" s="2">
        <v>24</v>
      </c>
      <c r="O387" s="2">
        <v>11</v>
      </c>
      <c r="P387" s="2">
        <v>277</v>
      </c>
      <c r="Q387" s="2">
        <v>6491</v>
      </c>
      <c r="R387" s="13" t="s">
        <v>27</v>
      </c>
      <c r="S387" s="13" t="s">
        <v>27</v>
      </c>
    </row>
    <row r="388" spans="1:19" hidden="1" x14ac:dyDescent="0.3">
      <c r="A388" s="14">
        <v>43903.708333333336</v>
      </c>
      <c r="B388" s="13" t="s">
        <v>23</v>
      </c>
      <c r="C388" s="2">
        <v>7</v>
      </c>
      <c r="D388" s="13" t="s">
        <v>51</v>
      </c>
      <c r="E388" s="2">
        <v>4441149315</v>
      </c>
      <c r="F388" s="2">
        <v>89326992</v>
      </c>
      <c r="G388" s="2">
        <v>128</v>
      </c>
      <c r="H388" s="2">
        <v>44</v>
      </c>
      <c r="I388" s="2">
        <v>172</v>
      </c>
      <c r="J388" s="2">
        <v>132</v>
      </c>
      <c r="K388" s="2">
        <v>304</v>
      </c>
      <c r="L388" s="2">
        <v>61</v>
      </c>
      <c r="M388" s="2">
        <v>71</v>
      </c>
      <c r="N388" s="2">
        <v>24</v>
      </c>
      <c r="O388" s="2">
        <v>17</v>
      </c>
      <c r="P388" s="2">
        <v>345</v>
      </c>
      <c r="Q388" s="2">
        <v>1442</v>
      </c>
      <c r="R388" s="13" t="s">
        <v>27</v>
      </c>
      <c r="S388" s="13" t="s">
        <v>27</v>
      </c>
    </row>
    <row r="389" spans="1:19" x14ac:dyDescent="0.3">
      <c r="A389" s="14">
        <v>43903.708333333336</v>
      </c>
      <c r="B389" s="13" t="s">
        <v>23</v>
      </c>
      <c r="C389" s="2">
        <v>3</v>
      </c>
      <c r="D389" s="13" t="s">
        <v>52</v>
      </c>
      <c r="E389" s="2">
        <v>4546679409</v>
      </c>
      <c r="F389" s="2">
        <v>9190347404</v>
      </c>
      <c r="G389" s="2">
        <v>4435</v>
      </c>
      <c r="H389" s="2">
        <v>650</v>
      </c>
      <c r="I389" s="2">
        <v>5085</v>
      </c>
      <c r="J389" s="2">
        <v>2647</v>
      </c>
      <c r="K389" s="2">
        <v>7732</v>
      </c>
      <c r="L389" s="2">
        <v>836</v>
      </c>
      <c r="M389" s="2">
        <v>1095</v>
      </c>
      <c r="N389" s="2">
        <v>1198</v>
      </c>
      <c r="O389" s="2">
        <v>890</v>
      </c>
      <c r="P389" s="2">
        <v>9820</v>
      </c>
      <c r="Q389" s="2">
        <v>32700</v>
      </c>
      <c r="R389" s="13" t="s">
        <v>27</v>
      </c>
      <c r="S389" s="13" t="s">
        <v>27</v>
      </c>
    </row>
    <row r="390" spans="1:19" hidden="1" x14ac:dyDescent="0.3">
      <c r="A390" s="14">
        <v>43903.708333333336</v>
      </c>
      <c r="B390" s="13" t="s">
        <v>23</v>
      </c>
      <c r="C390" s="2">
        <v>11</v>
      </c>
      <c r="D390" s="13" t="s">
        <v>53</v>
      </c>
      <c r="E390" s="2">
        <v>4361675973</v>
      </c>
      <c r="F390" s="2">
        <v>135188753</v>
      </c>
      <c r="G390" s="2">
        <v>337</v>
      </c>
      <c r="H390" s="2">
        <v>85</v>
      </c>
      <c r="I390" s="2">
        <v>422</v>
      </c>
      <c r="J390" s="2">
        <v>276</v>
      </c>
      <c r="K390" s="2">
        <v>698</v>
      </c>
      <c r="L390" s="2">
        <v>128</v>
      </c>
      <c r="M390" s="2">
        <v>133</v>
      </c>
      <c r="N390" s="2">
        <v>0</v>
      </c>
      <c r="O390" s="2">
        <v>27</v>
      </c>
      <c r="P390" s="2">
        <v>725</v>
      </c>
      <c r="Q390" s="2">
        <v>2218</v>
      </c>
      <c r="R390" s="13" t="s">
        <v>27</v>
      </c>
      <c r="S390" s="13" t="s">
        <v>27</v>
      </c>
    </row>
    <row r="391" spans="1:19" hidden="1" x14ac:dyDescent="0.3">
      <c r="A391" s="14">
        <v>43903.708333333336</v>
      </c>
      <c r="B391" s="13" t="s">
        <v>23</v>
      </c>
      <c r="C391" s="2">
        <v>14</v>
      </c>
      <c r="D391" s="13" t="s">
        <v>54</v>
      </c>
      <c r="E391" s="2">
        <v>4155774754</v>
      </c>
      <c r="F391" s="2">
        <v>1465916051</v>
      </c>
      <c r="G391" s="2">
        <v>5</v>
      </c>
      <c r="H391" s="2">
        <v>3</v>
      </c>
      <c r="I391" s="2">
        <v>8</v>
      </c>
      <c r="J391" s="2">
        <v>9</v>
      </c>
      <c r="K391" s="2">
        <v>17</v>
      </c>
      <c r="L391" s="2">
        <v>1</v>
      </c>
      <c r="M391" s="2">
        <v>1</v>
      </c>
      <c r="N391" s="2">
        <v>0</v>
      </c>
      <c r="O391" s="2">
        <v>0</v>
      </c>
      <c r="P391" s="2">
        <v>17</v>
      </c>
      <c r="Q391" s="2">
        <v>243</v>
      </c>
      <c r="R391" s="13" t="s">
        <v>27</v>
      </c>
      <c r="S391" s="13" t="s">
        <v>27</v>
      </c>
    </row>
    <row r="392" spans="1:19" hidden="1" x14ac:dyDescent="0.3">
      <c r="A392" s="14">
        <v>43903.708333333336</v>
      </c>
      <c r="B392" s="13" t="s">
        <v>23</v>
      </c>
      <c r="C392" s="2">
        <v>1</v>
      </c>
      <c r="D392" s="13" t="s">
        <v>55</v>
      </c>
      <c r="E392" s="2">
        <v>450732745</v>
      </c>
      <c r="F392" s="2">
        <v>7680687483</v>
      </c>
      <c r="G392" s="2">
        <v>556</v>
      </c>
      <c r="H392" s="2">
        <v>135</v>
      </c>
      <c r="I392" s="2">
        <v>691</v>
      </c>
      <c r="J392" s="2">
        <v>103</v>
      </c>
      <c r="K392" s="2">
        <v>794</v>
      </c>
      <c r="L392" s="2">
        <v>240</v>
      </c>
      <c r="M392" s="2">
        <v>260</v>
      </c>
      <c r="N392" s="2">
        <v>0</v>
      </c>
      <c r="O392" s="2">
        <v>46</v>
      </c>
      <c r="P392" s="2">
        <v>840</v>
      </c>
      <c r="Q392" s="2">
        <v>3105</v>
      </c>
      <c r="R392" s="13" t="s">
        <v>27</v>
      </c>
      <c r="S392" s="13" t="s">
        <v>27</v>
      </c>
    </row>
    <row r="393" spans="1:19" hidden="1" x14ac:dyDescent="0.3">
      <c r="A393" s="14">
        <v>43903.708333333336</v>
      </c>
      <c r="B393" s="13" t="s">
        <v>23</v>
      </c>
      <c r="C393" s="2">
        <v>16</v>
      </c>
      <c r="D393" s="13" t="s">
        <v>56</v>
      </c>
      <c r="E393" s="2">
        <v>4112559576</v>
      </c>
      <c r="F393" s="2">
        <v>1686736689</v>
      </c>
      <c r="G393" s="2">
        <v>77</v>
      </c>
      <c r="H393" s="2">
        <v>2</v>
      </c>
      <c r="I393" s="2">
        <v>79</v>
      </c>
      <c r="J393" s="2">
        <v>42</v>
      </c>
      <c r="K393" s="2">
        <v>121</v>
      </c>
      <c r="L393" s="2">
        <v>23</v>
      </c>
      <c r="M393" s="2">
        <v>25</v>
      </c>
      <c r="N393" s="2">
        <v>3</v>
      </c>
      <c r="O393" s="2">
        <v>5</v>
      </c>
      <c r="P393" s="2">
        <v>129</v>
      </c>
      <c r="Q393" s="2">
        <v>1449</v>
      </c>
      <c r="R393" s="13" t="s">
        <v>27</v>
      </c>
      <c r="S393" s="13" t="s">
        <v>27</v>
      </c>
    </row>
    <row r="394" spans="1:19" hidden="1" x14ac:dyDescent="0.3">
      <c r="A394" s="14">
        <v>43903.708333333336</v>
      </c>
      <c r="B394" s="13" t="s">
        <v>23</v>
      </c>
      <c r="C394" s="2">
        <v>20</v>
      </c>
      <c r="D394" s="13" t="s">
        <v>57</v>
      </c>
      <c r="E394" s="2">
        <v>3921531192</v>
      </c>
      <c r="F394" s="2">
        <v>9110616306</v>
      </c>
      <c r="G394" s="2">
        <v>12</v>
      </c>
      <c r="H394" s="2">
        <v>0</v>
      </c>
      <c r="I394" s="2">
        <v>12</v>
      </c>
      <c r="J394" s="2">
        <v>31</v>
      </c>
      <c r="K394" s="2">
        <v>43</v>
      </c>
      <c r="L394" s="2">
        <v>4</v>
      </c>
      <c r="M394" s="2">
        <v>4</v>
      </c>
      <c r="N394" s="2">
        <v>0</v>
      </c>
      <c r="O394" s="2">
        <v>0</v>
      </c>
      <c r="P394" s="2">
        <v>43</v>
      </c>
      <c r="Q394" s="2">
        <v>504</v>
      </c>
      <c r="R394" s="13" t="s">
        <v>27</v>
      </c>
      <c r="S394" s="13" t="s">
        <v>27</v>
      </c>
    </row>
    <row r="395" spans="1:19" hidden="1" x14ac:dyDescent="0.3">
      <c r="A395" s="14">
        <v>43903.708333333336</v>
      </c>
      <c r="B395" s="13" t="s">
        <v>23</v>
      </c>
      <c r="C395" s="2">
        <v>19</v>
      </c>
      <c r="D395" s="13" t="s">
        <v>58</v>
      </c>
      <c r="E395" s="2">
        <v>3811569725</v>
      </c>
      <c r="F395" s="2">
        <v>133623567</v>
      </c>
      <c r="G395" s="2">
        <v>37</v>
      </c>
      <c r="H395" s="2">
        <v>7</v>
      </c>
      <c r="I395" s="2">
        <v>44</v>
      </c>
      <c r="J395" s="2">
        <v>82</v>
      </c>
      <c r="K395" s="2">
        <v>126</v>
      </c>
      <c r="L395" s="2">
        <v>15</v>
      </c>
      <c r="M395" s="2">
        <v>15</v>
      </c>
      <c r="N395" s="2">
        <v>2</v>
      </c>
      <c r="O395" s="2">
        <v>2</v>
      </c>
      <c r="P395" s="2">
        <v>130</v>
      </c>
      <c r="Q395" s="2">
        <v>1950</v>
      </c>
      <c r="R395" s="13" t="s">
        <v>27</v>
      </c>
      <c r="S395" s="13" t="s">
        <v>27</v>
      </c>
    </row>
    <row r="396" spans="1:19" hidden="1" x14ac:dyDescent="0.3">
      <c r="A396" s="14">
        <v>43903.708333333336</v>
      </c>
      <c r="B396" s="13" t="s">
        <v>23</v>
      </c>
      <c r="C396" s="2">
        <v>9</v>
      </c>
      <c r="D396" s="13" t="s">
        <v>59</v>
      </c>
      <c r="E396" s="2">
        <v>4376923077</v>
      </c>
      <c r="F396" s="2">
        <v>1125588885</v>
      </c>
      <c r="G396" s="2">
        <v>134</v>
      </c>
      <c r="H396" s="2">
        <v>77</v>
      </c>
      <c r="I396" s="2">
        <v>211</v>
      </c>
      <c r="J396" s="2">
        <v>244</v>
      </c>
      <c r="K396" s="2">
        <v>455</v>
      </c>
      <c r="L396" s="2">
        <v>103</v>
      </c>
      <c r="M396" s="2">
        <v>106</v>
      </c>
      <c r="N396" s="2">
        <v>10</v>
      </c>
      <c r="O396" s="2">
        <v>5</v>
      </c>
      <c r="P396" s="2">
        <v>470</v>
      </c>
      <c r="Q396" s="2">
        <v>4049</v>
      </c>
      <c r="R396" s="13" t="s">
        <v>27</v>
      </c>
      <c r="S396" s="13" t="s">
        <v>27</v>
      </c>
    </row>
    <row r="397" spans="1:19" hidden="1" x14ac:dyDescent="0.3">
      <c r="A397" s="14">
        <v>43903.708333333336</v>
      </c>
      <c r="B397" s="13" t="s">
        <v>23</v>
      </c>
      <c r="C397" s="2">
        <v>4</v>
      </c>
      <c r="D397" s="13" t="s">
        <v>60</v>
      </c>
      <c r="E397" s="2">
        <v>4606893511</v>
      </c>
      <c r="F397" s="2">
        <v>1112123097</v>
      </c>
      <c r="G397" s="2">
        <v>58</v>
      </c>
      <c r="H397" s="2">
        <v>6</v>
      </c>
      <c r="I397" s="2">
        <v>64</v>
      </c>
      <c r="J397" s="2">
        <v>93</v>
      </c>
      <c r="K397" s="2">
        <v>157</v>
      </c>
      <c r="L397" s="2">
        <v>55</v>
      </c>
      <c r="M397" s="2">
        <v>56</v>
      </c>
      <c r="N397" s="2">
        <v>4</v>
      </c>
      <c r="O397" s="2">
        <v>2</v>
      </c>
      <c r="P397" s="2">
        <v>163</v>
      </c>
      <c r="Q397" s="2">
        <v>846</v>
      </c>
      <c r="R397" s="13" t="s">
        <v>27</v>
      </c>
      <c r="S397" s="13" t="s">
        <v>27</v>
      </c>
    </row>
    <row r="398" spans="1:19" hidden="1" x14ac:dyDescent="0.3">
      <c r="A398" s="14">
        <v>43903.708333333336</v>
      </c>
      <c r="B398" s="13" t="s">
        <v>23</v>
      </c>
      <c r="C398" s="2">
        <v>10</v>
      </c>
      <c r="D398" s="13" t="s">
        <v>61</v>
      </c>
      <c r="E398" s="2">
        <v>4310675841</v>
      </c>
      <c r="F398" s="2">
        <v>1238824698</v>
      </c>
      <c r="G398" s="2">
        <v>11</v>
      </c>
      <c r="H398" s="2">
        <v>10</v>
      </c>
      <c r="I398" s="2">
        <v>21</v>
      </c>
      <c r="J398" s="2">
        <v>52</v>
      </c>
      <c r="K398" s="2">
        <v>73</v>
      </c>
      <c r="L398" s="2">
        <v>11</v>
      </c>
      <c r="M398" s="2">
        <v>12</v>
      </c>
      <c r="N398" s="2">
        <v>2</v>
      </c>
      <c r="O398" s="2">
        <v>1</v>
      </c>
      <c r="P398" s="2">
        <v>76</v>
      </c>
      <c r="Q398" s="2">
        <v>576</v>
      </c>
      <c r="R398" s="13" t="s">
        <v>27</v>
      </c>
      <c r="S398" s="13" t="s">
        <v>27</v>
      </c>
    </row>
    <row r="399" spans="1:19" hidden="1" x14ac:dyDescent="0.3">
      <c r="A399" s="14">
        <v>43903.708333333336</v>
      </c>
      <c r="B399" s="13" t="s">
        <v>23</v>
      </c>
      <c r="C399" s="2">
        <v>2</v>
      </c>
      <c r="D399" s="13" t="s">
        <v>62</v>
      </c>
      <c r="E399" s="2">
        <v>4573750286</v>
      </c>
      <c r="F399" s="2">
        <v>7320149366</v>
      </c>
      <c r="G399" s="2">
        <v>6</v>
      </c>
      <c r="H399" s="2">
        <v>0</v>
      </c>
      <c r="I399" s="2">
        <v>6</v>
      </c>
      <c r="J399" s="2">
        <v>21</v>
      </c>
      <c r="K399" s="2">
        <v>27</v>
      </c>
      <c r="L399" s="2">
        <v>1</v>
      </c>
      <c r="M399" s="2">
        <v>1</v>
      </c>
      <c r="N399" s="2">
        <v>0</v>
      </c>
      <c r="O399" s="2">
        <v>1</v>
      </c>
      <c r="P399" s="2">
        <v>28</v>
      </c>
      <c r="Q399" s="2">
        <v>189</v>
      </c>
      <c r="R399" s="13" t="s">
        <v>27</v>
      </c>
      <c r="S399" s="13" t="s">
        <v>27</v>
      </c>
    </row>
    <row r="400" spans="1:19" hidden="1" x14ac:dyDescent="0.3">
      <c r="A400" s="14">
        <v>43903.708333333336</v>
      </c>
      <c r="B400" s="13" t="s">
        <v>23</v>
      </c>
      <c r="C400" s="2">
        <v>5</v>
      </c>
      <c r="D400" s="13" t="s">
        <v>63</v>
      </c>
      <c r="E400" s="2">
        <v>4543490485</v>
      </c>
      <c r="F400" s="2">
        <v>1233845213</v>
      </c>
      <c r="G400" s="2">
        <v>366</v>
      </c>
      <c r="H400" s="2">
        <v>107</v>
      </c>
      <c r="I400" s="2">
        <v>473</v>
      </c>
      <c r="J400" s="2">
        <v>980</v>
      </c>
      <c r="K400" s="2">
        <v>1453</v>
      </c>
      <c r="L400" s="2">
        <v>156</v>
      </c>
      <c r="M400" s="2">
        <v>211</v>
      </c>
      <c r="N400" s="2">
        <v>100</v>
      </c>
      <c r="O400" s="2">
        <v>42</v>
      </c>
      <c r="P400" s="2">
        <v>1595</v>
      </c>
      <c r="Q400" s="2">
        <v>25691</v>
      </c>
      <c r="R400" s="13" t="s">
        <v>27</v>
      </c>
      <c r="S400" s="13" t="s">
        <v>27</v>
      </c>
    </row>
    <row r="401" spans="1:19" hidden="1" x14ac:dyDescent="0.3">
      <c r="A401" s="14">
        <v>43904.708333333336</v>
      </c>
      <c r="B401" s="13" t="s">
        <v>23</v>
      </c>
      <c r="C401" s="2">
        <v>13</v>
      </c>
      <c r="D401" s="13" t="s">
        <v>44</v>
      </c>
      <c r="E401" s="2">
        <v>4235122196</v>
      </c>
      <c r="F401" s="2">
        <v>1339843823</v>
      </c>
      <c r="G401" s="2">
        <v>51</v>
      </c>
      <c r="H401" s="2">
        <v>14</v>
      </c>
      <c r="I401" s="2">
        <v>65</v>
      </c>
      <c r="J401" s="2">
        <v>41</v>
      </c>
      <c r="K401" s="2">
        <v>106</v>
      </c>
      <c r="L401" s="2">
        <v>23</v>
      </c>
      <c r="M401" s="2">
        <v>23</v>
      </c>
      <c r="N401" s="2">
        <v>4</v>
      </c>
      <c r="O401" s="2">
        <v>2</v>
      </c>
      <c r="P401" s="2">
        <v>112</v>
      </c>
      <c r="Q401" s="2">
        <v>1232</v>
      </c>
      <c r="R401" s="13" t="s">
        <v>27</v>
      </c>
      <c r="S401" s="13" t="s">
        <v>27</v>
      </c>
    </row>
    <row r="402" spans="1:19" hidden="1" x14ac:dyDescent="0.3">
      <c r="A402" s="14">
        <v>43904.708333333336</v>
      </c>
      <c r="B402" s="13" t="s">
        <v>23</v>
      </c>
      <c r="C402" s="2">
        <v>17</v>
      </c>
      <c r="D402" s="13" t="s">
        <v>45</v>
      </c>
      <c r="E402" s="2">
        <v>4063947052</v>
      </c>
      <c r="F402" s="2">
        <v>1580514834</v>
      </c>
      <c r="G402" s="2">
        <v>0</v>
      </c>
      <c r="H402" s="2">
        <v>2</v>
      </c>
      <c r="I402" s="2">
        <v>2</v>
      </c>
      <c r="J402" s="2">
        <v>8</v>
      </c>
      <c r="K402" s="2">
        <v>10</v>
      </c>
      <c r="L402" s="2">
        <v>0</v>
      </c>
      <c r="M402" s="2">
        <v>0</v>
      </c>
      <c r="N402" s="2">
        <v>0</v>
      </c>
      <c r="O402" s="2">
        <v>0</v>
      </c>
      <c r="P402" s="2">
        <v>10</v>
      </c>
      <c r="Q402" s="2">
        <v>155</v>
      </c>
      <c r="R402" s="13" t="s">
        <v>27</v>
      </c>
      <c r="S402" s="13" t="s">
        <v>27</v>
      </c>
    </row>
    <row r="403" spans="1:19" hidden="1" x14ac:dyDescent="0.3">
      <c r="A403" s="14">
        <v>43904.708333333336</v>
      </c>
      <c r="B403" s="13" t="s">
        <v>23</v>
      </c>
      <c r="C403" s="2">
        <v>4</v>
      </c>
      <c r="D403" s="13" t="s">
        <v>46</v>
      </c>
      <c r="E403" s="2">
        <v>4649933453</v>
      </c>
      <c r="F403" s="2">
        <v>1135662422</v>
      </c>
      <c r="G403" s="2">
        <v>26</v>
      </c>
      <c r="H403" s="2">
        <v>7</v>
      </c>
      <c r="I403" s="2">
        <v>33</v>
      </c>
      <c r="J403" s="2">
        <v>137</v>
      </c>
      <c r="K403" s="2">
        <v>170</v>
      </c>
      <c r="L403" s="2">
        <v>47</v>
      </c>
      <c r="M403" s="2">
        <v>48</v>
      </c>
      <c r="N403" s="2">
        <v>0</v>
      </c>
      <c r="O403" s="2">
        <v>3</v>
      </c>
      <c r="P403" s="2">
        <v>173</v>
      </c>
      <c r="Q403" s="2">
        <v>1135</v>
      </c>
      <c r="R403" s="13" t="s">
        <v>27</v>
      </c>
      <c r="S403" s="13" t="s">
        <v>27</v>
      </c>
    </row>
    <row r="404" spans="1:19" hidden="1" x14ac:dyDescent="0.3">
      <c r="A404" s="14">
        <v>43904.708333333336</v>
      </c>
      <c r="B404" s="13" t="s">
        <v>23</v>
      </c>
      <c r="C404" s="2">
        <v>18</v>
      </c>
      <c r="D404" s="13" t="s">
        <v>47</v>
      </c>
      <c r="E404" s="2">
        <v>3890597598</v>
      </c>
      <c r="F404" s="2">
        <v>1659440194</v>
      </c>
      <c r="G404" s="2">
        <v>22</v>
      </c>
      <c r="H404" s="2">
        <v>4</v>
      </c>
      <c r="I404" s="2">
        <v>26</v>
      </c>
      <c r="J404" s="2">
        <v>33</v>
      </c>
      <c r="K404" s="2">
        <v>59</v>
      </c>
      <c r="L404" s="2">
        <v>22</v>
      </c>
      <c r="M404" s="2">
        <v>22</v>
      </c>
      <c r="N404" s="2">
        <v>1</v>
      </c>
      <c r="O404" s="2">
        <v>0</v>
      </c>
      <c r="P404" s="2">
        <v>60</v>
      </c>
      <c r="Q404" s="2">
        <v>711</v>
      </c>
      <c r="R404" s="13" t="s">
        <v>27</v>
      </c>
      <c r="S404" s="13" t="s">
        <v>27</v>
      </c>
    </row>
    <row r="405" spans="1:19" hidden="1" x14ac:dyDescent="0.3">
      <c r="A405" s="14">
        <v>43904.708333333336</v>
      </c>
      <c r="B405" s="13" t="s">
        <v>23</v>
      </c>
      <c r="C405" s="2">
        <v>15</v>
      </c>
      <c r="D405" s="13" t="s">
        <v>48</v>
      </c>
      <c r="E405" s="2">
        <v>4083956555</v>
      </c>
      <c r="F405" s="2">
        <v>1425084984</v>
      </c>
      <c r="G405" s="2">
        <v>72</v>
      </c>
      <c r="H405" s="2">
        <v>17</v>
      </c>
      <c r="I405" s="2">
        <v>89</v>
      </c>
      <c r="J405" s="2">
        <v>154</v>
      </c>
      <c r="K405" s="2">
        <v>243</v>
      </c>
      <c r="L405" s="2">
        <v>30</v>
      </c>
      <c r="M405" s="2">
        <v>52</v>
      </c>
      <c r="N405" s="2">
        <v>23</v>
      </c>
      <c r="O405" s="2">
        <v>6</v>
      </c>
      <c r="P405" s="2">
        <v>272</v>
      </c>
      <c r="Q405" s="2">
        <v>1936</v>
      </c>
      <c r="R405" s="13" t="s">
        <v>27</v>
      </c>
      <c r="S405" s="13" t="s">
        <v>27</v>
      </c>
    </row>
    <row r="406" spans="1:19" hidden="1" x14ac:dyDescent="0.3">
      <c r="A406" s="14">
        <v>43904.708333333336</v>
      </c>
      <c r="B406" s="13" t="s">
        <v>23</v>
      </c>
      <c r="C406" s="2">
        <v>8</v>
      </c>
      <c r="D406" s="13" t="s">
        <v>98</v>
      </c>
      <c r="E406" s="2">
        <v>4449436681</v>
      </c>
      <c r="F406" s="2">
        <v>113417208</v>
      </c>
      <c r="G406" s="2">
        <v>1076</v>
      </c>
      <c r="H406" s="2">
        <v>152</v>
      </c>
      <c r="I406" s="2">
        <v>1228</v>
      </c>
      <c r="J406" s="2">
        <v>1121</v>
      </c>
      <c r="K406" s="2">
        <v>2349</v>
      </c>
      <c r="L406" s="2">
        <v>338</v>
      </c>
      <c r="M406" s="2">
        <v>381</v>
      </c>
      <c r="N406" s="2">
        <v>54</v>
      </c>
      <c r="O406" s="2">
        <v>241</v>
      </c>
      <c r="P406" s="2">
        <v>2644</v>
      </c>
      <c r="Q406" s="2">
        <v>10043</v>
      </c>
      <c r="R406" s="13" t="s">
        <v>27</v>
      </c>
      <c r="S406" s="13" t="s">
        <v>27</v>
      </c>
    </row>
    <row r="407" spans="1:19" hidden="1" x14ac:dyDescent="0.3">
      <c r="A407" s="14">
        <v>43904.708333333336</v>
      </c>
      <c r="B407" s="13" t="s">
        <v>23</v>
      </c>
      <c r="C407" s="2">
        <v>6</v>
      </c>
      <c r="D407" s="13" t="s">
        <v>49</v>
      </c>
      <c r="E407" s="2">
        <v>456494354</v>
      </c>
      <c r="F407" s="2">
        <v>1376813649</v>
      </c>
      <c r="G407" s="2">
        <v>67</v>
      </c>
      <c r="H407" s="2">
        <v>11</v>
      </c>
      <c r="I407" s="2">
        <v>78</v>
      </c>
      <c r="J407" s="2">
        <v>193</v>
      </c>
      <c r="K407" s="2">
        <v>271</v>
      </c>
      <c r="L407" s="2">
        <v>35</v>
      </c>
      <c r="M407" s="2">
        <v>44</v>
      </c>
      <c r="N407" s="2">
        <v>17</v>
      </c>
      <c r="O407" s="2">
        <v>13</v>
      </c>
      <c r="P407" s="2">
        <v>301</v>
      </c>
      <c r="Q407" s="2">
        <v>3376</v>
      </c>
      <c r="R407" s="13" t="s">
        <v>27</v>
      </c>
      <c r="S407" s="13" t="s">
        <v>27</v>
      </c>
    </row>
    <row r="408" spans="1:19" hidden="1" x14ac:dyDescent="0.3">
      <c r="A408" s="14">
        <v>43904.708333333336</v>
      </c>
      <c r="B408" s="13" t="s">
        <v>23</v>
      </c>
      <c r="C408" s="2">
        <v>12</v>
      </c>
      <c r="D408" s="13" t="s">
        <v>50</v>
      </c>
      <c r="E408" s="2">
        <v>4189277044</v>
      </c>
      <c r="F408" s="2">
        <v>1248366722</v>
      </c>
      <c r="G408" s="2">
        <v>181</v>
      </c>
      <c r="H408" s="2">
        <v>25</v>
      </c>
      <c r="I408" s="2">
        <v>206</v>
      </c>
      <c r="J408" s="2">
        <v>114</v>
      </c>
      <c r="K408" s="2">
        <v>320</v>
      </c>
      <c r="L408" s="2">
        <v>78</v>
      </c>
      <c r="M408" s="2">
        <v>80</v>
      </c>
      <c r="N408" s="2">
        <v>24</v>
      </c>
      <c r="O408" s="2">
        <v>13</v>
      </c>
      <c r="P408" s="2">
        <v>357</v>
      </c>
      <c r="Q408" s="2">
        <v>7335</v>
      </c>
      <c r="R408" s="13" t="s">
        <v>27</v>
      </c>
      <c r="S408" s="13" t="s">
        <v>27</v>
      </c>
    </row>
    <row r="409" spans="1:19" hidden="1" x14ac:dyDescent="0.3">
      <c r="A409" s="14">
        <v>43904.708333333336</v>
      </c>
      <c r="B409" s="13" t="s">
        <v>23</v>
      </c>
      <c r="C409" s="2">
        <v>7</v>
      </c>
      <c r="D409" s="13" t="s">
        <v>51</v>
      </c>
      <c r="E409" s="2">
        <v>4441149315</v>
      </c>
      <c r="F409" s="2">
        <v>89326992</v>
      </c>
      <c r="G409" s="2">
        <v>213</v>
      </c>
      <c r="H409" s="2">
        <v>62</v>
      </c>
      <c r="I409" s="2">
        <v>275</v>
      </c>
      <c r="J409" s="2">
        <v>109</v>
      </c>
      <c r="K409" s="2">
        <v>384</v>
      </c>
      <c r="L409" s="2">
        <v>80</v>
      </c>
      <c r="M409" s="2">
        <v>118</v>
      </c>
      <c r="N409" s="2">
        <v>52</v>
      </c>
      <c r="O409" s="2">
        <v>27</v>
      </c>
      <c r="P409" s="2">
        <v>463</v>
      </c>
      <c r="Q409" s="2">
        <v>1750</v>
      </c>
      <c r="R409" s="13" t="s">
        <v>27</v>
      </c>
      <c r="S409" s="13" t="s">
        <v>27</v>
      </c>
    </row>
    <row r="410" spans="1:19" x14ac:dyDescent="0.3">
      <c r="A410" s="14">
        <v>43904.708333333336</v>
      </c>
      <c r="B410" s="13" t="s">
        <v>23</v>
      </c>
      <c r="C410" s="2">
        <v>3</v>
      </c>
      <c r="D410" s="13" t="s">
        <v>52</v>
      </c>
      <c r="E410" s="2">
        <v>4546679409</v>
      </c>
      <c r="F410" s="2">
        <v>9190347404</v>
      </c>
      <c r="G410" s="2">
        <v>4898</v>
      </c>
      <c r="H410" s="2">
        <v>732</v>
      </c>
      <c r="I410" s="2">
        <v>5630</v>
      </c>
      <c r="J410" s="2">
        <v>3429</v>
      </c>
      <c r="K410" s="2">
        <v>9059</v>
      </c>
      <c r="L410" s="2">
        <v>1327</v>
      </c>
      <c r="M410" s="2">
        <v>1865</v>
      </c>
      <c r="N410" s="2">
        <v>1660</v>
      </c>
      <c r="O410" s="2">
        <v>966</v>
      </c>
      <c r="P410" s="2">
        <v>11685</v>
      </c>
      <c r="Q410" s="2">
        <v>37138</v>
      </c>
      <c r="R410" s="13" t="s">
        <v>27</v>
      </c>
      <c r="S410" s="13" t="s">
        <v>27</v>
      </c>
    </row>
    <row r="411" spans="1:19" hidden="1" x14ac:dyDescent="0.3">
      <c r="A411" s="14">
        <v>43904.708333333336</v>
      </c>
      <c r="B411" s="13" t="s">
        <v>23</v>
      </c>
      <c r="C411" s="2">
        <v>11</v>
      </c>
      <c r="D411" s="13" t="s">
        <v>53</v>
      </c>
      <c r="E411" s="2">
        <v>4361675973</v>
      </c>
      <c r="F411" s="2">
        <v>135188753</v>
      </c>
      <c r="G411" s="2">
        <v>449</v>
      </c>
      <c r="H411" s="2">
        <v>93</v>
      </c>
      <c r="I411" s="2">
        <v>542</v>
      </c>
      <c r="J411" s="2">
        <v>321</v>
      </c>
      <c r="K411" s="2">
        <v>863</v>
      </c>
      <c r="L411" s="2">
        <v>165</v>
      </c>
      <c r="M411" s="2">
        <v>174</v>
      </c>
      <c r="N411" s="2">
        <v>0</v>
      </c>
      <c r="O411" s="2">
        <v>36</v>
      </c>
      <c r="P411" s="2">
        <v>899</v>
      </c>
      <c r="Q411" s="2">
        <v>2561</v>
      </c>
      <c r="R411" s="13" t="s">
        <v>27</v>
      </c>
      <c r="S411" s="13" t="s">
        <v>27</v>
      </c>
    </row>
    <row r="412" spans="1:19" hidden="1" x14ac:dyDescent="0.3">
      <c r="A412" s="14">
        <v>43904.708333333336</v>
      </c>
      <c r="B412" s="13" t="s">
        <v>23</v>
      </c>
      <c r="C412" s="2">
        <v>14</v>
      </c>
      <c r="D412" s="13" t="s">
        <v>54</v>
      </c>
      <c r="E412" s="2">
        <v>4155774754</v>
      </c>
      <c r="F412" s="2">
        <v>1465916051</v>
      </c>
      <c r="G412" s="2">
        <v>5</v>
      </c>
      <c r="H412" s="2">
        <v>3</v>
      </c>
      <c r="I412" s="2">
        <v>8</v>
      </c>
      <c r="J412" s="2">
        <v>9</v>
      </c>
      <c r="K412" s="2">
        <v>17</v>
      </c>
      <c r="L412" s="2">
        <v>0</v>
      </c>
      <c r="M412" s="2">
        <v>0</v>
      </c>
      <c r="N412" s="2">
        <v>0</v>
      </c>
      <c r="O412" s="2">
        <v>0</v>
      </c>
      <c r="P412" s="2">
        <v>17</v>
      </c>
      <c r="Q412" s="2">
        <v>247</v>
      </c>
      <c r="R412" s="13" t="s">
        <v>27</v>
      </c>
      <c r="S412" s="13" t="s">
        <v>27</v>
      </c>
    </row>
    <row r="413" spans="1:19" hidden="1" x14ac:dyDescent="0.3">
      <c r="A413" s="14">
        <v>43904.708333333336</v>
      </c>
      <c r="B413" s="13" t="s">
        <v>23</v>
      </c>
      <c r="C413" s="2">
        <v>1</v>
      </c>
      <c r="D413" s="13" t="s">
        <v>55</v>
      </c>
      <c r="E413" s="2">
        <v>450732745</v>
      </c>
      <c r="F413" s="2">
        <v>7680687483</v>
      </c>
      <c r="G413" s="2">
        <v>538</v>
      </c>
      <c r="H413" s="2">
        <v>150</v>
      </c>
      <c r="I413" s="2">
        <v>688</v>
      </c>
      <c r="J413" s="2">
        <v>126</v>
      </c>
      <c r="K413" s="2">
        <v>814</v>
      </c>
      <c r="L413" s="2">
        <v>20</v>
      </c>
      <c r="M413" s="2">
        <v>33</v>
      </c>
      <c r="N413" s="2">
        <v>0</v>
      </c>
      <c r="O413" s="2">
        <v>59</v>
      </c>
      <c r="P413" s="2">
        <v>873</v>
      </c>
      <c r="Q413" s="2">
        <v>3680</v>
      </c>
      <c r="R413" s="13" t="s">
        <v>27</v>
      </c>
      <c r="S413" s="13" t="s">
        <v>27</v>
      </c>
    </row>
    <row r="414" spans="1:19" hidden="1" x14ac:dyDescent="0.3">
      <c r="A414" s="14">
        <v>43904.708333333336</v>
      </c>
      <c r="B414" s="13" t="s">
        <v>23</v>
      </c>
      <c r="C414" s="2">
        <v>16</v>
      </c>
      <c r="D414" s="13" t="s">
        <v>56</v>
      </c>
      <c r="E414" s="2">
        <v>4112559576</v>
      </c>
      <c r="F414" s="2">
        <v>1686736689</v>
      </c>
      <c r="G414" s="2">
        <v>91</v>
      </c>
      <c r="H414" s="2">
        <v>6</v>
      </c>
      <c r="I414" s="2">
        <v>97</v>
      </c>
      <c r="J414" s="2">
        <v>59</v>
      </c>
      <c r="K414" s="2">
        <v>156</v>
      </c>
      <c r="L414" s="2">
        <v>35</v>
      </c>
      <c r="M414" s="2">
        <v>37</v>
      </c>
      <c r="N414" s="2">
        <v>2</v>
      </c>
      <c r="O414" s="2">
        <v>8</v>
      </c>
      <c r="P414" s="2">
        <v>166</v>
      </c>
      <c r="Q414" s="2">
        <v>1681</v>
      </c>
      <c r="R414" s="13" t="s">
        <v>27</v>
      </c>
      <c r="S414" s="13" t="s">
        <v>27</v>
      </c>
    </row>
    <row r="415" spans="1:19" hidden="1" x14ac:dyDescent="0.3">
      <c r="A415" s="14">
        <v>43904.708333333336</v>
      </c>
      <c r="B415" s="13" t="s">
        <v>23</v>
      </c>
      <c r="C415" s="2">
        <v>20</v>
      </c>
      <c r="D415" s="13" t="s">
        <v>57</v>
      </c>
      <c r="E415" s="2">
        <v>3921531192</v>
      </c>
      <c r="F415" s="2">
        <v>9110616306</v>
      </c>
      <c r="G415" s="2">
        <v>14</v>
      </c>
      <c r="H415" s="2">
        <v>0</v>
      </c>
      <c r="I415" s="2">
        <v>14</v>
      </c>
      <c r="J415" s="2">
        <v>33</v>
      </c>
      <c r="K415" s="2">
        <v>47</v>
      </c>
      <c r="L415" s="2">
        <v>4</v>
      </c>
      <c r="M415" s="2">
        <v>4</v>
      </c>
      <c r="N415" s="2">
        <v>0</v>
      </c>
      <c r="O415" s="2">
        <v>0</v>
      </c>
      <c r="P415" s="2">
        <v>47</v>
      </c>
      <c r="Q415" s="2">
        <v>530</v>
      </c>
      <c r="R415" s="13" t="s">
        <v>27</v>
      </c>
      <c r="S415" s="13" t="s">
        <v>27</v>
      </c>
    </row>
    <row r="416" spans="1:19" hidden="1" x14ac:dyDescent="0.3">
      <c r="A416" s="14">
        <v>43904.708333333336</v>
      </c>
      <c r="B416" s="13" t="s">
        <v>23</v>
      </c>
      <c r="C416" s="2">
        <v>19</v>
      </c>
      <c r="D416" s="13" t="s">
        <v>58</v>
      </c>
      <c r="E416" s="2">
        <v>3811569725</v>
      </c>
      <c r="F416" s="2">
        <v>133623567</v>
      </c>
      <c r="G416" s="2">
        <v>42</v>
      </c>
      <c r="H416" s="2">
        <v>11</v>
      </c>
      <c r="I416" s="2">
        <v>53</v>
      </c>
      <c r="J416" s="2">
        <v>97</v>
      </c>
      <c r="K416" s="2">
        <v>150</v>
      </c>
      <c r="L416" s="2">
        <v>24</v>
      </c>
      <c r="M416" s="2">
        <v>26</v>
      </c>
      <c r="N416" s="2">
        <v>4</v>
      </c>
      <c r="O416" s="2">
        <v>2</v>
      </c>
      <c r="P416" s="2">
        <v>156</v>
      </c>
      <c r="Q416" s="2">
        <v>2100</v>
      </c>
      <c r="R416" s="13" t="s">
        <v>27</v>
      </c>
      <c r="S416" s="13" t="s">
        <v>27</v>
      </c>
    </row>
    <row r="417" spans="1:19" hidden="1" x14ac:dyDescent="0.3">
      <c r="A417" s="14">
        <v>43904.708333333336</v>
      </c>
      <c r="B417" s="13" t="s">
        <v>23</v>
      </c>
      <c r="C417" s="2">
        <v>9</v>
      </c>
      <c r="D417" s="13" t="s">
        <v>59</v>
      </c>
      <c r="E417" s="2">
        <v>4376923077</v>
      </c>
      <c r="F417" s="2">
        <v>1125588885</v>
      </c>
      <c r="G417" s="2">
        <v>160</v>
      </c>
      <c r="H417" s="2">
        <v>87</v>
      </c>
      <c r="I417" s="2">
        <v>247</v>
      </c>
      <c r="J417" s="2">
        <v>367</v>
      </c>
      <c r="K417" s="2">
        <v>614</v>
      </c>
      <c r="L417" s="2">
        <v>159</v>
      </c>
      <c r="M417" s="2">
        <v>160</v>
      </c>
      <c r="N417" s="2">
        <v>10</v>
      </c>
      <c r="O417" s="2">
        <v>6</v>
      </c>
      <c r="P417" s="2">
        <v>630</v>
      </c>
      <c r="Q417" s="2">
        <v>4595</v>
      </c>
      <c r="R417" s="13" t="s">
        <v>27</v>
      </c>
      <c r="S417" s="13" t="s">
        <v>27</v>
      </c>
    </row>
    <row r="418" spans="1:19" hidden="1" x14ac:dyDescent="0.3">
      <c r="A418" s="14">
        <v>43904.708333333336</v>
      </c>
      <c r="B418" s="13" t="s">
        <v>23</v>
      </c>
      <c r="C418" s="2">
        <v>4</v>
      </c>
      <c r="D418" s="13" t="s">
        <v>60</v>
      </c>
      <c r="E418" s="2">
        <v>4606893511</v>
      </c>
      <c r="F418" s="2">
        <v>1112123097</v>
      </c>
      <c r="G418" s="2">
        <v>68</v>
      </c>
      <c r="H418" s="2">
        <v>12</v>
      </c>
      <c r="I418" s="2">
        <v>80</v>
      </c>
      <c r="J418" s="2">
        <v>119</v>
      </c>
      <c r="K418" s="2">
        <v>199</v>
      </c>
      <c r="L418" s="2">
        <v>42</v>
      </c>
      <c r="M418" s="2">
        <v>43</v>
      </c>
      <c r="N418" s="2">
        <v>5</v>
      </c>
      <c r="O418" s="2">
        <v>2</v>
      </c>
      <c r="P418" s="2">
        <v>206</v>
      </c>
      <c r="Q418" s="2">
        <v>1006</v>
      </c>
      <c r="R418" s="13" t="s">
        <v>27</v>
      </c>
      <c r="S418" s="13" t="s">
        <v>27</v>
      </c>
    </row>
    <row r="419" spans="1:19" hidden="1" x14ac:dyDescent="0.3">
      <c r="A419" s="14">
        <v>43904.708333333336</v>
      </c>
      <c r="B419" s="13" t="s">
        <v>23</v>
      </c>
      <c r="C419" s="2">
        <v>10</v>
      </c>
      <c r="D419" s="13" t="s">
        <v>61</v>
      </c>
      <c r="E419" s="2">
        <v>4310675841</v>
      </c>
      <c r="F419" s="2">
        <v>1238824698</v>
      </c>
      <c r="G419" s="2">
        <v>21</v>
      </c>
      <c r="H419" s="2">
        <v>11</v>
      </c>
      <c r="I419" s="2">
        <v>32</v>
      </c>
      <c r="J419" s="2">
        <v>71</v>
      </c>
      <c r="K419" s="2">
        <v>103</v>
      </c>
      <c r="L419" s="2">
        <v>30</v>
      </c>
      <c r="M419" s="2">
        <v>31</v>
      </c>
      <c r="N419" s="2">
        <v>3</v>
      </c>
      <c r="O419" s="2">
        <v>1</v>
      </c>
      <c r="P419" s="2">
        <v>107</v>
      </c>
      <c r="Q419" s="2">
        <v>748</v>
      </c>
      <c r="R419" s="13" t="s">
        <v>27</v>
      </c>
      <c r="S419" s="13" t="s">
        <v>27</v>
      </c>
    </row>
    <row r="420" spans="1:19" hidden="1" x14ac:dyDescent="0.3">
      <c r="A420" s="14">
        <v>43904.708333333336</v>
      </c>
      <c r="B420" s="13" t="s">
        <v>23</v>
      </c>
      <c r="C420" s="2">
        <v>2</v>
      </c>
      <c r="D420" s="13" t="s">
        <v>62</v>
      </c>
      <c r="E420" s="2">
        <v>4573750286</v>
      </c>
      <c r="F420" s="2">
        <v>7320149366</v>
      </c>
      <c r="G420" s="2">
        <v>12</v>
      </c>
      <c r="H420" s="2">
        <v>0</v>
      </c>
      <c r="I420" s="2">
        <v>12</v>
      </c>
      <c r="J420" s="2">
        <v>29</v>
      </c>
      <c r="K420" s="2">
        <v>41</v>
      </c>
      <c r="L420" s="2">
        <v>14</v>
      </c>
      <c r="M420" s="2">
        <v>14</v>
      </c>
      <c r="N420" s="2">
        <v>0</v>
      </c>
      <c r="O420" s="2">
        <v>1</v>
      </c>
      <c r="P420" s="2">
        <v>42</v>
      </c>
      <c r="Q420" s="2">
        <v>231</v>
      </c>
      <c r="R420" s="13" t="s">
        <v>27</v>
      </c>
      <c r="S420" s="13" t="s">
        <v>27</v>
      </c>
    </row>
    <row r="421" spans="1:19" hidden="1" x14ac:dyDescent="0.3">
      <c r="A421" s="14">
        <v>43904.708333333336</v>
      </c>
      <c r="B421" s="13" t="s">
        <v>23</v>
      </c>
      <c r="C421" s="2">
        <v>5</v>
      </c>
      <c r="D421" s="13" t="s">
        <v>63</v>
      </c>
      <c r="E421" s="2">
        <v>4543490485</v>
      </c>
      <c r="F421" s="2">
        <v>1233845213</v>
      </c>
      <c r="G421" s="2">
        <v>366</v>
      </c>
      <c r="H421" s="2">
        <v>119</v>
      </c>
      <c r="I421" s="2">
        <v>485</v>
      </c>
      <c r="J421" s="2">
        <v>1290</v>
      </c>
      <c r="K421" s="2">
        <v>1775</v>
      </c>
      <c r="L421" s="2">
        <v>322</v>
      </c>
      <c r="M421" s="2">
        <v>342</v>
      </c>
      <c r="N421" s="2">
        <v>107</v>
      </c>
      <c r="O421" s="2">
        <v>55</v>
      </c>
      <c r="P421" s="2">
        <v>1937</v>
      </c>
      <c r="Q421" s="2">
        <v>26980</v>
      </c>
      <c r="R421" s="13" t="s">
        <v>27</v>
      </c>
      <c r="S421" s="13" t="s">
        <v>27</v>
      </c>
    </row>
    <row r="422" spans="1:19" hidden="1" x14ac:dyDescent="0.3">
      <c r="A422" s="14">
        <v>43905.708333333336</v>
      </c>
      <c r="B422" s="13" t="s">
        <v>23</v>
      </c>
      <c r="C422" s="2">
        <v>13</v>
      </c>
      <c r="D422" s="13" t="s">
        <v>44</v>
      </c>
      <c r="E422" s="2">
        <v>4235122196</v>
      </c>
      <c r="F422" s="2">
        <v>1339843823</v>
      </c>
      <c r="G422" s="2">
        <v>72</v>
      </c>
      <c r="H422" s="2">
        <v>28</v>
      </c>
      <c r="I422" s="2">
        <v>100</v>
      </c>
      <c r="J422" s="2">
        <v>28</v>
      </c>
      <c r="K422" s="2">
        <v>128</v>
      </c>
      <c r="L422" s="2">
        <v>22</v>
      </c>
      <c r="M422" s="2">
        <v>25</v>
      </c>
      <c r="N422" s="2">
        <v>6</v>
      </c>
      <c r="O422" s="2">
        <v>3</v>
      </c>
      <c r="P422" s="2">
        <v>137</v>
      </c>
      <c r="Q422" s="2">
        <v>1419</v>
      </c>
      <c r="R422" s="13" t="s">
        <v>27</v>
      </c>
      <c r="S422" s="13" t="s">
        <v>27</v>
      </c>
    </row>
    <row r="423" spans="1:19" hidden="1" x14ac:dyDescent="0.3">
      <c r="A423" s="14">
        <v>43905.708333333336</v>
      </c>
      <c r="B423" s="13" t="s">
        <v>23</v>
      </c>
      <c r="C423" s="2">
        <v>17</v>
      </c>
      <c r="D423" s="13" t="s">
        <v>45</v>
      </c>
      <c r="E423" s="2">
        <v>4063947052</v>
      </c>
      <c r="F423" s="2">
        <v>1580514834</v>
      </c>
      <c r="G423" s="2">
        <v>0</v>
      </c>
      <c r="H423" s="2">
        <v>2</v>
      </c>
      <c r="I423" s="2">
        <v>2</v>
      </c>
      <c r="J423" s="2">
        <v>9</v>
      </c>
      <c r="K423" s="2">
        <v>11</v>
      </c>
      <c r="L423" s="2">
        <v>1</v>
      </c>
      <c r="M423" s="2">
        <v>1</v>
      </c>
      <c r="N423" s="2">
        <v>0</v>
      </c>
      <c r="O423" s="2">
        <v>0</v>
      </c>
      <c r="P423" s="2">
        <v>11</v>
      </c>
      <c r="Q423" s="2">
        <v>208</v>
      </c>
      <c r="R423" s="13" t="s">
        <v>27</v>
      </c>
      <c r="S423" s="13" t="s">
        <v>27</v>
      </c>
    </row>
    <row r="424" spans="1:19" hidden="1" x14ac:dyDescent="0.3">
      <c r="A424" s="14">
        <v>43905.708333333336</v>
      </c>
      <c r="B424" s="13" t="s">
        <v>23</v>
      </c>
      <c r="C424" s="2">
        <v>4</v>
      </c>
      <c r="D424" s="13" t="s">
        <v>46</v>
      </c>
      <c r="E424" s="2">
        <v>4649933453</v>
      </c>
      <c r="F424" s="2">
        <v>1135662422</v>
      </c>
      <c r="G424" s="2">
        <v>50</v>
      </c>
      <c r="H424" s="2">
        <v>4</v>
      </c>
      <c r="I424" s="2">
        <v>54</v>
      </c>
      <c r="J424" s="2">
        <v>145</v>
      </c>
      <c r="K424" s="2">
        <v>199</v>
      </c>
      <c r="L424" s="2">
        <v>29</v>
      </c>
      <c r="M424" s="2">
        <v>31</v>
      </c>
      <c r="N424" s="2">
        <v>0</v>
      </c>
      <c r="O424" s="2">
        <v>5</v>
      </c>
      <c r="P424" s="2">
        <v>204</v>
      </c>
      <c r="Q424" s="2">
        <v>1497</v>
      </c>
      <c r="R424" s="13" t="s">
        <v>27</v>
      </c>
      <c r="S424" s="13" t="s">
        <v>27</v>
      </c>
    </row>
    <row r="425" spans="1:19" hidden="1" x14ac:dyDescent="0.3">
      <c r="A425" s="14">
        <v>43905.708333333336</v>
      </c>
      <c r="B425" s="13" t="s">
        <v>23</v>
      </c>
      <c r="C425" s="2">
        <v>18</v>
      </c>
      <c r="D425" s="13" t="s">
        <v>47</v>
      </c>
      <c r="E425" s="2">
        <v>3890597598</v>
      </c>
      <c r="F425" s="2">
        <v>1659440194</v>
      </c>
      <c r="G425" s="2">
        <v>32</v>
      </c>
      <c r="H425" s="2">
        <v>6</v>
      </c>
      <c r="I425" s="2">
        <v>38</v>
      </c>
      <c r="J425" s="2">
        <v>28</v>
      </c>
      <c r="K425" s="2">
        <v>66</v>
      </c>
      <c r="L425" s="2">
        <v>7</v>
      </c>
      <c r="M425" s="2">
        <v>8</v>
      </c>
      <c r="N425" s="2">
        <v>1</v>
      </c>
      <c r="O425" s="2">
        <v>1</v>
      </c>
      <c r="P425" s="2">
        <v>68</v>
      </c>
      <c r="Q425" s="2">
        <v>884</v>
      </c>
      <c r="R425" s="13" t="s">
        <v>27</v>
      </c>
      <c r="S425" s="13" t="s">
        <v>27</v>
      </c>
    </row>
    <row r="426" spans="1:19" hidden="1" x14ac:dyDescent="0.3">
      <c r="A426" s="14">
        <v>43905.708333333336</v>
      </c>
      <c r="B426" s="13" t="s">
        <v>23</v>
      </c>
      <c r="C426" s="2">
        <v>15</v>
      </c>
      <c r="D426" s="13" t="s">
        <v>48</v>
      </c>
      <c r="E426" s="2">
        <v>4083956555</v>
      </c>
      <c r="F426" s="2">
        <v>1425084984</v>
      </c>
      <c r="G426" s="2">
        <v>73</v>
      </c>
      <c r="H426" s="2">
        <v>22</v>
      </c>
      <c r="I426" s="2">
        <v>95</v>
      </c>
      <c r="J426" s="2">
        <v>201</v>
      </c>
      <c r="K426" s="2">
        <v>296</v>
      </c>
      <c r="L426" s="2">
        <v>53</v>
      </c>
      <c r="M426" s="2">
        <v>61</v>
      </c>
      <c r="N426" s="2">
        <v>28</v>
      </c>
      <c r="O426" s="2">
        <v>9</v>
      </c>
      <c r="P426" s="2">
        <v>333</v>
      </c>
      <c r="Q426" s="2">
        <v>2213</v>
      </c>
      <c r="R426" s="13" t="s">
        <v>27</v>
      </c>
      <c r="S426" s="13" t="s">
        <v>27</v>
      </c>
    </row>
    <row r="427" spans="1:19" hidden="1" x14ac:dyDescent="0.3">
      <c r="A427" s="14">
        <v>43905.708333333336</v>
      </c>
      <c r="B427" s="13" t="s">
        <v>23</v>
      </c>
      <c r="C427" s="2">
        <v>8</v>
      </c>
      <c r="D427" s="13" t="s">
        <v>98</v>
      </c>
      <c r="E427" s="2">
        <v>4449436681</v>
      </c>
      <c r="F427" s="2">
        <v>113417208</v>
      </c>
      <c r="G427" s="2">
        <v>1215</v>
      </c>
      <c r="H427" s="2">
        <v>169</v>
      </c>
      <c r="I427" s="2">
        <v>1384</v>
      </c>
      <c r="J427" s="2">
        <v>1357</v>
      </c>
      <c r="K427" s="2">
        <v>2741</v>
      </c>
      <c r="L427" s="2">
        <v>392</v>
      </c>
      <c r="M427" s="2">
        <v>449</v>
      </c>
      <c r="N427" s="2">
        <v>68</v>
      </c>
      <c r="O427" s="2">
        <v>284</v>
      </c>
      <c r="P427" s="2">
        <v>3093</v>
      </c>
      <c r="Q427" s="2">
        <v>12054</v>
      </c>
      <c r="R427" s="13" t="s">
        <v>27</v>
      </c>
      <c r="S427" s="13" t="s">
        <v>27</v>
      </c>
    </row>
    <row r="428" spans="1:19" hidden="1" x14ac:dyDescent="0.3">
      <c r="A428" s="14">
        <v>43905.708333333336</v>
      </c>
      <c r="B428" s="13" t="s">
        <v>23</v>
      </c>
      <c r="C428" s="2">
        <v>6</v>
      </c>
      <c r="D428" s="13" t="s">
        <v>49</v>
      </c>
      <c r="E428" s="2">
        <v>456494354</v>
      </c>
      <c r="F428" s="2">
        <v>1376813649</v>
      </c>
      <c r="G428" s="2">
        <v>98</v>
      </c>
      <c r="H428" s="2">
        <v>12</v>
      </c>
      <c r="I428" s="2">
        <v>110</v>
      </c>
      <c r="J428" s="2">
        <v>206</v>
      </c>
      <c r="K428" s="2">
        <v>316</v>
      </c>
      <c r="L428" s="2">
        <v>45</v>
      </c>
      <c r="M428" s="2">
        <v>46</v>
      </c>
      <c r="N428" s="2">
        <v>17</v>
      </c>
      <c r="O428" s="2">
        <v>14</v>
      </c>
      <c r="P428" s="2">
        <v>347</v>
      </c>
      <c r="Q428" s="2">
        <v>3407</v>
      </c>
      <c r="R428" s="13" t="s">
        <v>27</v>
      </c>
      <c r="S428" s="13" t="s">
        <v>27</v>
      </c>
    </row>
    <row r="429" spans="1:19" hidden="1" x14ac:dyDescent="0.3">
      <c r="A429" s="14">
        <v>43905.708333333336</v>
      </c>
      <c r="B429" s="13" t="s">
        <v>23</v>
      </c>
      <c r="C429" s="2">
        <v>12</v>
      </c>
      <c r="D429" s="13" t="s">
        <v>50</v>
      </c>
      <c r="E429" s="2">
        <v>4189277044</v>
      </c>
      <c r="F429" s="2">
        <v>1248366722</v>
      </c>
      <c r="G429" s="2">
        <v>223</v>
      </c>
      <c r="H429" s="2">
        <v>31</v>
      </c>
      <c r="I429" s="2">
        <v>254</v>
      </c>
      <c r="J429" s="2">
        <v>142</v>
      </c>
      <c r="K429" s="2">
        <v>396</v>
      </c>
      <c r="L429" s="2">
        <v>76</v>
      </c>
      <c r="M429" s="2">
        <v>79</v>
      </c>
      <c r="N429" s="2">
        <v>24</v>
      </c>
      <c r="O429" s="2">
        <v>16</v>
      </c>
      <c r="P429" s="2">
        <v>436</v>
      </c>
      <c r="Q429" s="2">
        <v>8345</v>
      </c>
      <c r="R429" s="13" t="s">
        <v>27</v>
      </c>
      <c r="S429" s="13" t="s">
        <v>27</v>
      </c>
    </row>
    <row r="430" spans="1:19" hidden="1" x14ac:dyDescent="0.3">
      <c r="A430" s="14">
        <v>43905.708333333336</v>
      </c>
      <c r="B430" s="13" t="s">
        <v>23</v>
      </c>
      <c r="C430" s="2">
        <v>7</v>
      </c>
      <c r="D430" s="13" t="s">
        <v>51</v>
      </c>
      <c r="E430" s="2">
        <v>4441149315</v>
      </c>
      <c r="F430" s="2">
        <v>89326992</v>
      </c>
      <c r="G430" s="2">
        <v>253</v>
      </c>
      <c r="H430" s="2">
        <v>66</v>
      </c>
      <c r="I430" s="2">
        <v>319</v>
      </c>
      <c r="J430" s="2">
        <v>174</v>
      </c>
      <c r="K430" s="2">
        <v>493</v>
      </c>
      <c r="L430" s="2">
        <v>109</v>
      </c>
      <c r="M430" s="2">
        <v>96</v>
      </c>
      <c r="N430" s="2">
        <v>33</v>
      </c>
      <c r="O430" s="2">
        <v>33</v>
      </c>
      <c r="P430" s="2">
        <v>559</v>
      </c>
      <c r="Q430" s="2">
        <v>1973</v>
      </c>
      <c r="R430" s="13" t="s">
        <v>27</v>
      </c>
      <c r="S430" s="13" t="s">
        <v>27</v>
      </c>
    </row>
    <row r="431" spans="1:19" x14ac:dyDescent="0.3">
      <c r="A431" s="14">
        <v>43905.708333333336</v>
      </c>
      <c r="B431" s="13" t="s">
        <v>23</v>
      </c>
      <c r="C431" s="2">
        <v>3</v>
      </c>
      <c r="D431" s="13" t="s">
        <v>52</v>
      </c>
      <c r="E431" s="2">
        <v>4546679409</v>
      </c>
      <c r="F431" s="2">
        <v>9190347404</v>
      </c>
      <c r="G431" s="2">
        <v>5500</v>
      </c>
      <c r="H431" s="2">
        <v>767</v>
      </c>
      <c r="I431" s="2">
        <v>6267</v>
      </c>
      <c r="J431" s="2">
        <v>3776</v>
      </c>
      <c r="K431" s="2">
        <v>10043</v>
      </c>
      <c r="L431" s="2">
        <v>984</v>
      </c>
      <c r="M431" s="2">
        <v>1587</v>
      </c>
      <c r="N431" s="2">
        <v>2011</v>
      </c>
      <c r="O431" s="2">
        <v>1218</v>
      </c>
      <c r="P431" s="2">
        <v>13272</v>
      </c>
      <c r="Q431" s="2">
        <v>40369</v>
      </c>
      <c r="R431" s="13" t="s">
        <v>27</v>
      </c>
      <c r="S431" s="13" t="s">
        <v>27</v>
      </c>
    </row>
    <row r="432" spans="1:19" hidden="1" x14ac:dyDescent="0.3">
      <c r="A432" s="14">
        <v>43905.708333333336</v>
      </c>
      <c r="B432" s="13" t="s">
        <v>23</v>
      </c>
      <c r="C432" s="2">
        <v>11</v>
      </c>
      <c r="D432" s="13" t="s">
        <v>53</v>
      </c>
      <c r="E432" s="2">
        <v>4361675973</v>
      </c>
      <c r="F432" s="2">
        <v>135188753</v>
      </c>
      <c r="G432" s="2">
        <v>521</v>
      </c>
      <c r="H432" s="2">
        <v>98</v>
      </c>
      <c r="I432" s="2">
        <v>619</v>
      </c>
      <c r="J432" s="2">
        <v>468</v>
      </c>
      <c r="K432" s="2">
        <v>1087</v>
      </c>
      <c r="L432" s="2">
        <v>224</v>
      </c>
      <c r="M432" s="2">
        <v>234</v>
      </c>
      <c r="N432" s="2">
        <v>0</v>
      </c>
      <c r="O432" s="2">
        <v>46</v>
      </c>
      <c r="P432" s="2">
        <v>1133</v>
      </c>
      <c r="Q432" s="2">
        <v>2946</v>
      </c>
      <c r="R432" s="13" t="s">
        <v>27</v>
      </c>
      <c r="S432" s="13" t="s">
        <v>27</v>
      </c>
    </row>
    <row r="433" spans="1:19" hidden="1" x14ac:dyDescent="0.3">
      <c r="A433" s="14">
        <v>43905.708333333336</v>
      </c>
      <c r="B433" s="13" t="s">
        <v>23</v>
      </c>
      <c r="C433" s="2">
        <v>14</v>
      </c>
      <c r="D433" s="13" t="s">
        <v>54</v>
      </c>
      <c r="E433" s="2">
        <v>4155774754</v>
      </c>
      <c r="F433" s="2">
        <v>1465916051</v>
      </c>
      <c r="G433" s="2">
        <v>3</v>
      </c>
      <c r="H433" s="2">
        <v>4</v>
      </c>
      <c r="I433" s="2">
        <v>7</v>
      </c>
      <c r="J433" s="2">
        <v>10</v>
      </c>
      <c r="K433" s="2">
        <v>17</v>
      </c>
      <c r="L433" s="2">
        <v>0</v>
      </c>
      <c r="M433" s="2">
        <v>0</v>
      </c>
      <c r="N433" s="2">
        <v>0</v>
      </c>
      <c r="O433" s="2">
        <v>0</v>
      </c>
      <c r="P433" s="2">
        <v>17</v>
      </c>
      <c r="Q433" s="2">
        <v>248</v>
      </c>
      <c r="R433" s="13" t="s">
        <v>27</v>
      </c>
      <c r="S433" s="13" t="s">
        <v>27</v>
      </c>
    </row>
    <row r="434" spans="1:19" hidden="1" x14ac:dyDescent="0.3">
      <c r="A434" s="14">
        <v>43905.708333333336</v>
      </c>
      <c r="B434" s="13" t="s">
        <v>23</v>
      </c>
      <c r="C434" s="2">
        <v>1</v>
      </c>
      <c r="D434" s="13" t="s">
        <v>55</v>
      </c>
      <c r="E434" s="2">
        <v>450732745</v>
      </c>
      <c r="F434" s="2">
        <v>7680687483</v>
      </c>
      <c r="G434" s="2">
        <v>726</v>
      </c>
      <c r="H434" s="2">
        <v>171</v>
      </c>
      <c r="I434" s="2">
        <v>897</v>
      </c>
      <c r="J434" s="2">
        <v>133</v>
      </c>
      <c r="K434" s="2">
        <v>1030</v>
      </c>
      <c r="L434" s="2">
        <v>216</v>
      </c>
      <c r="M434" s="2">
        <v>238</v>
      </c>
      <c r="N434" s="2">
        <v>0</v>
      </c>
      <c r="O434" s="2">
        <v>81</v>
      </c>
      <c r="P434" s="2">
        <v>1111</v>
      </c>
      <c r="Q434" s="2">
        <v>4375</v>
      </c>
      <c r="R434" s="13" t="s">
        <v>27</v>
      </c>
      <c r="S434" s="13" t="s">
        <v>27</v>
      </c>
    </row>
    <row r="435" spans="1:19" hidden="1" x14ac:dyDescent="0.3">
      <c r="A435" s="14">
        <v>43905.708333333336</v>
      </c>
      <c r="B435" s="13" t="s">
        <v>23</v>
      </c>
      <c r="C435" s="2">
        <v>16</v>
      </c>
      <c r="D435" s="13" t="s">
        <v>56</v>
      </c>
      <c r="E435" s="2">
        <v>4112559576</v>
      </c>
      <c r="F435" s="2">
        <v>1686736689</v>
      </c>
      <c r="G435" s="2">
        <v>116</v>
      </c>
      <c r="H435" s="2">
        <v>6</v>
      </c>
      <c r="I435" s="2">
        <v>122</v>
      </c>
      <c r="J435" s="2">
        <v>90</v>
      </c>
      <c r="K435" s="2">
        <v>212</v>
      </c>
      <c r="L435" s="2">
        <v>56</v>
      </c>
      <c r="M435" s="2">
        <v>64</v>
      </c>
      <c r="N435" s="2">
        <v>2</v>
      </c>
      <c r="O435" s="2">
        <v>16</v>
      </c>
      <c r="P435" s="2">
        <v>230</v>
      </c>
      <c r="Q435" s="2">
        <v>2017</v>
      </c>
      <c r="R435" s="13" t="s">
        <v>27</v>
      </c>
      <c r="S435" s="13" t="s">
        <v>27</v>
      </c>
    </row>
    <row r="436" spans="1:19" hidden="1" x14ac:dyDescent="0.3">
      <c r="A436" s="14">
        <v>43905.708333333336</v>
      </c>
      <c r="B436" s="13" t="s">
        <v>23</v>
      </c>
      <c r="C436" s="2">
        <v>20</v>
      </c>
      <c r="D436" s="13" t="s">
        <v>57</v>
      </c>
      <c r="E436" s="2">
        <v>3921531192</v>
      </c>
      <c r="F436" s="2">
        <v>9110616306</v>
      </c>
      <c r="G436" s="2">
        <v>16</v>
      </c>
      <c r="H436" s="2">
        <v>0</v>
      </c>
      <c r="I436" s="2">
        <v>16</v>
      </c>
      <c r="J436" s="2">
        <v>59</v>
      </c>
      <c r="K436" s="2">
        <v>75</v>
      </c>
      <c r="L436" s="2">
        <v>28</v>
      </c>
      <c r="M436" s="2">
        <v>30</v>
      </c>
      <c r="N436" s="2">
        <v>0</v>
      </c>
      <c r="O436" s="2">
        <v>2</v>
      </c>
      <c r="P436" s="2">
        <v>77</v>
      </c>
      <c r="Q436" s="2">
        <v>613</v>
      </c>
      <c r="R436" s="13" t="s">
        <v>27</v>
      </c>
      <c r="S436" s="13" t="s">
        <v>27</v>
      </c>
    </row>
    <row r="437" spans="1:19" hidden="1" x14ac:dyDescent="0.3">
      <c r="A437" s="14">
        <v>43905.708333333336</v>
      </c>
      <c r="B437" s="13" t="s">
        <v>23</v>
      </c>
      <c r="C437" s="2">
        <v>19</v>
      </c>
      <c r="D437" s="13" t="s">
        <v>58</v>
      </c>
      <c r="E437" s="2">
        <v>3811569725</v>
      </c>
      <c r="F437" s="2">
        <v>133623567</v>
      </c>
      <c r="G437" s="2">
        <v>56</v>
      </c>
      <c r="H437" s="2">
        <v>15</v>
      </c>
      <c r="I437" s="2">
        <v>71</v>
      </c>
      <c r="J437" s="2">
        <v>108</v>
      </c>
      <c r="K437" s="2">
        <v>179</v>
      </c>
      <c r="L437" s="2">
        <v>29</v>
      </c>
      <c r="M437" s="2">
        <v>32</v>
      </c>
      <c r="N437" s="2">
        <v>7</v>
      </c>
      <c r="O437" s="2">
        <v>2</v>
      </c>
      <c r="P437" s="2">
        <v>188</v>
      </c>
      <c r="Q437" s="2">
        <v>2452</v>
      </c>
      <c r="R437" s="13" t="s">
        <v>27</v>
      </c>
      <c r="S437" s="13" t="s">
        <v>27</v>
      </c>
    </row>
    <row r="438" spans="1:19" hidden="1" x14ac:dyDescent="0.3">
      <c r="A438" s="14">
        <v>43905.708333333336</v>
      </c>
      <c r="B438" s="13" t="s">
        <v>23</v>
      </c>
      <c r="C438" s="2">
        <v>9</v>
      </c>
      <c r="D438" s="13" t="s">
        <v>59</v>
      </c>
      <c r="E438" s="2">
        <v>4376923077</v>
      </c>
      <c r="F438" s="2">
        <v>1125588885</v>
      </c>
      <c r="G438" s="2">
        <v>175</v>
      </c>
      <c r="H438" s="2">
        <v>107</v>
      </c>
      <c r="I438" s="2">
        <v>282</v>
      </c>
      <c r="J438" s="2">
        <v>481</v>
      </c>
      <c r="K438" s="2">
        <v>763</v>
      </c>
      <c r="L438" s="2">
        <v>149</v>
      </c>
      <c r="M438" s="2">
        <v>151</v>
      </c>
      <c r="N438" s="2">
        <v>10</v>
      </c>
      <c r="O438" s="2">
        <v>8</v>
      </c>
      <c r="P438" s="2">
        <v>781</v>
      </c>
      <c r="Q438" s="2">
        <v>5132</v>
      </c>
      <c r="R438" s="13" t="s">
        <v>27</v>
      </c>
      <c r="S438" s="13" t="s">
        <v>27</v>
      </c>
    </row>
    <row r="439" spans="1:19" hidden="1" x14ac:dyDescent="0.3">
      <c r="A439" s="14">
        <v>43905.708333333336</v>
      </c>
      <c r="B439" s="13" t="s">
        <v>23</v>
      </c>
      <c r="C439" s="2">
        <v>4</v>
      </c>
      <c r="D439" s="13" t="s">
        <v>60</v>
      </c>
      <c r="E439" s="2">
        <v>4606893511</v>
      </c>
      <c r="F439" s="2">
        <v>1112123097</v>
      </c>
      <c r="G439" s="2">
        <v>73</v>
      </c>
      <c r="H439" s="2">
        <v>19</v>
      </c>
      <c r="I439" s="2">
        <v>92</v>
      </c>
      <c r="J439" s="2">
        <v>275</v>
      </c>
      <c r="K439" s="2">
        <v>367</v>
      </c>
      <c r="L439" s="2">
        <v>168</v>
      </c>
      <c r="M439" s="2">
        <v>172</v>
      </c>
      <c r="N439" s="2">
        <v>5</v>
      </c>
      <c r="O439" s="2">
        <v>6</v>
      </c>
      <c r="P439" s="2">
        <v>378</v>
      </c>
      <c r="Q439" s="2">
        <v>1006</v>
      </c>
      <c r="R439" s="13" t="s">
        <v>27</v>
      </c>
      <c r="S439" s="13" t="s">
        <v>27</v>
      </c>
    </row>
    <row r="440" spans="1:19" hidden="1" x14ac:dyDescent="0.3">
      <c r="A440" s="14">
        <v>43905.708333333336</v>
      </c>
      <c r="B440" s="13" t="s">
        <v>23</v>
      </c>
      <c r="C440" s="2">
        <v>10</v>
      </c>
      <c r="D440" s="13" t="s">
        <v>61</v>
      </c>
      <c r="E440" s="2">
        <v>4310675841</v>
      </c>
      <c r="F440" s="2">
        <v>1238824698</v>
      </c>
      <c r="G440" s="2">
        <v>25</v>
      </c>
      <c r="H440" s="2">
        <v>13</v>
      </c>
      <c r="I440" s="2">
        <v>38</v>
      </c>
      <c r="J440" s="2">
        <v>101</v>
      </c>
      <c r="K440" s="2">
        <v>139</v>
      </c>
      <c r="L440" s="2">
        <v>36</v>
      </c>
      <c r="M440" s="2">
        <v>36</v>
      </c>
      <c r="N440" s="2">
        <v>3</v>
      </c>
      <c r="O440" s="2">
        <v>1</v>
      </c>
      <c r="P440" s="2">
        <v>143</v>
      </c>
      <c r="Q440" s="2">
        <v>965</v>
      </c>
      <c r="R440" s="13" t="s">
        <v>27</v>
      </c>
      <c r="S440" s="13" t="s">
        <v>27</v>
      </c>
    </row>
    <row r="441" spans="1:19" hidden="1" x14ac:dyDescent="0.3">
      <c r="A441" s="14">
        <v>43905.708333333336</v>
      </c>
      <c r="B441" s="13" t="s">
        <v>23</v>
      </c>
      <c r="C441" s="2">
        <v>2</v>
      </c>
      <c r="D441" s="13" t="s">
        <v>62</v>
      </c>
      <c r="E441" s="2">
        <v>4573750286</v>
      </c>
      <c r="F441" s="2">
        <v>7320149366</v>
      </c>
      <c r="G441" s="2">
        <v>10</v>
      </c>
      <c r="H441" s="2">
        <v>3</v>
      </c>
      <c r="I441" s="2">
        <v>13</v>
      </c>
      <c r="J441" s="2">
        <v>43</v>
      </c>
      <c r="K441" s="2">
        <v>56</v>
      </c>
      <c r="L441" s="2">
        <v>15</v>
      </c>
      <c r="M441" s="2">
        <v>15</v>
      </c>
      <c r="N441" s="2">
        <v>0</v>
      </c>
      <c r="O441" s="2">
        <v>1</v>
      </c>
      <c r="P441" s="2">
        <v>57</v>
      </c>
      <c r="Q441" s="2">
        <v>230</v>
      </c>
      <c r="R441" s="13" t="s">
        <v>27</v>
      </c>
      <c r="S441" s="13" t="s">
        <v>27</v>
      </c>
    </row>
    <row r="442" spans="1:19" hidden="1" x14ac:dyDescent="0.3">
      <c r="A442" s="14">
        <v>43905.708333333336</v>
      </c>
      <c r="B442" s="13" t="s">
        <v>23</v>
      </c>
      <c r="C442" s="2">
        <v>5</v>
      </c>
      <c r="D442" s="13" t="s">
        <v>63</v>
      </c>
      <c r="E442" s="2">
        <v>4543490485</v>
      </c>
      <c r="F442" s="2">
        <v>1233845213</v>
      </c>
      <c r="G442" s="2">
        <v>426</v>
      </c>
      <c r="H442" s="2">
        <v>129</v>
      </c>
      <c r="I442" s="2">
        <v>555</v>
      </c>
      <c r="J442" s="2">
        <v>1434</v>
      </c>
      <c r="K442" s="2">
        <v>1989</v>
      </c>
      <c r="L442" s="2">
        <v>214</v>
      </c>
      <c r="M442" s="2">
        <v>235</v>
      </c>
      <c r="N442" s="2">
        <v>120</v>
      </c>
      <c r="O442" s="2">
        <v>63</v>
      </c>
      <c r="P442" s="2">
        <v>2172</v>
      </c>
      <c r="Q442" s="2">
        <v>32546</v>
      </c>
      <c r="R442" s="13" t="s">
        <v>27</v>
      </c>
      <c r="S442" s="13" t="s">
        <v>27</v>
      </c>
    </row>
    <row r="443" spans="1:19" hidden="1" x14ac:dyDescent="0.3">
      <c r="A443" s="14">
        <v>43906.708333333336</v>
      </c>
      <c r="B443" s="13" t="s">
        <v>23</v>
      </c>
      <c r="C443" s="2">
        <v>13</v>
      </c>
      <c r="D443" s="13" t="s">
        <v>44</v>
      </c>
      <c r="E443" s="2">
        <v>4235122196</v>
      </c>
      <c r="F443" s="2">
        <v>1339843823</v>
      </c>
      <c r="G443" s="2">
        <v>71</v>
      </c>
      <c r="H443" s="2">
        <v>37</v>
      </c>
      <c r="I443" s="2">
        <v>108</v>
      </c>
      <c r="J443" s="2">
        <v>57</v>
      </c>
      <c r="K443" s="2">
        <v>165</v>
      </c>
      <c r="L443" s="2">
        <v>37</v>
      </c>
      <c r="M443" s="2">
        <v>39</v>
      </c>
      <c r="N443" s="2">
        <v>7</v>
      </c>
      <c r="O443" s="2">
        <v>4</v>
      </c>
      <c r="P443" s="2">
        <v>176</v>
      </c>
      <c r="Q443" s="2">
        <v>1533</v>
      </c>
      <c r="R443" s="13" t="s">
        <v>27</v>
      </c>
      <c r="S443" s="13" t="s">
        <v>27</v>
      </c>
    </row>
    <row r="444" spans="1:19" hidden="1" x14ac:dyDescent="0.3">
      <c r="A444" s="14">
        <v>43906.708333333336</v>
      </c>
      <c r="B444" s="13" t="s">
        <v>23</v>
      </c>
      <c r="C444" s="2">
        <v>17</v>
      </c>
      <c r="D444" s="13" t="s">
        <v>45</v>
      </c>
      <c r="E444" s="2">
        <v>4063947052</v>
      </c>
      <c r="F444" s="2">
        <v>1580514834</v>
      </c>
      <c r="G444" s="2">
        <v>1</v>
      </c>
      <c r="H444" s="2">
        <v>2</v>
      </c>
      <c r="I444" s="2">
        <v>3</v>
      </c>
      <c r="J444" s="2">
        <v>9</v>
      </c>
      <c r="K444" s="2">
        <v>12</v>
      </c>
      <c r="L444" s="2">
        <v>1</v>
      </c>
      <c r="M444" s="2">
        <v>1</v>
      </c>
      <c r="N444" s="2">
        <v>0</v>
      </c>
      <c r="O444" s="2">
        <v>0</v>
      </c>
      <c r="P444" s="2">
        <v>12</v>
      </c>
      <c r="Q444" s="2">
        <v>230</v>
      </c>
      <c r="R444" s="13" t="s">
        <v>27</v>
      </c>
      <c r="S444" s="13" t="s">
        <v>27</v>
      </c>
    </row>
    <row r="445" spans="1:19" hidden="1" x14ac:dyDescent="0.3">
      <c r="A445" s="14">
        <v>43906.708333333336</v>
      </c>
      <c r="B445" s="13" t="s">
        <v>23</v>
      </c>
      <c r="C445" s="2">
        <v>4</v>
      </c>
      <c r="D445" s="13" t="s">
        <v>46</v>
      </c>
      <c r="E445" s="2">
        <v>4649933453</v>
      </c>
      <c r="F445" s="2">
        <v>1135662422</v>
      </c>
      <c r="G445" s="2">
        <v>53</v>
      </c>
      <c r="H445" s="2">
        <v>11</v>
      </c>
      <c r="I445" s="2">
        <v>64</v>
      </c>
      <c r="J445" s="2">
        <v>171</v>
      </c>
      <c r="K445" s="2">
        <v>235</v>
      </c>
      <c r="L445" s="2">
        <v>36</v>
      </c>
      <c r="M445" s="2">
        <v>37</v>
      </c>
      <c r="N445" s="2">
        <v>0</v>
      </c>
      <c r="O445" s="2">
        <v>6</v>
      </c>
      <c r="P445" s="2">
        <v>241</v>
      </c>
      <c r="Q445" s="2">
        <v>1740</v>
      </c>
      <c r="R445" s="13" t="s">
        <v>27</v>
      </c>
      <c r="S445" s="13" t="s">
        <v>27</v>
      </c>
    </row>
    <row r="446" spans="1:19" hidden="1" x14ac:dyDescent="0.3">
      <c r="A446" s="14">
        <v>43906.708333333336</v>
      </c>
      <c r="B446" s="13" t="s">
        <v>23</v>
      </c>
      <c r="C446" s="2">
        <v>18</v>
      </c>
      <c r="D446" s="13" t="s">
        <v>47</v>
      </c>
      <c r="E446" s="2">
        <v>3890597598</v>
      </c>
      <c r="F446" s="2">
        <v>1659440194</v>
      </c>
      <c r="G446" s="2">
        <v>36</v>
      </c>
      <c r="H446" s="2">
        <v>7</v>
      </c>
      <c r="I446" s="2">
        <v>43</v>
      </c>
      <c r="J446" s="2">
        <v>44</v>
      </c>
      <c r="K446" s="2">
        <v>87</v>
      </c>
      <c r="L446" s="2">
        <v>21</v>
      </c>
      <c r="M446" s="2">
        <v>21</v>
      </c>
      <c r="N446" s="2">
        <v>1</v>
      </c>
      <c r="O446" s="2">
        <v>1</v>
      </c>
      <c r="P446" s="2">
        <v>89</v>
      </c>
      <c r="Q446" s="2">
        <v>1030</v>
      </c>
      <c r="R446" s="13" t="s">
        <v>27</v>
      </c>
      <c r="S446" s="13" t="s">
        <v>27</v>
      </c>
    </row>
    <row r="447" spans="1:19" hidden="1" x14ac:dyDescent="0.3">
      <c r="A447" s="14">
        <v>43906.708333333336</v>
      </c>
      <c r="B447" s="13" t="s">
        <v>23</v>
      </c>
      <c r="C447" s="2">
        <v>15</v>
      </c>
      <c r="D447" s="13" t="s">
        <v>48</v>
      </c>
      <c r="E447" s="2">
        <v>4083956555</v>
      </c>
      <c r="F447" s="2">
        <v>1425084984</v>
      </c>
      <c r="G447" s="2">
        <v>103</v>
      </c>
      <c r="H447" s="2">
        <v>22</v>
      </c>
      <c r="I447" s="2">
        <v>125</v>
      </c>
      <c r="J447" s="2">
        <v>238</v>
      </c>
      <c r="K447" s="2">
        <v>363</v>
      </c>
      <c r="L447" s="2">
        <v>67</v>
      </c>
      <c r="M447" s="2">
        <v>67</v>
      </c>
      <c r="N447" s="2">
        <v>28</v>
      </c>
      <c r="O447" s="2">
        <v>9</v>
      </c>
      <c r="P447" s="2">
        <v>400</v>
      </c>
      <c r="Q447" s="2">
        <v>2517</v>
      </c>
      <c r="R447" s="13" t="s">
        <v>27</v>
      </c>
      <c r="S447" s="13" t="s">
        <v>27</v>
      </c>
    </row>
    <row r="448" spans="1:19" hidden="1" x14ac:dyDescent="0.3">
      <c r="A448" s="14">
        <v>43906.708333333336</v>
      </c>
      <c r="B448" s="13" t="s">
        <v>23</v>
      </c>
      <c r="C448" s="2">
        <v>8</v>
      </c>
      <c r="D448" s="13" t="s">
        <v>98</v>
      </c>
      <c r="E448" s="2">
        <v>4449436681</v>
      </c>
      <c r="F448" s="2">
        <v>113417208</v>
      </c>
      <c r="G448" s="2">
        <v>1362</v>
      </c>
      <c r="H448" s="2">
        <v>197</v>
      </c>
      <c r="I448" s="2">
        <v>1559</v>
      </c>
      <c r="J448" s="2">
        <v>1529</v>
      </c>
      <c r="K448" s="2">
        <v>3088</v>
      </c>
      <c r="L448" s="2">
        <v>347</v>
      </c>
      <c r="M448" s="2">
        <v>429</v>
      </c>
      <c r="N448" s="2">
        <v>88</v>
      </c>
      <c r="O448" s="2">
        <v>346</v>
      </c>
      <c r="P448" s="2">
        <v>3522</v>
      </c>
      <c r="Q448" s="2">
        <v>13096</v>
      </c>
      <c r="R448" s="13" t="s">
        <v>27</v>
      </c>
      <c r="S448" s="13" t="s">
        <v>27</v>
      </c>
    </row>
    <row r="449" spans="1:19" hidden="1" x14ac:dyDescent="0.3">
      <c r="A449" s="14">
        <v>43906.708333333336</v>
      </c>
      <c r="B449" s="13" t="s">
        <v>23</v>
      </c>
      <c r="C449" s="2">
        <v>6</v>
      </c>
      <c r="D449" s="13" t="s">
        <v>49</v>
      </c>
      <c r="E449" s="2">
        <v>456494354</v>
      </c>
      <c r="F449" s="2">
        <v>1376813649</v>
      </c>
      <c r="G449" s="2">
        <v>96</v>
      </c>
      <c r="H449" s="2">
        <v>19</v>
      </c>
      <c r="I449" s="2">
        <v>115</v>
      </c>
      <c r="J449" s="2">
        <v>231</v>
      </c>
      <c r="K449" s="2">
        <v>346</v>
      </c>
      <c r="L449" s="2">
        <v>30</v>
      </c>
      <c r="M449" s="2">
        <v>39</v>
      </c>
      <c r="N449" s="2">
        <v>18</v>
      </c>
      <c r="O449" s="2">
        <v>22</v>
      </c>
      <c r="P449" s="2">
        <v>386</v>
      </c>
      <c r="Q449" s="2">
        <v>4851</v>
      </c>
      <c r="R449" s="13" t="s">
        <v>27</v>
      </c>
      <c r="S449" s="13" t="s">
        <v>27</v>
      </c>
    </row>
    <row r="450" spans="1:19" hidden="1" x14ac:dyDescent="0.3">
      <c r="A450" s="14">
        <v>43906.708333333336</v>
      </c>
      <c r="B450" s="13" t="s">
        <v>23</v>
      </c>
      <c r="C450" s="2">
        <v>12</v>
      </c>
      <c r="D450" s="13" t="s">
        <v>50</v>
      </c>
      <c r="E450" s="2">
        <v>4189277044</v>
      </c>
      <c r="F450" s="2">
        <v>1248366722</v>
      </c>
      <c r="G450" s="2">
        <v>267</v>
      </c>
      <c r="H450" s="2">
        <v>31</v>
      </c>
      <c r="I450" s="2">
        <v>298</v>
      </c>
      <c r="J450" s="2">
        <v>174</v>
      </c>
      <c r="K450" s="2">
        <v>472</v>
      </c>
      <c r="L450" s="2">
        <v>76</v>
      </c>
      <c r="M450" s="2">
        <v>87</v>
      </c>
      <c r="N450" s="2">
        <v>32</v>
      </c>
      <c r="O450" s="2">
        <v>19</v>
      </c>
      <c r="P450" s="2">
        <v>523</v>
      </c>
      <c r="Q450" s="2">
        <v>9330</v>
      </c>
      <c r="R450" s="13" t="s">
        <v>27</v>
      </c>
      <c r="S450" s="13" t="s">
        <v>27</v>
      </c>
    </row>
    <row r="451" spans="1:19" hidden="1" x14ac:dyDescent="0.3">
      <c r="A451" s="14">
        <v>43906.708333333336</v>
      </c>
      <c r="B451" s="13" t="s">
        <v>23</v>
      </c>
      <c r="C451" s="2">
        <v>7</v>
      </c>
      <c r="D451" s="13" t="s">
        <v>51</v>
      </c>
      <c r="E451" s="2">
        <v>4441149315</v>
      </c>
      <c r="F451" s="2">
        <v>89326992</v>
      </c>
      <c r="G451" s="2">
        <v>255</v>
      </c>
      <c r="H451" s="2">
        <v>73</v>
      </c>
      <c r="I451" s="2">
        <v>328</v>
      </c>
      <c r="J451" s="2">
        <v>247</v>
      </c>
      <c r="K451" s="2">
        <v>575</v>
      </c>
      <c r="L451" s="2">
        <v>82</v>
      </c>
      <c r="M451" s="2">
        <v>108</v>
      </c>
      <c r="N451" s="2">
        <v>42</v>
      </c>
      <c r="O451" s="2">
        <v>50</v>
      </c>
      <c r="P451" s="2">
        <v>667</v>
      </c>
      <c r="Q451" s="2">
        <v>2189</v>
      </c>
      <c r="R451" s="13" t="s">
        <v>27</v>
      </c>
      <c r="S451" s="13" t="s">
        <v>27</v>
      </c>
    </row>
    <row r="452" spans="1:19" x14ac:dyDescent="0.3">
      <c r="A452" s="14">
        <v>43906.708333333336</v>
      </c>
      <c r="B452" s="13" t="s">
        <v>23</v>
      </c>
      <c r="C452" s="2">
        <v>3</v>
      </c>
      <c r="D452" s="13" t="s">
        <v>52</v>
      </c>
      <c r="E452" s="2">
        <v>4546679409</v>
      </c>
      <c r="F452" s="2">
        <v>9190347404</v>
      </c>
      <c r="G452" s="2">
        <v>6171</v>
      </c>
      <c r="H452" s="2">
        <v>823</v>
      </c>
      <c r="I452" s="2">
        <v>6994</v>
      </c>
      <c r="J452" s="2">
        <v>3867</v>
      </c>
      <c r="K452" s="2">
        <v>10861</v>
      </c>
      <c r="L452" s="2">
        <v>818</v>
      </c>
      <c r="M452" s="2">
        <v>1377</v>
      </c>
      <c r="N452" s="2">
        <v>2368</v>
      </c>
      <c r="O452" s="2">
        <v>1420</v>
      </c>
      <c r="P452" s="2">
        <v>14649</v>
      </c>
      <c r="Q452" s="2">
        <v>43565</v>
      </c>
      <c r="R452" s="13" t="s">
        <v>27</v>
      </c>
      <c r="S452" s="13" t="s">
        <v>27</v>
      </c>
    </row>
    <row r="453" spans="1:19" hidden="1" x14ac:dyDescent="0.3">
      <c r="A453" s="14">
        <v>43906.708333333336</v>
      </c>
      <c r="B453" s="13" t="s">
        <v>23</v>
      </c>
      <c r="C453" s="2">
        <v>11</v>
      </c>
      <c r="D453" s="13" t="s">
        <v>53</v>
      </c>
      <c r="E453" s="2">
        <v>4361675973</v>
      </c>
      <c r="F453" s="2">
        <v>135188753</v>
      </c>
      <c r="G453" s="2">
        <v>528</v>
      </c>
      <c r="H453" s="2">
        <v>110</v>
      </c>
      <c r="I453" s="2">
        <v>638</v>
      </c>
      <c r="J453" s="2">
        <v>547</v>
      </c>
      <c r="K453" s="2">
        <v>1185</v>
      </c>
      <c r="L453" s="2">
        <v>98</v>
      </c>
      <c r="M453" s="2">
        <v>109</v>
      </c>
      <c r="N453" s="2">
        <v>0</v>
      </c>
      <c r="O453" s="2">
        <v>57</v>
      </c>
      <c r="P453" s="2">
        <v>1242</v>
      </c>
      <c r="Q453" s="2">
        <v>3225</v>
      </c>
      <c r="R453" s="13" t="s">
        <v>27</v>
      </c>
      <c r="S453" s="13" t="s">
        <v>27</v>
      </c>
    </row>
    <row r="454" spans="1:19" hidden="1" x14ac:dyDescent="0.3">
      <c r="A454" s="14">
        <v>43906.708333333336</v>
      </c>
      <c r="B454" s="13" t="s">
        <v>23</v>
      </c>
      <c r="C454" s="2">
        <v>14</v>
      </c>
      <c r="D454" s="13" t="s">
        <v>54</v>
      </c>
      <c r="E454" s="2">
        <v>4155774754</v>
      </c>
      <c r="F454" s="2">
        <v>1465916051</v>
      </c>
      <c r="G454" s="2">
        <v>3</v>
      </c>
      <c r="H454" s="2">
        <v>5</v>
      </c>
      <c r="I454" s="2">
        <v>8</v>
      </c>
      <c r="J454" s="2">
        <v>7</v>
      </c>
      <c r="K454" s="2">
        <v>15</v>
      </c>
      <c r="L454" s="2">
        <v>-2</v>
      </c>
      <c r="M454" s="2">
        <v>4</v>
      </c>
      <c r="N454" s="2">
        <v>5</v>
      </c>
      <c r="O454" s="2">
        <v>1</v>
      </c>
      <c r="P454" s="2">
        <v>21</v>
      </c>
      <c r="Q454" s="2">
        <v>253</v>
      </c>
      <c r="R454" s="13" t="s">
        <v>27</v>
      </c>
      <c r="S454" s="13" t="s">
        <v>27</v>
      </c>
    </row>
    <row r="455" spans="1:19" hidden="1" x14ac:dyDescent="0.3">
      <c r="A455" s="14">
        <v>43906.708333333336</v>
      </c>
      <c r="B455" s="13" t="s">
        <v>23</v>
      </c>
      <c r="C455" s="2">
        <v>1</v>
      </c>
      <c r="D455" s="13" t="s">
        <v>55</v>
      </c>
      <c r="E455" s="2">
        <v>450732745</v>
      </c>
      <c r="F455" s="2">
        <v>7680687483</v>
      </c>
      <c r="G455" s="2">
        <v>1045</v>
      </c>
      <c r="H455" s="2">
        <v>186</v>
      </c>
      <c r="I455" s="2">
        <v>1231</v>
      </c>
      <c r="J455" s="2">
        <v>174</v>
      </c>
      <c r="K455" s="2">
        <v>1405</v>
      </c>
      <c r="L455" s="2">
        <v>375</v>
      </c>
      <c r="M455" s="2">
        <v>405</v>
      </c>
      <c r="N455" s="2">
        <v>0</v>
      </c>
      <c r="O455" s="2">
        <v>111</v>
      </c>
      <c r="P455" s="2">
        <v>1516</v>
      </c>
      <c r="Q455" s="2">
        <v>5588</v>
      </c>
      <c r="R455" s="13" t="s">
        <v>27</v>
      </c>
      <c r="S455" s="13" t="s">
        <v>27</v>
      </c>
    </row>
    <row r="456" spans="1:19" hidden="1" x14ac:dyDescent="0.3">
      <c r="A456" s="14">
        <v>43906.708333333336</v>
      </c>
      <c r="B456" s="13" t="s">
        <v>23</v>
      </c>
      <c r="C456" s="2">
        <v>16</v>
      </c>
      <c r="D456" s="13" t="s">
        <v>56</v>
      </c>
      <c r="E456" s="2">
        <v>4112559576</v>
      </c>
      <c r="F456" s="2">
        <v>1686736689</v>
      </c>
      <c r="G456" s="2">
        <v>116</v>
      </c>
      <c r="H456" s="2">
        <v>6</v>
      </c>
      <c r="I456" s="2">
        <v>122</v>
      </c>
      <c r="J456" s="2">
        <v>90</v>
      </c>
      <c r="K456" s="2">
        <v>212</v>
      </c>
      <c r="L456" s="2">
        <v>0</v>
      </c>
      <c r="M456" s="2">
        <v>0</v>
      </c>
      <c r="N456" s="2">
        <v>2</v>
      </c>
      <c r="O456" s="2">
        <v>16</v>
      </c>
      <c r="P456" s="2">
        <v>230</v>
      </c>
      <c r="Q456" s="2">
        <v>2017</v>
      </c>
      <c r="R456" s="13" t="s">
        <v>70</v>
      </c>
      <c r="S456" s="13" t="s">
        <v>71</v>
      </c>
    </row>
    <row r="457" spans="1:19" hidden="1" x14ac:dyDescent="0.3">
      <c r="A457" s="14">
        <v>43906.708333333336</v>
      </c>
      <c r="B457" s="13" t="s">
        <v>23</v>
      </c>
      <c r="C457" s="2">
        <v>20</v>
      </c>
      <c r="D457" s="13" t="s">
        <v>57</v>
      </c>
      <c r="E457" s="2">
        <v>3921531192</v>
      </c>
      <c r="F457" s="2">
        <v>9110616306</v>
      </c>
      <c r="G457" s="2">
        <v>39</v>
      </c>
      <c r="H457" s="2">
        <v>0</v>
      </c>
      <c r="I457" s="2">
        <v>39</v>
      </c>
      <c r="J457" s="2">
        <v>66</v>
      </c>
      <c r="K457" s="2">
        <v>105</v>
      </c>
      <c r="L457" s="2">
        <v>30</v>
      </c>
      <c r="M457" s="2">
        <v>30</v>
      </c>
      <c r="N457" s="2">
        <v>0</v>
      </c>
      <c r="O457" s="2">
        <v>2</v>
      </c>
      <c r="P457" s="2">
        <v>107</v>
      </c>
      <c r="Q457" s="2">
        <v>797</v>
      </c>
      <c r="R457" s="13" t="s">
        <v>27</v>
      </c>
      <c r="S457" s="13" t="s">
        <v>27</v>
      </c>
    </row>
    <row r="458" spans="1:19" hidden="1" x14ac:dyDescent="0.3">
      <c r="A458" s="14">
        <v>43906.708333333336</v>
      </c>
      <c r="B458" s="13" t="s">
        <v>23</v>
      </c>
      <c r="C458" s="2">
        <v>19</v>
      </c>
      <c r="D458" s="13" t="s">
        <v>58</v>
      </c>
      <c r="E458" s="2">
        <v>3811569725</v>
      </c>
      <c r="F458" s="2">
        <v>133623567</v>
      </c>
      <c r="G458" s="2">
        <v>75</v>
      </c>
      <c r="H458" s="2">
        <v>20</v>
      </c>
      <c r="I458" s="2">
        <v>95</v>
      </c>
      <c r="J458" s="2">
        <v>108</v>
      </c>
      <c r="K458" s="2">
        <v>203</v>
      </c>
      <c r="L458" s="2">
        <v>24</v>
      </c>
      <c r="M458" s="2">
        <v>25</v>
      </c>
      <c r="N458" s="2">
        <v>8</v>
      </c>
      <c r="O458" s="2">
        <v>2</v>
      </c>
      <c r="P458" s="2">
        <v>213</v>
      </c>
      <c r="Q458" s="2">
        <v>2653</v>
      </c>
      <c r="R458" s="13" t="s">
        <v>27</v>
      </c>
      <c r="S458" s="13" t="s">
        <v>27</v>
      </c>
    </row>
    <row r="459" spans="1:19" hidden="1" x14ac:dyDescent="0.3">
      <c r="A459" s="14">
        <v>43906.708333333336</v>
      </c>
      <c r="B459" s="13" t="s">
        <v>23</v>
      </c>
      <c r="C459" s="2">
        <v>9</v>
      </c>
      <c r="D459" s="13" t="s">
        <v>59</v>
      </c>
      <c r="E459" s="2">
        <v>4376923077</v>
      </c>
      <c r="F459" s="2">
        <v>1125588885</v>
      </c>
      <c r="G459" s="2">
        <v>175</v>
      </c>
      <c r="H459" s="2">
        <v>107</v>
      </c>
      <c r="I459" s="2">
        <v>282</v>
      </c>
      <c r="J459" s="2">
        <v>559</v>
      </c>
      <c r="K459" s="2">
        <v>841</v>
      </c>
      <c r="L459" s="2">
        <v>78</v>
      </c>
      <c r="M459" s="2">
        <v>85</v>
      </c>
      <c r="N459" s="2">
        <v>11</v>
      </c>
      <c r="O459" s="2">
        <v>14</v>
      </c>
      <c r="P459" s="2">
        <v>866</v>
      </c>
      <c r="Q459" s="2">
        <v>5910</v>
      </c>
      <c r="R459" s="13" t="s">
        <v>27</v>
      </c>
      <c r="S459" s="13" t="s">
        <v>27</v>
      </c>
    </row>
    <row r="460" spans="1:19" hidden="1" x14ac:dyDescent="0.3">
      <c r="A460" s="14">
        <v>43906.708333333336</v>
      </c>
      <c r="B460" s="13" t="s">
        <v>23</v>
      </c>
      <c r="C460" s="2">
        <v>4</v>
      </c>
      <c r="D460" s="13" t="s">
        <v>60</v>
      </c>
      <c r="E460" s="2">
        <v>4606893511</v>
      </c>
      <c r="F460" s="2">
        <v>1112123097</v>
      </c>
      <c r="G460" s="2">
        <v>73</v>
      </c>
      <c r="H460" s="2">
        <v>19</v>
      </c>
      <c r="I460" s="2">
        <v>92</v>
      </c>
      <c r="J460" s="2">
        <v>275</v>
      </c>
      <c r="K460" s="2">
        <v>367</v>
      </c>
      <c r="L460" s="2">
        <v>0</v>
      </c>
      <c r="M460" s="2">
        <v>0</v>
      </c>
      <c r="N460" s="2">
        <v>5</v>
      </c>
      <c r="O460" s="2">
        <v>6</v>
      </c>
      <c r="P460" s="2">
        <v>378</v>
      </c>
      <c r="Q460" s="2">
        <v>1006</v>
      </c>
      <c r="R460" s="13" t="s">
        <v>72</v>
      </c>
      <c r="S460" s="13" t="s">
        <v>73</v>
      </c>
    </row>
    <row r="461" spans="1:19" hidden="1" x14ac:dyDescent="0.3">
      <c r="A461" s="14">
        <v>43906.708333333336</v>
      </c>
      <c r="B461" s="13" t="s">
        <v>23</v>
      </c>
      <c r="C461" s="2">
        <v>10</v>
      </c>
      <c r="D461" s="13" t="s">
        <v>61</v>
      </c>
      <c r="E461" s="2">
        <v>4310675841</v>
      </c>
      <c r="F461" s="2">
        <v>1238824698</v>
      </c>
      <c r="G461" s="2">
        <v>30</v>
      </c>
      <c r="H461" s="2">
        <v>15</v>
      </c>
      <c r="I461" s="2">
        <v>45</v>
      </c>
      <c r="J461" s="2">
        <v>114</v>
      </c>
      <c r="K461" s="2">
        <v>159</v>
      </c>
      <c r="L461" s="2">
        <v>20</v>
      </c>
      <c r="M461" s="2">
        <v>21</v>
      </c>
      <c r="N461" s="2">
        <v>4</v>
      </c>
      <c r="O461" s="2">
        <v>1</v>
      </c>
      <c r="P461" s="2">
        <v>164</v>
      </c>
      <c r="Q461" s="2">
        <v>1093</v>
      </c>
      <c r="R461" s="13" t="s">
        <v>27</v>
      </c>
      <c r="S461" s="13" t="s">
        <v>27</v>
      </c>
    </row>
    <row r="462" spans="1:19" hidden="1" x14ac:dyDescent="0.3">
      <c r="A462" s="14">
        <v>43906.708333333336</v>
      </c>
      <c r="B462" s="13" t="s">
        <v>23</v>
      </c>
      <c r="C462" s="2">
        <v>2</v>
      </c>
      <c r="D462" s="13" t="s">
        <v>62</v>
      </c>
      <c r="E462" s="2">
        <v>4573750286</v>
      </c>
      <c r="F462" s="2">
        <v>7320149366</v>
      </c>
      <c r="G462" s="2">
        <v>28</v>
      </c>
      <c r="H462" s="2">
        <v>5</v>
      </c>
      <c r="I462" s="2">
        <v>33</v>
      </c>
      <c r="J462" s="2">
        <v>70</v>
      </c>
      <c r="K462" s="2">
        <v>103</v>
      </c>
      <c r="L462" s="2">
        <v>47</v>
      </c>
      <c r="M462" s="2">
        <v>48</v>
      </c>
      <c r="N462" s="2">
        <v>0</v>
      </c>
      <c r="O462" s="2">
        <v>2</v>
      </c>
      <c r="P462" s="2">
        <v>105</v>
      </c>
      <c r="Q462" s="2">
        <v>287</v>
      </c>
      <c r="R462" s="13" t="s">
        <v>27</v>
      </c>
      <c r="S462" s="13" t="s">
        <v>27</v>
      </c>
    </row>
    <row r="463" spans="1:19" hidden="1" x14ac:dyDescent="0.3">
      <c r="A463" s="14">
        <v>43906.708333333336</v>
      </c>
      <c r="B463" s="13" t="s">
        <v>23</v>
      </c>
      <c r="C463" s="2">
        <v>5</v>
      </c>
      <c r="D463" s="13" t="s">
        <v>63</v>
      </c>
      <c r="E463" s="2">
        <v>4543490485</v>
      </c>
      <c r="F463" s="2">
        <v>1233845213</v>
      </c>
      <c r="G463" s="2">
        <v>498</v>
      </c>
      <c r="H463" s="2">
        <v>156</v>
      </c>
      <c r="I463" s="2">
        <v>654</v>
      </c>
      <c r="J463" s="2">
        <v>1620</v>
      </c>
      <c r="K463" s="2">
        <v>2274</v>
      </c>
      <c r="L463" s="2">
        <v>285</v>
      </c>
      <c r="M463" s="2">
        <v>301</v>
      </c>
      <c r="N463" s="2">
        <v>130</v>
      </c>
      <c r="O463" s="2">
        <v>69</v>
      </c>
      <c r="P463" s="2">
        <v>2473</v>
      </c>
      <c r="Q463" s="2">
        <v>35052</v>
      </c>
      <c r="R463" s="13" t="s">
        <v>27</v>
      </c>
      <c r="S463" s="13" t="s">
        <v>27</v>
      </c>
    </row>
    <row r="464" spans="1:19" hidden="1" x14ac:dyDescent="0.3">
      <c r="A464" s="14">
        <v>43907.708333333336</v>
      </c>
      <c r="B464" s="13" t="s">
        <v>23</v>
      </c>
      <c r="C464" s="2">
        <v>13</v>
      </c>
      <c r="D464" s="13" t="s">
        <v>44</v>
      </c>
      <c r="E464" s="2">
        <v>4235122196</v>
      </c>
      <c r="F464" s="2">
        <v>1339843823</v>
      </c>
      <c r="G464" s="2">
        <v>94</v>
      </c>
      <c r="H464" s="2">
        <v>32</v>
      </c>
      <c r="I464" s="2">
        <v>126</v>
      </c>
      <c r="J464" s="2">
        <v>90</v>
      </c>
      <c r="K464" s="2">
        <v>216</v>
      </c>
      <c r="L464" s="2">
        <v>51</v>
      </c>
      <c r="M464" s="2">
        <v>53</v>
      </c>
      <c r="N464" s="2">
        <v>7</v>
      </c>
      <c r="O464" s="2">
        <v>6</v>
      </c>
      <c r="P464" s="2">
        <v>229</v>
      </c>
      <c r="Q464" s="2">
        <v>1688</v>
      </c>
      <c r="R464" s="13" t="s">
        <v>27</v>
      </c>
      <c r="S464" s="13" t="s">
        <v>27</v>
      </c>
    </row>
    <row r="465" spans="1:19" hidden="1" x14ac:dyDescent="0.3">
      <c r="A465" s="14">
        <v>43907.708333333336</v>
      </c>
      <c r="B465" s="13" t="s">
        <v>23</v>
      </c>
      <c r="C465" s="2">
        <v>17</v>
      </c>
      <c r="D465" s="13" t="s">
        <v>45</v>
      </c>
      <c r="E465" s="2">
        <v>4063947052</v>
      </c>
      <c r="F465" s="2">
        <v>1580514834</v>
      </c>
      <c r="G465" s="2">
        <v>5</v>
      </c>
      <c r="H465" s="2">
        <v>2</v>
      </c>
      <c r="I465" s="2">
        <v>7</v>
      </c>
      <c r="J465" s="2">
        <v>13</v>
      </c>
      <c r="K465" s="2">
        <v>20</v>
      </c>
      <c r="L465" s="2">
        <v>8</v>
      </c>
      <c r="M465" s="2">
        <v>8</v>
      </c>
      <c r="N465" s="2">
        <v>0</v>
      </c>
      <c r="O465" s="2">
        <v>0</v>
      </c>
      <c r="P465" s="2">
        <v>20</v>
      </c>
      <c r="Q465" s="2">
        <v>262</v>
      </c>
      <c r="R465" s="13" t="s">
        <v>27</v>
      </c>
      <c r="S465" s="13" t="s">
        <v>27</v>
      </c>
    </row>
    <row r="466" spans="1:19" hidden="1" x14ac:dyDescent="0.3">
      <c r="A466" s="14">
        <v>43907.708333333336</v>
      </c>
      <c r="B466" s="13" t="s">
        <v>23</v>
      </c>
      <c r="C466" s="2">
        <v>4</v>
      </c>
      <c r="D466" s="13" t="s">
        <v>46</v>
      </c>
      <c r="E466" s="2">
        <v>4649933453</v>
      </c>
      <c r="F466" s="2">
        <v>1135662422</v>
      </c>
      <c r="G466" s="2">
        <v>71</v>
      </c>
      <c r="H466" s="2">
        <v>11</v>
      </c>
      <c r="I466" s="2">
        <v>82</v>
      </c>
      <c r="J466" s="2">
        <v>200</v>
      </c>
      <c r="K466" s="2">
        <v>282</v>
      </c>
      <c r="L466" s="2">
        <v>47</v>
      </c>
      <c r="M466" s="2">
        <v>50</v>
      </c>
      <c r="N466" s="2">
        <v>1</v>
      </c>
      <c r="O466" s="2">
        <v>8</v>
      </c>
      <c r="P466" s="2">
        <v>291</v>
      </c>
      <c r="Q466" s="2">
        <v>2149</v>
      </c>
      <c r="R466" s="13" t="s">
        <v>27</v>
      </c>
      <c r="S466" s="13" t="s">
        <v>27</v>
      </c>
    </row>
    <row r="467" spans="1:19" hidden="1" x14ac:dyDescent="0.3">
      <c r="A467" s="14">
        <v>43907.708333333336</v>
      </c>
      <c r="B467" s="13" t="s">
        <v>23</v>
      </c>
      <c r="C467" s="2">
        <v>18</v>
      </c>
      <c r="D467" s="13" t="s">
        <v>47</v>
      </c>
      <c r="E467" s="2">
        <v>3890597598</v>
      </c>
      <c r="F467" s="2">
        <v>1659440194</v>
      </c>
      <c r="G467" s="2">
        <v>45</v>
      </c>
      <c r="H467" s="2">
        <v>10</v>
      </c>
      <c r="I467" s="2">
        <v>55</v>
      </c>
      <c r="J467" s="2">
        <v>57</v>
      </c>
      <c r="K467" s="2">
        <v>112</v>
      </c>
      <c r="L467" s="2">
        <v>25</v>
      </c>
      <c r="M467" s="2">
        <v>25</v>
      </c>
      <c r="N467" s="2">
        <v>1</v>
      </c>
      <c r="O467" s="2">
        <v>1</v>
      </c>
      <c r="P467" s="2">
        <v>114</v>
      </c>
      <c r="Q467" s="2">
        <v>1293</v>
      </c>
      <c r="R467" s="13" t="s">
        <v>27</v>
      </c>
      <c r="S467" s="13" t="s">
        <v>27</v>
      </c>
    </row>
    <row r="468" spans="1:19" hidden="1" x14ac:dyDescent="0.3">
      <c r="A468" s="14">
        <v>43907.708333333336</v>
      </c>
      <c r="B468" s="13" t="s">
        <v>23</v>
      </c>
      <c r="C468" s="2">
        <v>15</v>
      </c>
      <c r="D468" s="13" t="s">
        <v>48</v>
      </c>
      <c r="E468" s="2">
        <v>4083956555</v>
      </c>
      <c r="F468" s="2">
        <v>1425084984</v>
      </c>
      <c r="G468" s="2">
        <v>127</v>
      </c>
      <c r="H468" s="2">
        <v>24</v>
      </c>
      <c r="I468" s="2">
        <v>151</v>
      </c>
      <c r="J468" s="2">
        <v>272</v>
      </c>
      <c r="K468" s="2">
        <v>423</v>
      </c>
      <c r="L468" s="2">
        <v>60</v>
      </c>
      <c r="M468" s="2">
        <v>60</v>
      </c>
      <c r="N468" s="2">
        <v>28</v>
      </c>
      <c r="O468" s="2">
        <v>9</v>
      </c>
      <c r="P468" s="2">
        <v>460</v>
      </c>
      <c r="Q468" s="2">
        <v>2685</v>
      </c>
      <c r="R468" s="13" t="s">
        <v>27</v>
      </c>
      <c r="S468" s="13" t="s">
        <v>27</v>
      </c>
    </row>
    <row r="469" spans="1:19" hidden="1" x14ac:dyDescent="0.3">
      <c r="A469" s="14">
        <v>43907.708333333336</v>
      </c>
      <c r="B469" s="13" t="s">
        <v>23</v>
      </c>
      <c r="C469" s="2">
        <v>8</v>
      </c>
      <c r="D469" s="13" t="s">
        <v>98</v>
      </c>
      <c r="E469" s="2">
        <v>4449436681</v>
      </c>
      <c r="F469" s="2">
        <v>113417208</v>
      </c>
      <c r="G469" s="2">
        <v>1566</v>
      </c>
      <c r="H469" s="2">
        <v>223</v>
      </c>
      <c r="I469" s="2">
        <v>1789</v>
      </c>
      <c r="J469" s="2">
        <v>1615</v>
      </c>
      <c r="K469" s="2">
        <v>3404</v>
      </c>
      <c r="L469" s="2">
        <v>316</v>
      </c>
      <c r="M469" s="2">
        <v>409</v>
      </c>
      <c r="N469" s="2">
        <v>134</v>
      </c>
      <c r="O469" s="2">
        <v>393</v>
      </c>
      <c r="P469" s="2">
        <v>3931</v>
      </c>
      <c r="Q469" s="2">
        <v>14510</v>
      </c>
      <c r="R469" s="13" t="s">
        <v>74</v>
      </c>
      <c r="S469" s="13" t="s">
        <v>75</v>
      </c>
    </row>
    <row r="470" spans="1:19" hidden="1" x14ac:dyDescent="0.3">
      <c r="A470" s="14">
        <v>43907.708333333336</v>
      </c>
      <c r="B470" s="13" t="s">
        <v>23</v>
      </c>
      <c r="C470" s="2">
        <v>6</v>
      </c>
      <c r="D470" s="13" t="s">
        <v>49</v>
      </c>
      <c r="E470" s="2">
        <v>456494354</v>
      </c>
      <c r="F470" s="2">
        <v>1376813649</v>
      </c>
      <c r="G470" s="2">
        <v>104</v>
      </c>
      <c r="H470" s="2">
        <v>21</v>
      </c>
      <c r="I470" s="2">
        <v>125</v>
      </c>
      <c r="J470" s="2">
        <v>222</v>
      </c>
      <c r="K470" s="2">
        <v>347</v>
      </c>
      <c r="L470" s="2">
        <v>1</v>
      </c>
      <c r="M470" s="2">
        <v>8</v>
      </c>
      <c r="N470" s="2">
        <v>17</v>
      </c>
      <c r="O470" s="2">
        <v>30</v>
      </c>
      <c r="P470" s="2">
        <v>394</v>
      </c>
      <c r="Q470" s="2">
        <v>4958</v>
      </c>
      <c r="R470" s="13" t="s">
        <v>27</v>
      </c>
      <c r="S470" s="13" t="s">
        <v>27</v>
      </c>
    </row>
    <row r="471" spans="1:19" hidden="1" x14ac:dyDescent="0.3">
      <c r="A471" s="14">
        <v>43907.708333333336</v>
      </c>
      <c r="B471" s="13" t="s">
        <v>23</v>
      </c>
      <c r="C471" s="2">
        <v>12</v>
      </c>
      <c r="D471" s="13" t="s">
        <v>50</v>
      </c>
      <c r="E471" s="2">
        <v>4189277044</v>
      </c>
      <c r="F471" s="2">
        <v>1248366722</v>
      </c>
      <c r="G471" s="2">
        <v>314</v>
      </c>
      <c r="H471" s="2">
        <v>44</v>
      </c>
      <c r="I471" s="2">
        <v>358</v>
      </c>
      <c r="J471" s="2">
        <v>192</v>
      </c>
      <c r="K471" s="2">
        <v>550</v>
      </c>
      <c r="L471" s="2">
        <v>78</v>
      </c>
      <c r="M471" s="2">
        <v>84</v>
      </c>
      <c r="N471" s="2">
        <v>34</v>
      </c>
      <c r="O471" s="2">
        <v>23</v>
      </c>
      <c r="P471" s="2">
        <v>607</v>
      </c>
      <c r="Q471" s="2">
        <v>9436</v>
      </c>
      <c r="R471" s="13" t="s">
        <v>27</v>
      </c>
      <c r="S471" s="13" t="s">
        <v>27</v>
      </c>
    </row>
    <row r="472" spans="1:19" hidden="1" x14ac:dyDescent="0.3">
      <c r="A472" s="14">
        <v>43907.708333333336</v>
      </c>
      <c r="B472" s="13" t="s">
        <v>23</v>
      </c>
      <c r="C472" s="2">
        <v>7</v>
      </c>
      <c r="D472" s="13" t="s">
        <v>51</v>
      </c>
      <c r="E472" s="2">
        <v>4441149315</v>
      </c>
      <c r="F472" s="2">
        <v>89326992</v>
      </c>
      <c r="G472" s="2">
        <v>299</v>
      </c>
      <c r="H472" s="2">
        <v>85</v>
      </c>
      <c r="I472" s="2">
        <v>384</v>
      </c>
      <c r="J472" s="2">
        <v>277</v>
      </c>
      <c r="K472" s="2">
        <v>661</v>
      </c>
      <c r="L472" s="2">
        <v>86</v>
      </c>
      <c r="M472" s="2">
        <v>111</v>
      </c>
      <c r="N472" s="2">
        <v>57</v>
      </c>
      <c r="O472" s="2">
        <v>60</v>
      </c>
      <c r="P472" s="2">
        <v>778</v>
      </c>
      <c r="Q472" s="2">
        <v>2509</v>
      </c>
      <c r="R472" s="13" t="s">
        <v>27</v>
      </c>
      <c r="S472" s="13" t="s">
        <v>27</v>
      </c>
    </row>
    <row r="473" spans="1:19" x14ac:dyDescent="0.3">
      <c r="A473" s="14">
        <v>43907.708333333336</v>
      </c>
      <c r="B473" s="13" t="s">
        <v>23</v>
      </c>
      <c r="C473" s="2">
        <v>3</v>
      </c>
      <c r="D473" s="13" t="s">
        <v>52</v>
      </c>
      <c r="E473" s="2">
        <v>4546679409</v>
      </c>
      <c r="F473" s="2">
        <v>9190347404</v>
      </c>
      <c r="G473" s="2">
        <v>6953</v>
      </c>
      <c r="H473" s="2">
        <v>879</v>
      </c>
      <c r="I473" s="2">
        <v>7832</v>
      </c>
      <c r="J473" s="2">
        <v>4263</v>
      </c>
      <c r="K473" s="2">
        <v>12095</v>
      </c>
      <c r="L473" s="2">
        <v>1234</v>
      </c>
      <c r="M473" s="2">
        <v>1571</v>
      </c>
      <c r="N473" s="2">
        <v>2485</v>
      </c>
      <c r="O473" s="2">
        <v>1640</v>
      </c>
      <c r="P473" s="2">
        <v>16220</v>
      </c>
      <c r="Q473" s="2">
        <v>46449</v>
      </c>
      <c r="R473" s="13" t="s">
        <v>27</v>
      </c>
      <c r="S473" s="13" t="s">
        <v>27</v>
      </c>
    </row>
    <row r="474" spans="1:19" hidden="1" x14ac:dyDescent="0.3">
      <c r="A474" s="14">
        <v>43907.708333333336</v>
      </c>
      <c r="B474" s="13" t="s">
        <v>23</v>
      </c>
      <c r="C474" s="2">
        <v>11</v>
      </c>
      <c r="D474" s="13" t="s">
        <v>53</v>
      </c>
      <c r="E474" s="2">
        <v>4361675973</v>
      </c>
      <c r="F474" s="2">
        <v>135188753</v>
      </c>
      <c r="G474" s="2">
        <v>599</v>
      </c>
      <c r="H474" s="2">
        <v>109</v>
      </c>
      <c r="I474" s="2">
        <v>708</v>
      </c>
      <c r="J474" s="2">
        <v>594</v>
      </c>
      <c r="K474" s="2">
        <v>1302</v>
      </c>
      <c r="L474" s="2">
        <v>117</v>
      </c>
      <c r="M474" s="2">
        <v>129</v>
      </c>
      <c r="N474" s="2">
        <v>0</v>
      </c>
      <c r="O474" s="2">
        <v>69</v>
      </c>
      <c r="P474" s="2">
        <v>1371</v>
      </c>
      <c r="Q474" s="2">
        <v>3225</v>
      </c>
      <c r="R474" s="13" t="s">
        <v>27</v>
      </c>
      <c r="S474" s="13" t="s">
        <v>27</v>
      </c>
    </row>
    <row r="475" spans="1:19" hidden="1" x14ac:dyDescent="0.3">
      <c r="A475" s="14">
        <v>43907.708333333336</v>
      </c>
      <c r="B475" s="13" t="s">
        <v>23</v>
      </c>
      <c r="C475" s="2">
        <v>14</v>
      </c>
      <c r="D475" s="13" t="s">
        <v>54</v>
      </c>
      <c r="E475" s="2">
        <v>4155774754</v>
      </c>
      <c r="F475" s="2">
        <v>1465916051</v>
      </c>
      <c r="G475" s="2">
        <v>7</v>
      </c>
      <c r="H475" s="2">
        <v>5</v>
      </c>
      <c r="I475" s="2">
        <v>12</v>
      </c>
      <c r="J475" s="2">
        <v>7</v>
      </c>
      <c r="K475" s="2">
        <v>19</v>
      </c>
      <c r="L475" s="2">
        <v>4</v>
      </c>
      <c r="M475" s="2">
        <v>4</v>
      </c>
      <c r="N475" s="2">
        <v>5</v>
      </c>
      <c r="O475" s="2">
        <v>1</v>
      </c>
      <c r="P475" s="2">
        <v>25</v>
      </c>
      <c r="Q475" s="2">
        <v>301</v>
      </c>
      <c r="R475" s="13" t="s">
        <v>27</v>
      </c>
      <c r="S475" s="13" t="s">
        <v>27</v>
      </c>
    </row>
    <row r="476" spans="1:19" hidden="1" x14ac:dyDescent="0.3">
      <c r="A476" s="14">
        <v>43907.708333333336</v>
      </c>
      <c r="B476" s="13" t="s">
        <v>23</v>
      </c>
      <c r="C476" s="2">
        <v>1</v>
      </c>
      <c r="D476" s="13" t="s">
        <v>55</v>
      </c>
      <c r="E476" s="2">
        <v>450732745</v>
      </c>
      <c r="F476" s="2">
        <v>7680687483</v>
      </c>
      <c r="G476" s="2">
        <v>1378</v>
      </c>
      <c r="H476" s="2">
        <v>206</v>
      </c>
      <c r="I476" s="2">
        <v>1584</v>
      </c>
      <c r="J476" s="2">
        <v>180</v>
      </c>
      <c r="K476" s="2">
        <v>1764</v>
      </c>
      <c r="L476" s="2">
        <v>359</v>
      </c>
      <c r="M476" s="2">
        <v>381</v>
      </c>
      <c r="N476" s="2">
        <v>0</v>
      </c>
      <c r="O476" s="2">
        <v>133</v>
      </c>
      <c r="P476" s="2">
        <v>1897</v>
      </c>
      <c r="Q476" s="2">
        <v>6543</v>
      </c>
      <c r="R476" s="13" t="s">
        <v>27</v>
      </c>
      <c r="S476" s="13" t="s">
        <v>27</v>
      </c>
    </row>
    <row r="477" spans="1:19" hidden="1" x14ac:dyDescent="0.3">
      <c r="A477" s="14">
        <v>43907.708333333336</v>
      </c>
      <c r="B477" s="13" t="s">
        <v>23</v>
      </c>
      <c r="C477" s="2">
        <v>16</v>
      </c>
      <c r="D477" s="13" t="s">
        <v>56</v>
      </c>
      <c r="E477" s="2">
        <v>4112559576</v>
      </c>
      <c r="F477" s="2">
        <v>1686736689</v>
      </c>
      <c r="G477" s="2">
        <v>155</v>
      </c>
      <c r="H477" s="2">
        <v>14</v>
      </c>
      <c r="I477" s="2">
        <v>169</v>
      </c>
      <c r="J477" s="2">
        <v>151</v>
      </c>
      <c r="K477" s="2">
        <v>320</v>
      </c>
      <c r="L477" s="2">
        <v>108</v>
      </c>
      <c r="M477" s="2">
        <v>110</v>
      </c>
      <c r="N477" s="2">
        <v>2</v>
      </c>
      <c r="O477" s="2">
        <v>18</v>
      </c>
      <c r="P477" s="2">
        <v>340</v>
      </c>
      <c r="Q477" s="2">
        <v>3077</v>
      </c>
      <c r="R477" s="13" t="s">
        <v>27</v>
      </c>
      <c r="S477" s="13" t="s">
        <v>27</v>
      </c>
    </row>
    <row r="478" spans="1:19" hidden="1" x14ac:dyDescent="0.3">
      <c r="A478" s="14">
        <v>43907.708333333336</v>
      </c>
      <c r="B478" s="13" t="s">
        <v>23</v>
      </c>
      <c r="C478" s="2">
        <v>20</v>
      </c>
      <c r="D478" s="13" t="s">
        <v>57</v>
      </c>
      <c r="E478" s="2">
        <v>3921531192</v>
      </c>
      <c r="F478" s="2">
        <v>9110616306</v>
      </c>
      <c r="G478" s="2">
        <v>36</v>
      </c>
      <c r="H478" s="2">
        <v>4</v>
      </c>
      <c r="I478" s="2">
        <v>40</v>
      </c>
      <c r="J478" s="2">
        <v>75</v>
      </c>
      <c r="K478" s="2">
        <v>115</v>
      </c>
      <c r="L478" s="2">
        <v>10</v>
      </c>
      <c r="M478" s="2">
        <v>10</v>
      </c>
      <c r="N478" s="2">
        <v>0</v>
      </c>
      <c r="O478" s="2">
        <v>2</v>
      </c>
      <c r="P478" s="2">
        <v>117</v>
      </c>
      <c r="Q478" s="2">
        <v>1003</v>
      </c>
      <c r="R478" s="13" t="s">
        <v>27</v>
      </c>
      <c r="S478" s="13" t="s">
        <v>27</v>
      </c>
    </row>
    <row r="479" spans="1:19" hidden="1" x14ac:dyDescent="0.3">
      <c r="A479" s="14">
        <v>43907.708333333336</v>
      </c>
      <c r="B479" s="13" t="s">
        <v>23</v>
      </c>
      <c r="C479" s="2">
        <v>19</v>
      </c>
      <c r="D479" s="13" t="s">
        <v>58</v>
      </c>
      <c r="E479" s="2">
        <v>3811569725</v>
      </c>
      <c r="F479" s="2">
        <v>133623567</v>
      </c>
      <c r="G479" s="2">
        <v>86</v>
      </c>
      <c r="H479" s="2">
        <v>28</v>
      </c>
      <c r="I479" s="2">
        <v>114</v>
      </c>
      <c r="J479" s="2">
        <v>112</v>
      </c>
      <c r="K479" s="2">
        <v>226</v>
      </c>
      <c r="L479" s="2">
        <v>23</v>
      </c>
      <c r="M479" s="2">
        <v>24</v>
      </c>
      <c r="N479" s="2">
        <v>8</v>
      </c>
      <c r="O479" s="2">
        <v>3</v>
      </c>
      <c r="P479" s="2">
        <v>237</v>
      </c>
      <c r="Q479" s="2">
        <v>2916</v>
      </c>
      <c r="R479" s="13" t="s">
        <v>27</v>
      </c>
      <c r="S479" s="13" t="s">
        <v>27</v>
      </c>
    </row>
    <row r="480" spans="1:19" hidden="1" x14ac:dyDescent="0.3">
      <c r="A480" s="14">
        <v>43907.708333333336</v>
      </c>
      <c r="B480" s="13" t="s">
        <v>23</v>
      </c>
      <c r="C480" s="2">
        <v>9</v>
      </c>
      <c r="D480" s="13" t="s">
        <v>59</v>
      </c>
      <c r="E480" s="2">
        <v>4376923077</v>
      </c>
      <c r="F480" s="2">
        <v>1125588885</v>
      </c>
      <c r="G480" s="2">
        <v>329</v>
      </c>
      <c r="H480" s="2">
        <v>143</v>
      </c>
      <c r="I480" s="2">
        <v>472</v>
      </c>
      <c r="J480" s="2">
        <v>552</v>
      </c>
      <c r="K480" s="2">
        <v>1024</v>
      </c>
      <c r="L480" s="2">
        <v>183</v>
      </c>
      <c r="M480" s="2">
        <v>187</v>
      </c>
      <c r="N480" s="2">
        <v>12</v>
      </c>
      <c r="O480" s="2">
        <v>17</v>
      </c>
      <c r="P480" s="2">
        <v>1053</v>
      </c>
      <c r="Q480" s="2">
        <v>6727</v>
      </c>
      <c r="R480" s="13" t="s">
        <v>27</v>
      </c>
      <c r="S480" s="13" t="s">
        <v>27</v>
      </c>
    </row>
    <row r="481" spans="1:19" hidden="1" x14ac:dyDescent="0.3">
      <c r="A481" s="14">
        <v>43907.708333333336</v>
      </c>
      <c r="B481" s="13" t="s">
        <v>23</v>
      </c>
      <c r="C481" s="2">
        <v>4</v>
      </c>
      <c r="D481" s="13" t="s">
        <v>60</v>
      </c>
      <c r="E481" s="2">
        <v>4606893511</v>
      </c>
      <c r="F481" s="2">
        <v>1112123097</v>
      </c>
      <c r="G481" s="2">
        <v>107</v>
      </c>
      <c r="H481" s="2">
        <v>22</v>
      </c>
      <c r="I481" s="2">
        <v>129</v>
      </c>
      <c r="J481" s="2">
        <v>239</v>
      </c>
      <c r="K481" s="2">
        <v>368</v>
      </c>
      <c r="L481" s="2">
        <v>1</v>
      </c>
      <c r="M481" s="2">
        <v>7</v>
      </c>
      <c r="N481" s="2">
        <v>10</v>
      </c>
      <c r="O481" s="2">
        <v>7</v>
      </c>
      <c r="P481" s="2">
        <v>385</v>
      </c>
      <c r="Q481" s="2">
        <v>1727</v>
      </c>
      <c r="R481" s="13" t="s">
        <v>27</v>
      </c>
      <c r="S481" s="13" t="s">
        <v>27</v>
      </c>
    </row>
    <row r="482" spans="1:19" hidden="1" x14ac:dyDescent="0.3">
      <c r="A482" s="14">
        <v>43907.708333333336</v>
      </c>
      <c r="B482" s="13" t="s">
        <v>23</v>
      </c>
      <c r="C482" s="2">
        <v>10</v>
      </c>
      <c r="D482" s="13" t="s">
        <v>61</v>
      </c>
      <c r="E482" s="2">
        <v>4310675841</v>
      </c>
      <c r="F482" s="2">
        <v>1238824698</v>
      </c>
      <c r="G482" s="2">
        <v>36</v>
      </c>
      <c r="H482" s="2">
        <v>21</v>
      </c>
      <c r="I482" s="2">
        <v>57</v>
      </c>
      <c r="J482" s="2">
        <v>135</v>
      </c>
      <c r="K482" s="2">
        <v>192</v>
      </c>
      <c r="L482" s="2">
        <v>33</v>
      </c>
      <c r="M482" s="2">
        <v>33</v>
      </c>
      <c r="N482" s="2">
        <v>4</v>
      </c>
      <c r="O482" s="2">
        <v>1</v>
      </c>
      <c r="P482" s="2">
        <v>197</v>
      </c>
      <c r="Q482" s="2">
        <v>1323</v>
      </c>
      <c r="R482" s="13" t="s">
        <v>27</v>
      </c>
      <c r="S482" s="13" t="s">
        <v>27</v>
      </c>
    </row>
    <row r="483" spans="1:19" hidden="1" x14ac:dyDescent="0.3">
      <c r="A483" s="14">
        <v>43907.708333333336</v>
      </c>
      <c r="B483" s="13" t="s">
        <v>23</v>
      </c>
      <c r="C483" s="2">
        <v>2</v>
      </c>
      <c r="D483" s="13" t="s">
        <v>62</v>
      </c>
      <c r="E483" s="2">
        <v>4573750286</v>
      </c>
      <c r="F483" s="2">
        <v>7320149366</v>
      </c>
      <c r="G483" s="2">
        <v>35</v>
      </c>
      <c r="H483" s="2">
        <v>6</v>
      </c>
      <c r="I483" s="2">
        <v>41</v>
      </c>
      <c r="J483" s="2">
        <v>93</v>
      </c>
      <c r="K483" s="2">
        <v>134</v>
      </c>
      <c r="L483" s="2">
        <v>31</v>
      </c>
      <c r="M483" s="2">
        <v>31</v>
      </c>
      <c r="N483" s="2">
        <v>0</v>
      </c>
      <c r="O483" s="2">
        <v>2</v>
      </c>
      <c r="P483" s="2">
        <v>136</v>
      </c>
      <c r="Q483" s="2">
        <v>398</v>
      </c>
      <c r="R483" s="13" t="s">
        <v>27</v>
      </c>
      <c r="S483" s="13" t="s">
        <v>27</v>
      </c>
    </row>
    <row r="484" spans="1:19" hidden="1" x14ac:dyDescent="0.3">
      <c r="A484" s="14">
        <v>43907.708333333336</v>
      </c>
      <c r="B484" s="13" t="s">
        <v>23</v>
      </c>
      <c r="C484" s="2">
        <v>5</v>
      </c>
      <c r="D484" s="13" t="s">
        <v>63</v>
      </c>
      <c r="E484" s="2">
        <v>4543490485</v>
      </c>
      <c r="F484" s="2">
        <v>1233845213</v>
      </c>
      <c r="G484" s="2">
        <v>548</v>
      </c>
      <c r="H484" s="2">
        <v>171</v>
      </c>
      <c r="I484" s="2">
        <v>719</v>
      </c>
      <c r="J484" s="2">
        <v>1769</v>
      </c>
      <c r="K484" s="2">
        <v>2488</v>
      </c>
      <c r="L484" s="2">
        <v>214</v>
      </c>
      <c r="M484" s="2">
        <v>231</v>
      </c>
      <c r="N484" s="2">
        <v>136</v>
      </c>
      <c r="O484" s="2">
        <v>80</v>
      </c>
      <c r="P484" s="2">
        <v>2704</v>
      </c>
      <c r="Q484" s="2">
        <v>35478</v>
      </c>
      <c r="R484" s="13" t="s">
        <v>27</v>
      </c>
      <c r="S484" s="13" t="s">
        <v>27</v>
      </c>
    </row>
    <row r="485" spans="1:19" hidden="1" x14ac:dyDescent="0.3">
      <c r="A485" s="14">
        <v>43908.708333333336</v>
      </c>
      <c r="B485" s="13" t="s">
        <v>23</v>
      </c>
      <c r="C485" s="2">
        <v>13</v>
      </c>
      <c r="D485" s="13" t="s">
        <v>44</v>
      </c>
      <c r="E485" s="2">
        <v>4235122196</v>
      </c>
      <c r="F485" s="2">
        <v>1339843823</v>
      </c>
      <c r="G485" s="2">
        <v>99</v>
      </c>
      <c r="H485" s="2">
        <v>41</v>
      </c>
      <c r="I485" s="2">
        <v>140</v>
      </c>
      <c r="J485" s="2">
        <v>109</v>
      </c>
      <c r="K485" s="2">
        <v>249</v>
      </c>
      <c r="L485" s="2">
        <v>33</v>
      </c>
      <c r="M485" s="2">
        <v>34</v>
      </c>
      <c r="N485" s="2">
        <v>7</v>
      </c>
      <c r="O485" s="2">
        <v>7</v>
      </c>
      <c r="P485" s="2">
        <v>263</v>
      </c>
      <c r="Q485" s="2">
        <v>2054</v>
      </c>
      <c r="R485" s="13" t="s">
        <v>27</v>
      </c>
      <c r="S485" s="13" t="s">
        <v>27</v>
      </c>
    </row>
    <row r="486" spans="1:19" hidden="1" x14ac:dyDescent="0.3">
      <c r="A486" s="14">
        <v>43908.708333333336</v>
      </c>
      <c r="B486" s="13" t="s">
        <v>23</v>
      </c>
      <c r="C486" s="2">
        <v>17</v>
      </c>
      <c r="D486" s="13" t="s">
        <v>45</v>
      </c>
      <c r="E486" s="2">
        <v>4063947052</v>
      </c>
      <c r="F486" s="2">
        <v>1580514834</v>
      </c>
      <c r="G486" s="2">
        <v>9</v>
      </c>
      <c r="H486" s="2">
        <v>2</v>
      </c>
      <c r="I486" s="2">
        <v>11</v>
      </c>
      <c r="J486" s="2">
        <v>16</v>
      </c>
      <c r="K486" s="2">
        <v>27</v>
      </c>
      <c r="L486" s="2">
        <v>7</v>
      </c>
      <c r="M486" s="2">
        <v>7</v>
      </c>
      <c r="N486" s="2">
        <v>0</v>
      </c>
      <c r="O486" s="2">
        <v>0</v>
      </c>
      <c r="P486" s="2">
        <v>27</v>
      </c>
      <c r="Q486" s="2">
        <v>262</v>
      </c>
      <c r="R486" s="13" t="s">
        <v>27</v>
      </c>
      <c r="S486" s="13" t="s">
        <v>27</v>
      </c>
    </row>
    <row r="487" spans="1:19" hidden="1" x14ac:dyDescent="0.3">
      <c r="A487" s="14">
        <v>43908.708333333336</v>
      </c>
      <c r="B487" s="13" t="s">
        <v>23</v>
      </c>
      <c r="C487" s="2">
        <v>4</v>
      </c>
      <c r="D487" s="13" t="s">
        <v>46</v>
      </c>
      <c r="E487" s="2">
        <v>4649933453</v>
      </c>
      <c r="F487" s="2">
        <v>1135662422</v>
      </c>
      <c r="G487" s="2">
        <v>79</v>
      </c>
      <c r="H487" s="2">
        <v>18</v>
      </c>
      <c r="I487" s="2">
        <v>97</v>
      </c>
      <c r="J487" s="2">
        <v>269</v>
      </c>
      <c r="K487" s="2">
        <v>366</v>
      </c>
      <c r="L487" s="2">
        <v>84</v>
      </c>
      <c r="M487" s="2">
        <v>85</v>
      </c>
      <c r="N487" s="2">
        <v>1</v>
      </c>
      <c r="O487" s="2">
        <v>9</v>
      </c>
      <c r="P487" s="2">
        <v>376</v>
      </c>
      <c r="Q487" s="2">
        <v>2844</v>
      </c>
      <c r="R487" s="13" t="s">
        <v>27</v>
      </c>
      <c r="S487" s="13" t="s">
        <v>27</v>
      </c>
    </row>
    <row r="488" spans="1:19" hidden="1" x14ac:dyDescent="0.3">
      <c r="A488" s="14">
        <v>43908.708333333336</v>
      </c>
      <c r="B488" s="13" t="s">
        <v>23</v>
      </c>
      <c r="C488" s="2">
        <v>18</v>
      </c>
      <c r="D488" s="13" t="s">
        <v>47</v>
      </c>
      <c r="E488" s="2">
        <v>3890597598</v>
      </c>
      <c r="F488" s="2">
        <v>1659440194</v>
      </c>
      <c r="G488" s="2">
        <v>45</v>
      </c>
      <c r="H488" s="2">
        <v>11</v>
      </c>
      <c r="I488" s="2">
        <v>56</v>
      </c>
      <c r="J488" s="2">
        <v>70</v>
      </c>
      <c r="K488" s="2">
        <v>126</v>
      </c>
      <c r="L488" s="2">
        <v>14</v>
      </c>
      <c r="M488" s="2">
        <v>15</v>
      </c>
      <c r="N488" s="2">
        <v>2</v>
      </c>
      <c r="O488" s="2">
        <v>1</v>
      </c>
      <c r="P488" s="2">
        <v>129</v>
      </c>
      <c r="Q488" s="2">
        <v>1668</v>
      </c>
      <c r="R488" s="13" t="s">
        <v>27</v>
      </c>
      <c r="S488" s="13" t="s">
        <v>27</v>
      </c>
    </row>
    <row r="489" spans="1:19" hidden="1" x14ac:dyDescent="0.3">
      <c r="A489" s="14">
        <v>43908.708333333336</v>
      </c>
      <c r="B489" s="13" t="s">
        <v>23</v>
      </c>
      <c r="C489" s="2">
        <v>15</v>
      </c>
      <c r="D489" s="13" t="s">
        <v>48</v>
      </c>
      <c r="E489" s="2">
        <v>4083956555</v>
      </c>
      <c r="F489" s="2">
        <v>1425084984</v>
      </c>
      <c r="G489" s="2">
        <v>127</v>
      </c>
      <c r="H489" s="2">
        <v>24</v>
      </c>
      <c r="I489" s="2">
        <v>151</v>
      </c>
      <c r="J489" s="2">
        <v>272</v>
      </c>
      <c r="K489" s="2">
        <v>423</v>
      </c>
      <c r="L489" s="2">
        <v>0</v>
      </c>
      <c r="M489" s="2">
        <v>0</v>
      </c>
      <c r="N489" s="2">
        <v>28</v>
      </c>
      <c r="O489" s="2">
        <v>9</v>
      </c>
      <c r="P489" s="2">
        <v>460</v>
      </c>
      <c r="Q489" s="2">
        <v>2685</v>
      </c>
      <c r="R489" s="13" t="s">
        <v>76</v>
      </c>
      <c r="S489" s="13" t="s">
        <v>77</v>
      </c>
    </row>
    <row r="490" spans="1:19" hidden="1" x14ac:dyDescent="0.3">
      <c r="A490" s="14">
        <v>43908.708333333336</v>
      </c>
      <c r="B490" s="13" t="s">
        <v>23</v>
      </c>
      <c r="C490" s="2">
        <v>8</v>
      </c>
      <c r="D490" s="13" t="s">
        <v>98</v>
      </c>
      <c r="E490" s="2">
        <v>4449436681</v>
      </c>
      <c r="F490" s="2">
        <v>113417208</v>
      </c>
      <c r="G490" s="2">
        <v>1784</v>
      </c>
      <c r="H490" s="2">
        <v>247</v>
      </c>
      <c r="I490" s="2">
        <v>2031</v>
      </c>
      <c r="J490" s="2">
        <v>1884</v>
      </c>
      <c r="K490" s="2">
        <v>3915</v>
      </c>
      <c r="L490" s="2">
        <v>511</v>
      </c>
      <c r="M490" s="2">
        <v>594</v>
      </c>
      <c r="N490" s="2">
        <v>152</v>
      </c>
      <c r="O490" s="2">
        <v>458</v>
      </c>
      <c r="P490" s="2">
        <v>4525</v>
      </c>
      <c r="Q490" s="2">
        <v>15461</v>
      </c>
      <c r="R490" s="13" t="s">
        <v>78</v>
      </c>
      <c r="S490" s="13" t="s">
        <v>79</v>
      </c>
    </row>
    <row r="491" spans="1:19" hidden="1" x14ac:dyDescent="0.3">
      <c r="A491" s="14">
        <v>43908.708333333336</v>
      </c>
      <c r="B491" s="13" t="s">
        <v>23</v>
      </c>
      <c r="C491" s="2">
        <v>6</v>
      </c>
      <c r="D491" s="13" t="s">
        <v>49</v>
      </c>
      <c r="E491" s="2">
        <v>456494354</v>
      </c>
      <c r="F491" s="2">
        <v>1376813649</v>
      </c>
      <c r="G491" s="2">
        <v>128</v>
      </c>
      <c r="H491" s="2">
        <v>27</v>
      </c>
      <c r="I491" s="2">
        <v>155</v>
      </c>
      <c r="J491" s="2">
        <v>261</v>
      </c>
      <c r="K491" s="2">
        <v>416</v>
      </c>
      <c r="L491" s="2">
        <v>69</v>
      </c>
      <c r="M491" s="2">
        <v>68</v>
      </c>
      <c r="N491" s="2">
        <v>15</v>
      </c>
      <c r="O491" s="2">
        <v>31</v>
      </c>
      <c r="P491" s="2">
        <v>462</v>
      </c>
      <c r="Q491" s="2">
        <v>4958</v>
      </c>
      <c r="R491" s="13" t="s">
        <v>27</v>
      </c>
      <c r="S491" s="13" t="s">
        <v>27</v>
      </c>
    </row>
    <row r="492" spans="1:19" hidden="1" x14ac:dyDescent="0.3">
      <c r="A492" s="14">
        <v>43908.708333333336</v>
      </c>
      <c r="B492" s="13" t="s">
        <v>23</v>
      </c>
      <c r="C492" s="2">
        <v>12</v>
      </c>
      <c r="D492" s="13" t="s">
        <v>50</v>
      </c>
      <c r="E492" s="2">
        <v>4189277044</v>
      </c>
      <c r="F492" s="2">
        <v>1248366722</v>
      </c>
      <c r="G492" s="2">
        <v>374</v>
      </c>
      <c r="H492" s="2">
        <v>44</v>
      </c>
      <c r="I492" s="2">
        <v>418</v>
      </c>
      <c r="J492" s="2">
        <v>232</v>
      </c>
      <c r="K492" s="2">
        <v>650</v>
      </c>
      <c r="L492" s="2">
        <v>100</v>
      </c>
      <c r="M492" s="2">
        <v>117</v>
      </c>
      <c r="N492" s="2">
        <v>42</v>
      </c>
      <c r="O492" s="2">
        <v>32</v>
      </c>
      <c r="P492" s="2">
        <v>724</v>
      </c>
      <c r="Q492" s="2">
        <v>11145</v>
      </c>
      <c r="R492" s="13" t="s">
        <v>27</v>
      </c>
      <c r="S492" s="13" t="s">
        <v>27</v>
      </c>
    </row>
    <row r="493" spans="1:19" hidden="1" x14ac:dyDescent="0.3">
      <c r="A493" s="14">
        <v>43908.708333333336</v>
      </c>
      <c r="B493" s="13" t="s">
        <v>23</v>
      </c>
      <c r="C493" s="2">
        <v>7</v>
      </c>
      <c r="D493" s="13" t="s">
        <v>51</v>
      </c>
      <c r="E493" s="2">
        <v>4441149315</v>
      </c>
      <c r="F493" s="2">
        <v>89326992</v>
      </c>
      <c r="G493" s="2">
        <v>401</v>
      </c>
      <c r="H493" s="2">
        <v>100</v>
      </c>
      <c r="I493" s="2">
        <v>501</v>
      </c>
      <c r="J493" s="2">
        <v>243</v>
      </c>
      <c r="K493" s="2">
        <v>744</v>
      </c>
      <c r="L493" s="2">
        <v>83</v>
      </c>
      <c r="M493" s="2">
        <v>109</v>
      </c>
      <c r="N493" s="2">
        <v>70</v>
      </c>
      <c r="O493" s="2">
        <v>73</v>
      </c>
      <c r="P493" s="2">
        <v>887</v>
      </c>
      <c r="Q493" s="2">
        <v>2912</v>
      </c>
      <c r="R493" s="13" t="s">
        <v>27</v>
      </c>
      <c r="S493" s="13" t="s">
        <v>27</v>
      </c>
    </row>
    <row r="494" spans="1:19" x14ac:dyDescent="0.3">
      <c r="A494" s="14">
        <v>43908.708333333336</v>
      </c>
      <c r="B494" s="13" t="s">
        <v>23</v>
      </c>
      <c r="C494" s="2">
        <v>3</v>
      </c>
      <c r="D494" s="13" t="s">
        <v>52</v>
      </c>
      <c r="E494" s="2">
        <v>4546679409</v>
      </c>
      <c r="F494" s="2">
        <v>9190347404</v>
      </c>
      <c r="G494" s="2">
        <v>7285</v>
      </c>
      <c r="H494" s="2">
        <v>924</v>
      </c>
      <c r="I494" s="2">
        <v>8209</v>
      </c>
      <c r="J494" s="2">
        <v>4057</v>
      </c>
      <c r="K494" s="2">
        <v>12266</v>
      </c>
      <c r="L494" s="2">
        <v>171</v>
      </c>
      <c r="M494" s="2">
        <v>1493</v>
      </c>
      <c r="N494" s="2">
        <v>3488</v>
      </c>
      <c r="O494" s="2">
        <v>1959</v>
      </c>
      <c r="P494" s="2">
        <v>17713</v>
      </c>
      <c r="Q494" s="2">
        <v>48983</v>
      </c>
      <c r="R494" s="13" t="s">
        <v>27</v>
      </c>
      <c r="S494" s="13" t="s">
        <v>27</v>
      </c>
    </row>
    <row r="495" spans="1:19" hidden="1" x14ac:dyDescent="0.3">
      <c r="A495" s="14">
        <v>43908.708333333336</v>
      </c>
      <c r="B495" s="13" t="s">
        <v>23</v>
      </c>
      <c r="C495" s="2">
        <v>11</v>
      </c>
      <c r="D495" s="13" t="s">
        <v>53</v>
      </c>
      <c r="E495" s="2">
        <v>4361675973</v>
      </c>
      <c r="F495" s="2">
        <v>135188753</v>
      </c>
      <c r="G495" s="2">
        <v>638</v>
      </c>
      <c r="H495" s="2">
        <v>119</v>
      </c>
      <c r="I495" s="2">
        <v>757</v>
      </c>
      <c r="J495" s="2">
        <v>719</v>
      </c>
      <c r="K495" s="2">
        <v>1476</v>
      </c>
      <c r="L495" s="2">
        <v>174</v>
      </c>
      <c r="M495" s="2">
        <v>197</v>
      </c>
      <c r="N495" s="2">
        <v>0</v>
      </c>
      <c r="O495" s="2">
        <v>92</v>
      </c>
      <c r="P495" s="2">
        <v>1568</v>
      </c>
      <c r="Q495" s="2">
        <v>4109</v>
      </c>
      <c r="R495" s="13" t="s">
        <v>27</v>
      </c>
      <c r="S495" s="13" t="s">
        <v>27</v>
      </c>
    </row>
    <row r="496" spans="1:19" hidden="1" x14ac:dyDescent="0.3">
      <c r="A496" s="14">
        <v>43908.708333333336</v>
      </c>
      <c r="B496" s="13" t="s">
        <v>23</v>
      </c>
      <c r="C496" s="2">
        <v>14</v>
      </c>
      <c r="D496" s="13" t="s">
        <v>54</v>
      </c>
      <c r="E496" s="2">
        <v>4155774754</v>
      </c>
      <c r="F496" s="2">
        <v>1465916051</v>
      </c>
      <c r="G496" s="2">
        <v>7</v>
      </c>
      <c r="H496" s="2">
        <v>6</v>
      </c>
      <c r="I496" s="2">
        <v>13</v>
      </c>
      <c r="J496" s="2">
        <v>8</v>
      </c>
      <c r="K496" s="2">
        <v>21</v>
      </c>
      <c r="L496" s="2">
        <v>2</v>
      </c>
      <c r="M496" s="2">
        <v>3</v>
      </c>
      <c r="N496" s="2">
        <v>6</v>
      </c>
      <c r="O496" s="2">
        <v>1</v>
      </c>
      <c r="P496" s="2">
        <v>28</v>
      </c>
      <c r="Q496" s="2">
        <v>361</v>
      </c>
      <c r="R496" s="13" t="s">
        <v>27</v>
      </c>
      <c r="S496" s="13" t="s">
        <v>27</v>
      </c>
    </row>
    <row r="497" spans="1:19" hidden="1" x14ac:dyDescent="0.3">
      <c r="A497" s="14">
        <v>43908.708333333336</v>
      </c>
      <c r="B497" s="13" t="s">
        <v>23</v>
      </c>
      <c r="C497" s="2">
        <v>1</v>
      </c>
      <c r="D497" s="13" t="s">
        <v>55</v>
      </c>
      <c r="E497" s="2">
        <v>450732745</v>
      </c>
      <c r="F497" s="2">
        <v>7680687483</v>
      </c>
      <c r="G497" s="2">
        <v>1780</v>
      </c>
      <c r="H497" s="2">
        <v>227</v>
      </c>
      <c r="I497" s="2">
        <v>2007</v>
      </c>
      <c r="J497" s="2">
        <v>180</v>
      </c>
      <c r="K497" s="2">
        <v>2187</v>
      </c>
      <c r="L497" s="2">
        <v>423</v>
      </c>
      <c r="M497" s="2">
        <v>444</v>
      </c>
      <c r="N497" s="2">
        <v>0</v>
      </c>
      <c r="O497" s="2">
        <v>154</v>
      </c>
      <c r="P497" s="2">
        <v>2341</v>
      </c>
      <c r="Q497" s="2">
        <v>7516</v>
      </c>
      <c r="R497" s="13" t="s">
        <v>27</v>
      </c>
      <c r="S497" s="13" t="s">
        <v>27</v>
      </c>
    </row>
    <row r="498" spans="1:19" hidden="1" x14ac:dyDescent="0.3">
      <c r="A498" s="14">
        <v>43908.708333333336</v>
      </c>
      <c r="B498" s="13" t="s">
        <v>23</v>
      </c>
      <c r="C498" s="2">
        <v>16</v>
      </c>
      <c r="D498" s="13" t="s">
        <v>56</v>
      </c>
      <c r="E498" s="2">
        <v>4112559576</v>
      </c>
      <c r="F498" s="2">
        <v>1686736689</v>
      </c>
      <c r="G498" s="2">
        <v>156</v>
      </c>
      <c r="H498" s="2">
        <v>30</v>
      </c>
      <c r="I498" s="2">
        <v>186</v>
      </c>
      <c r="J498" s="2">
        <v>176</v>
      </c>
      <c r="K498" s="2">
        <v>362</v>
      </c>
      <c r="L498" s="2">
        <v>42</v>
      </c>
      <c r="M498" s="2">
        <v>43</v>
      </c>
      <c r="N498" s="2">
        <v>2</v>
      </c>
      <c r="O498" s="2">
        <v>19</v>
      </c>
      <c r="P498" s="2">
        <v>383</v>
      </c>
      <c r="Q498" s="2">
        <v>3433</v>
      </c>
      <c r="R498" s="13" t="s">
        <v>27</v>
      </c>
      <c r="S498" s="13" t="s">
        <v>27</v>
      </c>
    </row>
    <row r="499" spans="1:19" hidden="1" x14ac:dyDescent="0.3">
      <c r="A499" s="14">
        <v>43908.708333333336</v>
      </c>
      <c r="B499" s="13" t="s">
        <v>23</v>
      </c>
      <c r="C499" s="2">
        <v>20</v>
      </c>
      <c r="D499" s="13" t="s">
        <v>57</v>
      </c>
      <c r="E499" s="2">
        <v>3921531192</v>
      </c>
      <c r="F499" s="2">
        <v>9110616306</v>
      </c>
      <c r="G499" s="2">
        <v>42</v>
      </c>
      <c r="H499" s="2">
        <v>7</v>
      </c>
      <c r="I499" s="2">
        <v>49</v>
      </c>
      <c r="J499" s="2">
        <v>83</v>
      </c>
      <c r="K499" s="2">
        <v>132</v>
      </c>
      <c r="L499" s="2">
        <v>17</v>
      </c>
      <c r="M499" s="2">
        <v>17</v>
      </c>
      <c r="N499" s="2">
        <v>0</v>
      </c>
      <c r="O499" s="2">
        <v>2</v>
      </c>
      <c r="P499" s="2">
        <v>134</v>
      </c>
      <c r="Q499" s="2">
        <v>1135</v>
      </c>
      <c r="R499" s="13" t="s">
        <v>27</v>
      </c>
      <c r="S499" s="13" t="s">
        <v>27</v>
      </c>
    </row>
    <row r="500" spans="1:19" hidden="1" x14ac:dyDescent="0.3">
      <c r="A500" s="14">
        <v>43908.708333333336</v>
      </c>
      <c r="B500" s="13" t="s">
        <v>23</v>
      </c>
      <c r="C500" s="2">
        <v>19</v>
      </c>
      <c r="D500" s="13" t="s">
        <v>58</v>
      </c>
      <c r="E500" s="2">
        <v>3811569725</v>
      </c>
      <c r="F500" s="2">
        <v>133623567</v>
      </c>
      <c r="G500" s="2">
        <v>100</v>
      </c>
      <c r="H500" s="2">
        <v>29</v>
      </c>
      <c r="I500" s="2">
        <v>129</v>
      </c>
      <c r="J500" s="2">
        <v>138</v>
      </c>
      <c r="K500" s="2">
        <v>267</v>
      </c>
      <c r="L500" s="2">
        <v>41</v>
      </c>
      <c r="M500" s="2">
        <v>45</v>
      </c>
      <c r="N500" s="2">
        <v>12</v>
      </c>
      <c r="O500" s="2">
        <v>3</v>
      </c>
      <c r="P500" s="2">
        <v>282</v>
      </c>
      <c r="Q500" s="2">
        <v>3294</v>
      </c>
      <c r="R500" s="13" t="s">
        <v>27</v>
      </c>
      <c r="S500" s="13" t="s">
        <v>27</v>
      </c>
    </row>
    <row r="501" spans="1:19" hidden="1" x14ac:dyDescent="0.3">
      <c r="A501" s="14">
        <v>43908.708333333336</v>
      </c>
      <c r="B501" s="13" t="s">
        <v>23</v>
      </c>
      <c r="C501" s="2">
        <v>9</v>
      </c>
      <c r="D501" s="13" t="s">
        <v>59</v>
      </c>
      <c r="E501" s="2">
        <v>4376923077</v>
      </c>
      <c r="F501" s="2">
        <v>1125588885</v>
      </c>
      <c r="G501" s="2">
        <v>427</v>
      </c>
      <c r="H501" s="2">
        <v>160</v>
      </c>
      <c r="I501" s="2">
        <v>587</v>
      </c>
      <c r="J501" s="2">
        <v>704</v>
      </c>
      <c r="K501" s="2">
        <v>1291</v>
      </c>
      <c r="L501" s="2">
        <v>267</v>
      </c>
      <c r="M501" s="2">
        <v>277</v>
      </c>
      <c r="N501" s="2">
        <v>17</v>
      </c>
      <c r="O501" s="2">
        <v>22</v>
      </c>
      <c r="P501" s="2">
        <v>1330</v>
      </c>
      <c r="Q501" s="2">
        <v>7606</v>
      </c>
      <c r="R501" s="13" t="s">
        <v>27</v>
      </c>
      <c r="S501" s="13" t="s">
        <v>27</v>
      </c>
    </row>
    <row r="502" spans="1:19" hidden="1" x14ac:dyDescent="0.3">
      <c r="A502" s="14">
        <v>43908.708333333336</v>
      </c>
      <c r="B502" s="13" t="s">
        <v>23</v>
      </c>
      <c r="C502" s="2">
        <v>4</v>
      </c>
      <c r="D502" s="13" t="s">
        <v>60</v>
      </c>
      <c r="E502" s="2">
        <v>4606893511</v>
      </c>
      <c r="F502" s="2">
        <v>1112123097</v>
      </c>
      <c r="G502" s="2">
        <v>141</v>
      </c>
      <c r="H502" s="2">
        <v>22</v>
      </c>
      <c r="I502" s="2">
        <v>163</v>
      </c>
      <c r="J502" s="2">
        <v>273</v>
      </c>
      <c r="K502" s="2">
        <v>436</v>
      </c>
      <c r="L502" s="2">
        <v>68</v>
      </c>
      <c r="M502" s="2">
        <v>70</v>
      </c>
      <c r="N502" s="2">
        <v>12</v>
      </c>
      <c r="O502" s="2">
        <v>7</v>
      </c>
      <c r="P502" s="2">
        <v>455</v>
      </c>
      <c r="Q502" s="2">
        <v>2187</v>
      </c>
      <c r="R502" s="13" t="s">
        <v>27</v>
      </c>
      <c r="S502" s="13" t="s">
        <v>27</v>
      </c>
    </row>
    <row r="503" spans="1:19" hidden="1" x14ac:dyDescent="0.3">
      <c r="A503" s="14">
        <v>43908.708333333336</v>
      </c>
      <c r="B503" s="13" t="s">
        <v>23</v>
      </c>
      <c r="C503" s="2">
        <v>10</v>
      </c>
      <c r="D503" s="13" t="s">
        <v>61</v>
      </c>
      <c r="E503" s="2">
        <v>4310675841</v>
      </c>
      <c r="F503" s="2">
        <v>1238824698</v>
      </c>
      <c r="G503" s="2">
        <v>54</v>
      </c>
      <c r="H503" s="2">
        <v>21</v>
      </c>
      <c r="I503" s="2">
        <v>75</v>
      </c>
      <c r="J503" s="2">
        <v>166</v>
      </c>
      <c r="K503" s="2">
        <v>241</v>
      </c>
      <c r="L503" s="2">
        <v>49</v>
      </c>
      <c r="M503" s="2">
        <v>50</v>
      </c>
      <c r="N503" s="2">
        <v>4</v>
      </c>
      <c r="O503" s="2">
        <v>2</v>
      </c>
      <c r="P503" s="2">
        <v>247</v>
      </c>
      <c r="Q503" s="2">
        <v>1601</v>
      </c>
      <c r="R503" s="13" t="s">
        <v>27</v>
      </c>
      <c r="S503" s="13" t="s">
        <v>27</v>
      </c>
    </row>
    <row r="504" spans="1:19" hidden="1" x14ac:dyDescent="0.3">
      <c r="A504" s="14">
        <v>43908.708333333336</v>
      </c>
      <c r="B504" s="13" t="s">
        <v>23</v>
      </c>
      <c r="C504" s="2">
        <v>2</v>
      </c>
      <c r="D504" s="13" t="s">
        <v>62</v>
      </c>
      <c r="E504" s="2">
        <v>4573750286</v>
      </c>
      <c r="F504" s="2">
        <v>7320149366</v>
      </c>
      <c r="G504" s="2">
        <v>41</v>
      </c>
      <c r="H504" s="2">
        <v>3</v>
      </c>
      <c r="I504" s="2">
        <v>44</v>
      </c>
      <c r="J504" s="2">
        <v>118</v>
      </c>
      <c r="K504" s="2">
        <v>162</v>
      </c>
      <c r="L504" s="2">
        <v>28</v>
      </c>
      <c r="M504" s="2">
        <v>29</v>
      </c>
      <c r="N504" s="2">
        <v>0</v>
      </c>
      <c r="O504" s="2">
        <v>3</v>
      </c>
      <c r="P504" s="2">
        <v>165</v>
      </c>
      <c r="Q504" s="2">
        <v>486</v>
      </c>
      <c r="R504" s="13" t="s">
        <v>27</v>
      </c>
      <c r="S504" s="13" t="s">
        <v>27</v>
      </c>
    </row>
    <row r="505" spans="1:19" hidden="1" x14ac:dyDescent="0.3">
      <c r="A505" s="14">
        <v>43908.708333333336</v>
      </c>
      <c r="B505" s="13" t="s">
        <v>23</v>
      </c>
      <c r="C505" s="2">
        <v>5</v>
      </c>
      <c r="D505" s="13" t="s">
        <v>63</v>
      </c>
      <c r="E505" s="2">
        <v>4543490485</v>
      </c>
      <c r="F505" s="2">
        <v>1233845213</v>
      </c>
      <c r="G505" s="2">
        <v>646</v>
      </c>
      <c r="H505" s="2">
        <v>195</v>
      </c>
      <c r="I505" s="2">
        <v>841</v>
      </c>
      <c r="J505" s="2">
        <v>2112</v>
      </c>
      <c r="K505" s="2">
        <v>2953</v>
      </c>
      <c r="L505" s="2">
        <v>465</v>
      </c>
      <c r="M505" s="2">
        <v>510</v>
      </c>
      <c r="N505" s="2">
        <v>167</v>
      </c>
      <c r="O505" s="2">
        <v>94</v>
      </c>
      <c r="P505" s="2">
        <v>3214</v>
      </c>
      <c r="Q505" s="2">
        <v>40841</v>
      </c>
      <c r="R505" s="13" t="s">
        <v>27</v>
      </c>
      <c r="S505" s="13" t="s">
        <v>27</v>
      </c>
    </row>
    <row r="506" spans="1:19" hidden="1" x14ac:dyDescent="0.3">
      <c r="A506" s="14">
        <v>43909.708333333336</v>
      </c>
      <c r="B506" s="13" t="s">
        <v>23</v>
      </c>
      <c r="C506" s="2">
        <v>13</v>
      </c>
      <c r="D506" s="13" t="s">
        <v>44</v>
      </c>
      <c r="E506" s="2">
        <v>4235122196</v>
      </c>
      <c r="F506" s="2">
        <v>1339843823</v>
      </c>
      <c r="G506" s="2">
        <v>181</v>
      </c>
      <c r="H506" s="2">
        <v>47</v>
      </c>
      <c r="I506" s="2">
        <v>228</v>
      </c>
      <c r="J506" s="2">
        <v>138</v>
      </c>
      <c r="K506" s="2">
        <v>366</v>
      </c>
      <c r="L506" s="2">
        <v>117</v>
      </c>
      <c r="M506" s="2">
        <v>122</v>
      </c>
      <c r="N506" s="2">
        <v>8</v>
      </c>
      <c r="O506" s="2">
        <v>11</v>
      </c>
      <c r="P506" s="2">
        <v>385</v>
      </c>
      <c r="Q506" s="2">
        <v>2409</v>
      </c>
      <c r="R506" s="13" t="s">
        <v>27</v>
      </c>
      <c r="S506" s="13" t="s">
        <v>27</v>
      </c>
    </row>
    <row r="507" spans="1:19" hidden="1" x14ac:dyDescent="0.3">
      <c r="A507" s="14">
        <v>43909.708333333336</v>
      </c>
      <c r="B507" s="13" t="s">
        <v>23</v>
      </c>
      <c r="C507" s="2">
        <v>17</v>
      </c>
      <c r="D507" s="13" t="s">
        <v>45</v>
      </c>
      <c r="E507" s="2">
        <v>4063947052</v>
      </c>
      <c r="F507" s="2">
        <v>1580514834</v>
      </c>
      <c r="G507" s="2">
        <v>8</v>
      </c>
      <c r="H507" s="2">
        <v>5</v>
      </c>
      <c r="I507" s="2">
        <v>13</v>
      </c>
      <c r="J507" s="2">
        <v>24</v>
      </c>
      <c r="K507" s="2">
        <v>37</v>
      </c>
      <c r="L507" s="2">
        <v>10</v>
      </c>
      <c r="M507" s="2">
        <v>10</v>
      </c>
      <c r="N507" s="2">
        <v>0</v>
      </c>
      <c r="O507" s="2">
        <v>0</v>
      </c>
      <c r="P507" s="2">
        <v>37</v>
      </c>
      <c r="Q507" s="2">
        <v>353</v>
      </c>
      <c r="R507" s="13" t="s">
        <v>27</v>
      </c>
      <c r="S507" s="13" t="s">
        <v>27</v>
      </c>
    </row>
    <row r="508" spans="1:19" hidden="1" x14ac:dyDescent="0.3">
      <c r="A508" s="14">
        <v>43909.708333333336</v>
      </c>
      <c r="B508" s="13" t="s">
        <v>23</v>
      </c>
      <c r="C508" s="2">
        <v>4</v>
      </c>
      <c r="D508" s="13" t="s">
        <v>46</v>
      </c>
      <c r="E508" s="2">
        <v>4649933453</v>
      </c>
      <c r="F508" s="2">
        <v>1135662422</v>
      </c>
      <c r="G508" s="2">
        <v>87</v>
      </c>
      <c r="H508" s="2">
        <v>18</v>
      </c>
      <c r="I508" s="2">
        <v>105</v>
      </c>
      <c r="J508" s="2">
        <v>316</v>
      </c>
      <c r="K508" s="2">
        <v>421</v>
      </c>
      <c r="L508" s="2">
        <v>55</v>
      </c>
      <c r="M508" s="2">
        <v>60</v>
      </c>
      <c r="N508" s="2">
        <v>1</v>
      </c>
      <c r="O508" s="2">
        <v>14</v>
      </c>
      <c r="P508" s="2">
        <v>436</v>
      </c>
      <c r="Q508" s="2">
        <v>3568</v>
      </c>
      <c r="R508" s="13" t="s">
        <v>27</v>
      </c>
      <c r="S508" s="13" t="s">
        <v>27</v>
      </c>
    </row>
    <row r="509" spans="1:19" hidden="1" x14ac:dyDescent="0.3">
      <c r="A509" s="14">
        <v>43909.708333333336</v>
      </c>
      <c r="B509" s="13" t="s">
        <v>23</v>
      </c>
      <c r="C509" s="2">
        <v>18</v>
      </c>
      <c r="D509" s="13" t="s">
        <v>47</v>
      </c>
      <c r="E509" s="2">
        <v>3890597598</v>
      </c>
      <c r="F509" s="2">
        <v>1659440194</v>
      </c>
      <c r="G509" s="2">
        <v>60</v>
      </c>
      <c r="H509" s="2">
        <v>13</v>
      </c>
      <c r="I509" s="2">
        <v>73</v>
      </c>
      <c r="J509" s="2">
        <v>91</v>
      </c>
      <c r="K509" s="2">
        <v>164</v>
      </c>
      <c r="L509" s="2">
        <v>38</v>
      </c>
      <c r="M509" s="2">
        <v>40</v>
      </c>
      <c r="N509" s="2">
        <v>2</v>
      </c>
      <c r="O509" s="2">
        <v>3</v>
      </c>
      <c r="P509" s="2">
        <v>169</v>
      </c>
      <c r="Q509" s="2">
        <v>2342</v>
      </c>
      <c r="R509" s="13" t="s">
        <v>27</v>
      </c>
      <c r="S509" s="13" t="s">
        <v>27</v>
      </c>
    </row>
    <row r="510" spans="1:19" hidden="1" x14ac:dyDescent="0.3">
      <c r="A510" s="14">
        <v>43909.708333333336</v>
      </c>
      <c r="B510" s="13" t="s">
        <v>23</v>
      </c>
      <c r="C510" s="2">
        <v>15</v>
      </c>
      <c r="D510" s="13" t="s">
        <v>48</v>
      </c>
      <c r="E510" s="2">
        <v>4083956555</v>
      </c>
      <c r="F510" s="2">
        <v>1425084984</v>
      </c>
      <c r="G510" s="2">
        <v>213</v>
      </c>
      <c r="H510" s="2">
        <v>36</v>
      </c>
      <c r="I510" s="2">
        <v>249</v>
      </c>
      <c r="J510" s="2">
        <v>356</v>
      </c>
      <c r="K510" s="2">
        <v>605</v>
      </c>
      <c r="L510" s="2">
        <v>182</v>
      </c>
      <c r="M510" s="2">
        <v>192</v>
      </c>
      <c r="N510" s="2">
        <v>30</v>
      </c>
      <c r="O510" s="2">
        <v>17</v>
      </c>
      <c r="P510" s="2">
        <v>652</v>
      </c>
      <c r="Q510" s="2">
        <v>3544</v>
      </c>
      <c r="R510" s="13" t="s">
        <v>27</v>
      </c>
      <c r="S510" s="13" t="s">
        <v>27</v>
      </c>
    </row>
    <row r="511" spans="1:19" hidden="1" x14ac:dyDescent="0.3">
      <c r="A511" s="14">
        <v>43909.708333333336</v>
      </c>
      <c r="B511" s="13" t="s">
        <v>23</v>
      </c>
      <c r="C511" s="2">
        <v>8</v>
      </c>
      <c r="D511" s="13" t="s">
        <v>98</v>
      </c>
      <c r="E511" s="2">
        <v>4449436681</v>
      </c>
      <c r="F511" s="2">
        <v>113417208</v>
      </c>
      <c r="G511" s="2">
        <v>1900</v>
      </c>
      <c r="H511" s="2">
        <v>260</v>
      </c>
      <c r="I511" s="2">
        <v>2160</v>
      </c>
      <c r="J511" s="2">
        <v>2346</v>
      </c>
      <c r="K511" s="2">
        <v>4506</v>
      </c>
      <c r="L511" s="2">
        <v>591</v>
      </c>
      <c r="M511" s="2">
        <v>689</v>
      </c>
      <c r="N511" s="2">
        <v>177</v>
      </c>
      <c r="O511" s="2">
        <v>531</v>
      </c>
      <c r="P511" s="2">
        <v>5214</v>
      </c>
      <c r="Q511" s="2">
        <v>18344</v>
      </c>
      <c r="R511" s="13" t="s">
        <v>27</v>
      </c>
      <c r="S511" s="13" t="s">
        <v>27</v>
      </c>
    </row>
    <row r="512" spans="1:19" hidden="1" x14ac:dyDescent="0.3">
      <c r="A512" s="14">
        <v>43909.708333333336</v>
      </c>
      <c r="B512" s="13" t="s">
        <v>23</v>
      </c>
      <c r="C512" s="2">
        <v>6</v>
      </c>
      <c r="D512" s="13" t="s">
        <v>49</v>
      </c>
      <c r="E512" s="2">
        <v>456494354</v>
      </c>
      <c r="F512" s="2">
        <v>1376813649</v>
      </c>
      <c r="G512" s="2">
        <v>134</v>
      </c>
      <c r="H512" s="2">
        <v>29</v>
      </c>
      <c r="I512" s="2">
        <v>163</v>
      </c>
      <c r="J512" s="2">
        <v>359</v>
      </c>
      <c r="K512" s="2">
        <v>522</v>
      </c>
      <c r="L512" s="2">
        <v>106</v>
      </c>
      <c r="M512" s="2">
        <v>137</v>
      </c>
      <c r="N512" s="2">
        <v>41</v>
      </c>
      <c r="O512" s="2">
        <v>36</v>
      </c>
      <c r="P512" s="2">
        <v>599</v>
      </c>
      <c r="Q512" s="2">
        <v>4052</v>
      </c>
      <c r="R512" s="13" t="s">
        <v>27</v>
      </c>
      <c r="S512" s="13" t="s">
        <v>27</v>
      </c>
    </row>
    <row r="513" spans="1:19" hidden="1" x14ac:dyDescent="0.3">
      <c r="A513" s="14">
        <v>43909.708333333336</v>
      </c>
      <c r="B513" s="13" t="s">
        <v>23</v>
      </c>
      <c r="C513" s="2">
        <v>12</v>
      </c>
      <c r="D513" s="13" t="s">
        <v>50</v>
      </c>
      <c r="E513" s="2">
        <v>4189277044</v>
      </c>
      <c r="F513" s="2">
        <v>1248366722</v>
      </c>
      <c r="G513" s="2">
        <v>426</v>
      </c>
      <c r="H513" s="2">
        <v>45</v>
      </c>
      <c r="I513" s="2">
        <v>471</v>
      </c>
      <c r="J513" s="2">
        <v>270</v>
      </c>
      <c r="K513" s="2">
        <v>741</v>
      </c>
      <c r="L513" s="2">
        <v>91</v>
      </c>
      <c r="M513" s="2">
        <v>99</v>
      </c>
      <c r="N513" s="2">
        <v>44</v>
      </c>
      <c r="O513" s="2">
        <v>38</v>
      </c>
      <c r="P513" s="2">
        <v>823</v>
      </c>
      <c r="Q513" s="2">
        <v>11145</v>
      </c>
      <c r="R513" s="13" t="s">
        <v>27</v>
      </c>
      <c r="S513" s="13" t="s">
        <v>27</v>
      </c>
    </row>
    <row r="514" spans="1:19" hidden="1" x14ac:dyDescent="0.3">
      <c r="A514" s="14">
        <v>43909.708333333336</v>
      </c>
      <c r="B514" s="13" t="s">
        <v>23</v>
      </c>
      <c r="C514" s="2">
        <v>7</v>
      </c>
      <c r="D514" s="13" t="s">
        <v>51</v>
      </c>
      <c r="E514" s="2">
        <v>4441149315</v>
      </c>
      <c r="F514" s="2">
        <v>89326992</v>
      </c>
      <c r="G514" s="2">
        <v>491</v>
      </c>
      <c r="H514" s="2">
        <v>112</v>
      </c>
      <c r="I514" s="2">
        <v>603</v>
      </c>
      <c r="J514" s="2">
        <v>280</v>
      </c>
      <c r="K514" s="2">
        <v>883</v>
      </c>
      <c r="L514" s="2">
        <v>139</v>
      </c>
      <c r="M514" s="2">
        <v>172</v>
      </c>
      <c r="N514" s="2">
        <v>85</v>
      </c>
      <c r="O514" s="2">
        <v>91</v>
      </c>
      <c r="P514" s="2">
        <v>1059</v>
      </c>
      <c r="Q514" s="2">
        <v>3348</v>
      </c>
      <c r="R514" s="13" t="s">
        <v>27</v>
      </c>
      <c r="S514" s="13" t="s">
        <v>27</v>
      </c>
    </row>
    <row r="515" spans="1:19" x14ac:dyDescent="0.3">
      <c r="A515" s="14">
        <v>43909.708333333336</v>
      </c>
      <c r="B515" s="13" t="s">
        <v>23</v>
      </c>
      <c r="C515" s="2">
        <v>3</v>
      </c>
      <c r="D515" s="13" t="s">
        <v>52</v>
      </c>
      <c r="E515" s="2">
        <v>4546679409</v>
      </c>
      <c r="F515" s="2">
        <v>9190347404</v>
      </c>
      <c r="G515" s="2">
        <v>7387</v>
      </c>
      <c r="H515" s="2">
        <v>1006</v>
      </c>
      <c r="I515" s="2">
        <v>8393</v>
      </c>
      <c r="J515" s="2">
        <v>5545</v>
      </c>
      <c r="K515" s="2">
        <v>13938</v>
      </c>
      <c r="L515" s="2">
        <v>1672</v>
      </c>
      <c r="M515" s="2">
        <v>2171</v>
      </c>
      <c r="N515" s="2">
        <v>3778</v>
      </c>
      <c r="O515" s="2">
        <v>2168</v>
      </c>
      <c r="P515" s="2">
        <v>19884</v>
      </c>
      <c r="Q515" s="2">
        <v>52244</v>
      </c>
      <c r="R515" s="13" t="s">
        <v>27</v>
      </c>
      <c r="S515" s="13" t="s">
        <v>27</v>
      </c>
    </row>
    <row r="516" spans="1:19" hidden="1" x14ac:dyDescent="0.3">
      <c r="A516" s="14">
        <v>43909.708333333336</v>
      </c>
      <c r="B516" s="13" t="s">
        <v>23</v>
      </c>
      <c r="C516" s="2">
        <v>11</v>
      </c>
      <c r="D516" s="13" t="s">
        <v>53</v>
      </c>
      <c r="E516" s="2">
        <v>4361675973</v>
      </c>
      <c r="F516" s="2">
        <v>135188753</v>
      </c>
      <c r="G516" s="2">
        <v>656</v>
      </c>
      <c r="H516" s="2">
        <v>141</v>
      </c>
      <c r="I516" s="2">
        <v>797</v>
      </c>
      <c r="J516" s="2">
        <v>825</v>
      </c>
      <c r="K516" s="2">
        <v>1622</v>
      </c>
      <c r="L516" s="2">
        <v>146</v>
      </c>
      <c r="M516" s="2">
        <v>169</v>
      </c>
      <c r="N516" s="2">
        <v>0</v>
      </c>
      <c r="O516" s="2">
        <v>115</v>
      </c>
      <c r="P516" s="2">
        <v>1737</v>
      </c>
      <c r="Q516" s="2">
        <v>4512</v>
      </c>
      <c r="R516" s="13" t="s">
        <v>27</v>
      </c>
      <c r="S516" s="13" t="s">
        <v>27</v>
      </c>
    </row>
    <row r="517" spans="1:19" hidden="1" x14ac:dyDescent="0.3">
      <c r="A517" s="14">
        <v>43909.708333333336</v>
      </c>
      <c r="B517" s="13" t="s">
        <v>23</v>
      </c>
      <c r="C517" s="2">
        <v>14</v>
      </c>
      <c r="D517" s="13" t="s">
        <v>54</v>
      </c>
      <c r="E517" s="2">
        <v>4155774754</v>
      </c>
      <c r="F517" s="2">
        <v>1465916051</v>
      </c>
      <c r="G517" s="2">
        <v>19</v>
      </c>
      <c r="H517" s="2">
        <v>6</v>
      </c>
      <c r="I517" s="2">
        <v>25</v>
      </c>
      <c r="J517" s="2">
        <v>13</v>
      </c>
      <c r="K517" s="2">
        <v>38</v>
      </c>
      <c r="L517" s="2">
        <v>17</v>
      </c>
      <c r="M517" s="2">
        <v>18</v>
      </c>
      <c r="N517" s="2">
        <v>6</v>
      </c>
      <c r="O517" s="2">
        <v>2</v>
      </c>
      <c r="P517" s="2">
        <v>46</v>
      </c>
      <c r="Q517" s="2">
        <v>426</v>
      </c>
      <c r="R517" s="13" t="s">
        <v>27</v>
      </c>
      <c r="S517" s="13" t="s">
        <v>27</v>
      </c>
    </row>
    <row r="518" spans="1:19" hidden="1" x14ac:dyDescent="0.3">
      <c r="A518" s="14">
        <v>43909.708333333336</v>
      </c>
      <c r="B518" s="13" t="s">
        <v>23</v>
      </c>
      <c r="C518" s="2">
        <v>1</v>
      </c>
      <c r="D518" s="13" t="s">
        <v>55</v>
      </c>
      <c r="E518" s="2">
        <v>450732745</v>
      </c>
      <c r="F518" s="2">
        <v>7680687483</v>
      </c>
      <c r="G518" s="2">
        <v>2279</v>
      </c>
      <c r="H518" s="2">
        <v>257</v>
      </c>
      <c r="I518" s="2">
        <v>2536</v>
      </c>
      <c r="J518" s="2">
        <v>218</v>
      </c>
      <c r="K518" s="2">
        <v>2754</v>
      </c>
      <c r="L518" s="2">
        <v>567</v>
      </c>
      <c r="M518" s="2">
        <v>591</v>
      </c>
      <c r="N518" s="2">
        <v>3</v>
      </c>
      <c r="O518" s="2">
        <v>175</v>
      </c>
      <c r="P518" s="2">
        <v>2932</v>
      </c>
      <c r="Q518" s="2">
        <v>8853</v>
      </c>
      <c r="R518" s="13" t="s">
        <v>27</v>
      </c>
      <c r="S518" s="13" t="s">
        <v>27</v>
      </c>
    </row>
    <row r="519" spans="1:19" hidden="1" x14ac:dyDescent="0.3">
      <c r="A519" s="14">
        <v>43909.708333333336</v>
      </c>
      <c r="B519" s="13" t="s">
        <v>23</v>
      </c>
      <c r="C519" s="2">
        <v>16</v>
      </c>
      <c r="D519" s="13" t="s">
        <v>56</v>
      </c>
      <c r="E519" s="2">
        <v>4112559576</v>
      </c>
      <c r="F519" s="2">
        <v>1686736689</v>
      </c>
      <c r="G519" s="2">
        <v>173</v>
      </c>
      <c r="H519" s="2">
        <v>31</v>
      </c>
      <c r="I519" s="2">
        <v>204</v>
      </c>
      <c r="J519" s="2">
        <v>245</v>
      </c>
      <c r="K519" s="2">
        <v>449</v>
      </c>
      <c r="L519" s="2">
        <v>87</v>
      </c>
      <c r="M519" s="2">
        <v>95</v>
      </c>
      <c r="N519" s="2">
        <v>4</v>
      </c>
      <c r="O519" s="2">
        <v>25</v>
      </c>
      <c r="P519" s="2">
        <v>478</v>
      </c>
      <c r="Q519" s="2">
        <v>4046</v>
      </c>
      <c r="R519" s="13" t="s">
        <v>27</v>
      </c>
      <c r="S519" s="13" t="s">
        <v>27</v>
      </c>
    </row>
    <row r="520" spans="1:19" hidden="1" x14ac:dyDescent="0.3">
      <c r="A520" s="14">
        <v>43909.708333333336</v>
      </c>
      <c r="B520" s="13" t="s">
        <v>23</v>
      </c>
      <c r="C520" s="2">
        <v>20</v>
      </c>
      <c r="D520" s="13" t="s">
        <v>57</v>
      </c>
      <c r="E520" s="2">
        <v>3921531192</v>
      </c>
      <c r="F520" s="2">
        <v>9110616306</v>
      </c>
      <c r="G520" s="2">
        <v>43</v>
      </c>
      <c r="H520" s="2">
        <v>9</v>
      </c>
      <c r="I520" s="2">
        <v>52</v>
      </c>
      <c r="J520" s="2">
        <v>152</v>
      </c>
      <c r="K520" s="2">
        <v>204</v>
      </c>
      <c r="L520" s="2">
        <v>72</v>
      </c>
      <c r="M520" s="2">
        <v>72</v>
      </c>
      <c r="N520" s="2">
        <v>0</v>
      </c>
      <c r="O520" s="2">
        <v>2</v>
      </c>
      <c r="P520" s="2">
        <v>206</v>
      </c>
      <c r="Q520" s="2">
        <v>1334</v>
      </c>
      <c r="R520" s="13" t="s">
        <v>27</v>
      </c>
      <c r="S520" s="13" t="s">
        <v>27</v>
      </c>
    </row>
    <row r="521" spans="1:19" hidden="1" x14ac:dyDescent="0.3">
      <c r="A521" s="14">
        <v>43909.708333333336</v>
      </c>
      <c r="B521" s="13" t="s">
        <v>23</v>
      </c>
      <c r="C521" s="2">
        <v>19</v>
      </c>
      <c r="D521" s="13" t="s">
        <v>58</v>
      </c>
      <c r="E521" s="2">
        <v>3811569725</v>
      </c>
      <c r="F521" s="2">
        <v>133623567</v>
      </c>
      <c r="G521" s="2">
        <v>143</v>
      </c>
      <c r="H521" s="2">
        <v>36</v>
      </c>
      <c r="I521" s="2">
        <v>179</v>
      </c>
      <c r="J521" s="2">
        <v>142</v>
      </c>
      <c r="K521" s="2">
        <v>321</v>
      </c>
      <c r="L521" s="2">
        <v>54</v>
      </c>
      <c r="M521" s="2">
        <v>58</v>
      </c>
      <c r="N521" s="2">
        <v>15</v>
      </c>
      <c r="O521" s="2">
        <v>4</v>
      </c>
      <c r="P521" s="2">
        <v>340</v>
      </c>
      <c r="Q521" s="2">
        <v>3961</v>
      </c>
      <c r="R521" s="13" t="s">
        <v>27</v>
      </c>
      <c r="S521" s="13" t="s">
        <v>27</v>
      </c>
    </row>
    <row r="522" spans="1:19" hidden="1" x14ac:dyDescent="0.3">
      <c r="A522" s="14">
        <v>43909.708333333336</v>
      </c>
      <c r="B522" s="13" t="s">
        <v>23</v>
      </c>
      <c r="C522" s="2">
        <v>9</v>
      </c>
      <c r="D522" s="13" t="s">
        <v>59</v>
      </c>
      <c r="E522" s="2">
        <v>4376923077</v>
      </c>
      <c r="F522" s="2">
        <v>1125588885</v>
      </c>
      <c r="G522" s="2">
        <v>501</v>
      </c>
      <c r="H522" s="2">
        <v>178</v>
      </c>
      <c r="I522" s="2">
        <v>679</v>
      </c>
      <c r="J522" s="2">
        <v>743</v>
      </c>
      <c r="K522" s="2">
        <v>1422</v>
      </c>
      <c r="L522" s="2">
        <v>131</v>
      </c>
      <c r="M522" s="2">
        <v>152</v>
      </c>
      <c r="N522" s="2">
        <v>22</v>
      </c>
      <c r="O522" s="2">
        <v>38</v>
      </c>
      <c r="P522" s="2">
        <v>1482</v>
      </c>
      <c r="Q522" s="2">
        <v>8873</v>
      </c>
      <c r="R522" s="13" t="s">
        <v>27</v>
      </c>
      <c r="S522" s="13" t="s">
        <v>27</v>
      </c>
    </row>
    <row r="523" spans="1:19" hidden="1" x14ac:dyDescent="0.3">
      <c r="A523" s="14">
        <v>43909.708333333336</v>
      </c>
      <c r="B523" s="13" t="s">
        <v>23</v>
      </c>
      <c r="C523" s="2">
        <v>4</v>
      </c>
      <c r="D523" s="13" t="s">
        <v>60</v>
      </c>
      <c r="E523" s="2">
        <v>4606893511</v>
      </c>
      <c r="F523" s="2">
        <v>1112123097</v>
      </c>
      <c r="G523" s="2">
        <v>169</v>
      </c>
      <c r="H523" s="2">
        <v>30</v>
      </c>
      <c r="I523" s="2">
        <v>199</v>
      </c>
      <c r="J523" s="2">
        <v>292</v>
      </c>
      <c r="K523" s="2">
        <v>491</v>
      </c>
      <c r="L523" s="2">
        <v>55</v>
      </c>
      <c r="M523" s="2">
        <v>68</v>
      </c>
      <c r="N523" s="2">
        <v>20</v>
      </c>
      <c r="O523" s="2">
        <v>12</v>
      </c>
      <c r="P523" s="2">
        <v>523</v>
      </c>
      <c r="Q523" s="2">
        <v>2203</v>
      </c>
      <c r="R523" s="13" t="s">
        <v>27</v>
      </c>
      <c r="S523" s="13" t="s">
        <v>27</v>
      </c>
    </row>
    <row r="524" spans="1:19" hidden="1" x14ac:dyDescent="0.3">
      <c r="A524" s="14">
        <v>43909.708333333336</v>
      </c>
      <c r="B524" s="13" t="s">
        <v>23</v>
      </c>
      <c r="C524" s="2">
        <v>10</v>
      </c>
      <c r="D524" s="13" t="s">
        <v>61</v>
      </c>
      <c r="E524" s="2">
        <v>4310675841</v>
      </c>
      <c r="F524" s="2">
        <v>1238824698</v>
      </c>
      <c r="G524" s="2">
        <v>69</v>
      </c>
      <c r="H524" s="2">
        <v>21</v>
      </c>
      <c r="I524" s="2">
        <v>90</v>
      </c>
      <c r="J524" s="2">
        <v>238</v>
      </c>
      <c r="K524" s="2">
        <v>328</v>
      </c>
      <c r="L524" s="2">
        <v>87</v>
      </c>
      <c r="M524" s="2">
        <v>87</v>
      </c>
      <c r="N524" s="2">
        <v>4</v>
      </c>
      <c r="O524" s="2">
        <v>2</v>
      </c>
      <c r="P524" s="2">
        <v>334</v>
      </c>
      <c r="Q524" s="2">
        <v>1954</v>
      </c>
      <c r="R524" s="13" t="s">
        <v>27</v>
      </c>
      <c r="S524" s="13" t="s">
        <v>27</v>
      </c>
    </row>
    <row r="525" spans="1:19" hidden="1" x14ac:dyDescent="0.3">
      <c r="A525" s="14">
        <v>43909.708333333336</v>
      </c>
      <c r="B525" s="13" t="s">
        <v>23</v>
      </c>
      <c r="C525" s="2">
        <v>2</v>
      </c>
      <c r="D525" s="13" t="s">
        <v>62</v>
      </c>
      <c r="E525" s="2">
        <v>4573750286</v>
      </c>
      <c r="F525" s="2">
        <v>7320149366</v>
      </c>
      <c r="G525" s="2">
        <v>47</v>
      </c>
      <c r="H525" s="2">
        <v>9</v>
      </c>
      <c r="I525" s="2">
        <v>56</v>
      </c>
      <c r="J525" s="2">
        <v>153</v>
      </c>
      <c r="K525" s="2">
        <v>209</v>
      </c>
      <c r="L525" s="2">
        <v>47</v>
      </c>
      <c r="M525" s="2">
        <v>50</v>
      </c>
      <c r="N525" s="2">
        <v>0</v>
      </c>
      <c r="O525" s="2">
        <v>6</v>
      </c>
      <c r="P525" s="2">
        <v>215</v>
      </c>
      <c r="Q525" s="2">
        <v>608</v>
      </c>
      <c r="R525" s="13" t="s">
        <v>27</v>
      </c>
      <c r="S525" s="13" t="s">
        <v>27</v>
      </c>
    </row>
    <row r="526" spans="1:19" hidden="1" x14ac:dyDescent="0.3">
      <c r="A526" s="14">
        <v>43909.708333333336</v>
      </c>
      <c r="B526" s="13" t="s">
        <v>23</v>
      </c>
      <c r="C526" s="2">
        <v>5</v>
      </c>
      <c r="D526" s="13" t="s">
        <v>63</v>
      </c>
      <c r="E526" s="2">
        <v>4543490485</v>
      </c>
      <c r="F526" s="2">
        <v>1233845213</v>
      </c>
      <c r="G526" s="2">
        <v>771</v>
      </c>
      <c r="H526" s="2">
        <v>209</v>
      </c>
      <c r="I526" s="2">
        <v>980</v>
      </c>
      <c r="J526" s="2">
        <v>2189</v>
      </c>
      <c r="K526" s="2">
        <v>3169</v>
      </c>
      <c r="L526" s="2">
        <v>216</v>
      </c>
      <c r="M526" s="2">
        <v>270</v>
      </c>
      <c r="N526" s="2">
        <v>200</v>
      </c>
      <c r="O526" s="2">
        <v>115</v>
      </c>
      <c r="P526" s="2">
        <v>3484</v>
      </c>
      <c r="Q526" s="2">
        <v>44658</v>
      </c>
      <c r="R526" s="13" t="s">
        <v>27</v>
      </c>
      <c r="S526" s="13" t="s">
        <v>27</v>
      </c>
    </row>
    <row r="527" spans="1:19" hidden="1" x14ac:dyDescent="0.3">
      <c r="A527" s="14">
        <v>43910.708333333336</v>
      </c>
      <c r="B527" s="13" t="s">
        <v>23</v>
      </c>
      <c r="C527" s="2">
        <v>13</v>
      </c>
      <c r="D527" s="13" t="s">
        <v>44</v>
      </c>
      <c r="E527" s="2">
        <v>4235122196</v>
      </c>
      <c r="F527" s="2">
        <v>1339843823</v>
      </c>
      <c r="G527" s="2">
        <v>190</v>
      </c>
      <c r="H527" s="2">
        <v>48</v>
      </c>
      <c r="I527" s="2">
        <v>238</v>
      </c>
      <c r="J527" s="2">
        <v>184</v>
      </c>
      <c r="K527" s="2">
        <v>422</v>
      </c>
      <c r="L527" s="2">
        <v>56</v>
      </c>
      <c r="M527" s="2">
        <v>64</v>
      </c>
      <c r="N527" s="2">
        <v>10</v>
      </c>
      <c r="O527" s="2">
        <v>17</v>
      </c>
      <c r="P527" s="2">
        <v>449</v>
      </c>
      <c r="Q527" s="2">
        <v>2695</v>
      </c>
      <c r="R527" s="13" t="s">
        <v>27</v>
      </c>
      <c r="S527" s="13" t="s">
        <v>27</v>
      </c>
    </row>
    <row r="528" spans="1:19" hidden="1" x14ac:dyDescent="0.3">
      <c r="A528" s="14">
        <v>43910.708333333336</v>
      </c>
      <c r="B528" s="13" t="s">
        <v>23</v>
      </c>
      <c r="C528" s="2">
        <v>17</v>
      </c>
      <c r="D528" s="13" t="s">
        <v>45</v>
      </c>
      <c r="E528" s="2">
        <v>4063947052</v>
      </c>
      <c r="F528" s="2">
        <v>1580514834</v>
      </c>
      <c r="G528" s="2">
        <v>8</v>
      </c>
      <c r="H528" s="2">
        <v>5</v>
      </c>
      <c r="I528" s="2">
        <v>13</v>
      </c>
      <c r="J528" s="2">
        <v>39</v>
      </c>
      <c r="K528" s="2">
        <v>52</v>
      </c>
      <c r="L528" s="2">
        <v>15</v>
      </c>
      <c r="M528" s="2">
        <v>15</v>
      </c>
      <c r="N528" s="2">
        <v>0</v>
      </c>
      <c r="O528" s="2">
        <v>0</v>
      </c>
      <c r="P528" s="2">
        <v>52</v>
      </c>
      <c r="Q528" s="2">
        <v>443</v>
      </c>
      <c r="R528" s="13" t="s">
        <v>27</v>
      </c>
      <c r="S528" s="13" t="s">
        <v>27</v>
      </c>
    </row>
    <row r="529" spans="1:19" hidden="1" x14ac:dyDescent="0.3">
      <c r="A529" s="14">
        <v>43910.708333333336</v>
      </c>
      <c r="B529" s="13" t="s">
        <v>23</v>
      </c>
      <c r="C529" s="2">
        <v>4</v>
      </c>
      <c r="D529" s="13" t="s">
        <v>46</v>
      </c>
      <c r="E529" s="2">
        <v>4649933453</v>
      </c>
      <c r="F529" s="2">
        <v>1135662422</v>
      </c>
      <c r="G529" s="2">
        <v>99</v>
      </c>
      <c r="H529" s="2">
        <v>24</v>
      </c>
      <c r="I529" s="2">
        <v>123</v>
      </c>
      <c r="J529" s="2">
        <v>407</v>
      </c>
      <c r="K529" s="2">
        <v>530</v>
      </c>
      <c r="L529" s="2">
        <v>109</v>
      </c>
      <c r="M529" s="2">
        <v>112</v>
      </c>
      <c r="N529" s="2">
        <v>1</v>
      </c>
      <c r="O529" s="2">
        <v>17</v>
      </c>
      <c r="P529" s="2">
        <v>548</v>
      </c>
      <c r="Q529" s="2">
        <v>4433</v>
      </c>
      <c r="R529" s="13" t="s">
        <v>27</v>
      </c>
      <c r="S529" s="13" t="s">
        <v>27</v>
      </c>
    </row>
    <row r="530" spans="1:19" hidden="1" x14ac:dyDescent="0.3">
      <c r="A530" s="14">
        <v>43910.708333333336</v>
      </c>
      <c r="B530" s="13" t="s">
        <v>23</v>
      </c>
      <c r="C530" s="2">
        <v>18</v>
      </c>
      <c r="D530" s="13" t="s">
        <v>47</v>
      </c>
      <c r="E530" s="2">
        <v>3890597598</v>
      </c>
      <c r="F530" s="2">
        <v>1659440194</v>
      </c>
      <c r="G530" s="2">
        <v>71</v>
      </c>
      <c r="H530" s="2">
        <v>16</v>
      </c>
      <c r="I530" s="2">
        <v>87</v>
      </c>
      <c r="J530" s="2">
        <v>114</v>
      </c>
      <c r="K530" s="2">
        <v>201</v>
      </c>
      <c r="L530" s="2">
        <v>37</v>
      </c>
      <c r="M530" s="2">
        <v>38</v>
      </c>
      <c r="N530" s="2">
        <v>2</v>
      </c>
      <c r="O530" s="2">
        <v>4</v>
      </c>
      <c r="P530" s="2">
        <v>207</v>
      </c>
      <c r="Q530" s="2">
        <v>2690</v>
      </c>
      <c r="R530" s="13" t="s">
        <v>27</v>
      </c>
      <c r="S530" s="13" t="s">
        <v>27</v>
      </c>
    </row>
    <row r="531" spans="1:19" hidden="1" x14ac:dyDescent="0.3">
      <c r="A531" s="14">
        <v>43910.708333333336</v>
      </c>
      <c r="B531" s="13" t="s">
        <v>23</v>
      </c>
      <c r="C531" s="2">
        <v>15</v>
      </c>
      <c r="D531" s="13" t="s">
        <v>48</v>
      </c>
      <c r="E531" s="2">
        <v>4083956555</v>
      </c>
      <c r="F531" s="2">
        <v>1425084984</v>
      </c>
      <c r="G531" s="2">
        <v>130</v>
      </c>
      <c r="H531" s="2">
        <v>41</v>
      </c>
      <c r="I531" s="2">
        <v>171</v>
      </c>
      <c r="J531" s="2">
        <v>531</v>
      </c>
      <c r="K531" s="2">
        <v>702</v>
      </c>
      <c r="L531" s="2">
        <v>97</v>
      </c>
      <c r="M531" s="2">
        <v>97</v>
      </c>
      <c r="N531" s="2">
        <v>30</v>
      </c>
      <c r="O531" s="2">
        <v>17</v>
      </c>
      <c r="P531" s="2">
        <v>749</v>
      </c>
      <c r="Q531" s="2">
        <v>3845</v>
      </c>
      <c r="R531" s="13" t="s">
        <v>27</v>
      </c>
      <c r="S531" s="13" t="s">
        <v>27</v>
      </c>
    </row>
    <row r="532" spans="1:19" hidden="1" x14ac:dyDescent="0.3">
      <c r="A532" s="14">
        <v>43910.708333333336</v>
      </c>
      <c r="B532" s="13" t="s">
        <v>23</v>
      </c>
      <c r="C532" s="2">
        <v>8</v>
      </c>
      <c r="D532" s="13" t="s">
        <v>98</v>
      </c>
      <c r="E532" s="2">
        <v>4449436681</v>
      </c>
      <c r="F532" s="2">
        <v>113417208</v>
      </c>
      <c r="G532" s="2">
        <v>2083</v>
      </c>
      <c r="H532" s="2">
        <v>267</v>
      </c>
      <c r="I532" s="2">
        <v>2350</v>
      </c>
      <c r="J532" s="2">
        <v>2739</v>
      </c>
      <c r="K532" s="2">
        <v>5089</v>
      </c>
      <c r="L532" s="2">
        <v>583</v>
      </c>
      <c r="M532" s="2">
        <v>754</v>
      </c>
      <c r="N532" s="2">
        <v>239</v>
      </c>
      <c r="O532" s="2">
        <v>640</v>
      </c>
      <c r="P532" s="2">
        <v>5968</v>
      </c>
      <c r="Q532" s="2">
        <v>20753</v>
      </c>
      <c r="R532" s="13" t="s">
        <v>27</v>
      </c>
      <c r="S532" s="13" t="s">
        <v>27</v>
      </c>
    </row>
    <row r="533" spans="1:19" hidden="1" x14ac:dyDescent="0.3">
      <c r="A533" s="14">
        <v>43910.708333333336</v>
      </c>
      <c r="B533" s="13" t="s">
        <v>23</v>
      </c>
      <c r="C533" s="2">
        <v>6</v>
      </c>
      <c r="D533" s="13" t="s">
        <v>49</v>
      </c>
      <c r="E533" s="2">
        <v>456494354</v>
      </c>
      <c r="F533" s="2">
        <v>1376813649</v>
      </c>
      <c r="G533" s="2">
        <v>143</v>
      </c>
      <c r="H533" s="2">
        <v>32</v>
      </c>
      <c r="I533" s="2">
        <v>175</v>
      </c>
      <c r="J533" s="2">
        <v>380</v>
      </c>
      <c r="K533" s="2">
        <v>555</v>
      </c>
      <c r="L533" s="2">
        <v>33</v>
      </c>
      <c r="M533" s="2">
        <v>57</v>
      </c>
      <c r="N533" s="2">
        <v>63</v>
      </c>
      <c r="O533" s="2">
        <v>38</v>
      </c>
      <c r="P533" s="2">
        <v>656</v>
      </c>
      <c r="Q533" s="2">
        <v>4964</v>
      </c>
      <c r="R533" s="13" t="s">
        <v>27</v>
      </c>
      <c r="S533" s="13" t="s">
        <v>27</v>
      </c>
    </row>
    <row r="534" spans="1:19" hidden="1" x14ac:dyDescent="0.3">
      <c r="A534" s="14">
        <v>43910.708333333336</v>
      </c>
      <c r="B534" s="13" t="s">
        <v>23</v>
      </c>
      <c r="C534" s="2">
        <v>12</v>
      </c>
      <c r="D534" s="13" t="s">
        <v>50</v>
      </c>
      <c r="E534" s="2">
        <v>4189277044</v>
      </c>
      <c r="F534" s="2">
        <v>1248366722</v>
      </c>
      <c r="G534" s="2">
        <v>537</v>
      </c>
      <c r="H534" s="2">
        <v>47</v>
      </c>
      <c r="I534" s="2">
        <v>584</v>
      </c>
      <c r="J534" s="2">
        <v>328</v>
      </c>
      <c r="K534" s="2">
        <v>912</v>
      </c>
      <c r="L534" s="2">
        <v>171</v>
      </c>
      <c r="M534" s="2">
        <v>185</v>
      </c>
      <c r="N534" s="2">
        <v>53</v>
      </c>
      <c r="O534" s="2">
        <v>43</v>
      </c>
      <c r="P534" s="2">
        <v>1008</v>
      </c>
      <c r="Q534" s="2">
        <v>13889</v>
      </c>
      <c r="R534" s="13" t="s">
        <v>27</v>
      </c>
      <c r="S534" s="13" t="s">
        <v>27</v>
      </c>
    </row>
    <row r="535" spans="1:19" hidden="1" x14ac:dyDescent="0.3">
      <c r="A535" s="14">
        <v>43910.708333333336</v>
      </c>
      <c r="B535" s="13" t="s">
        <v>23</v>
      </c>
      <c r="C535" s="2">
        <v>7</v>
      </c>
      <c r="D535" s="13" t="s">
        <v>51</v>
      </c>
      <c r="E535" s="2">
        <v>4441149315</v>
      </c>
      <c r="F535" s="2">
        <v>89326992</v>
      </c>
      <c r="G535" s="2">
        <v>573</v>
      </c>
      <c r="H535" s="2">
        <v>121</v>
      </c>
      <c r="I535" s="2">
        <v>694</v>
      </c>
      <c r="J535" s="2">
        <v>307</v>
      </c>
      <c r="K535" s="2">
        <v>1001</v>
      </c>
      <c r="L535" s="2">
        <v>118</v>
      </c>
      <c r="M535" s="2">
        <v>162</v>
      </c>
      <c r="N535" s="2">
        <v>101</v>
      </c>
      <c r="O535" s="2">
        <v>119</v>
      </c>
      <c r="P535" s="2">
        <v>1221</v>
      </c>
      <c r="Q535" s="2">
        <v>3794</v>
      </c>
      <c r="R535" s="13" t="s">
        <v>27</v>
      </c>
      <c r="S535" s="13" t="s">
        <v>27</v>
      </c>
    </row>
    <row r="536" spans="1:19" x14ac:dyDescent="0.3">
      <c r="A536" s="14">
        <v>43910.708333333336</v>
      </c>
      <c r="B536" s="13" t="s">
        <v>23</v>
      </c>
      <c r="C536" s="2">
        <v>3</v>
      </c>
      <c r="D536" s="13" t="s">
        <v>52</v>
      </c>
      <c r="E536" s="2">
        <v>4546679409</v>
      </c>
      <c r="F536" s="2">
        <v>9190347404</v>
      </c>
      <c r="G536" s="2">
        <v>7735</v>
      </c>
      <c r="H536" s="2">
        <v>1050</v>
      </c>
      <c r="I536" s="2">
        <v>8785</v>
      </c>
      <c r="J536" s="2">
        <v>6635</v>
      </c>
      <c r="K536" s="2">
        <v>15420</v>
      </c>
      <c r="L536" s="2">
        <v>1482</v>
      </c>
      <c r="M536" s="2">
        <v>2380</v>
      </c>
      <c r="N536" s="2">
        <v>4295</v>
      </c>
      <c r="O536" s="2">
        <v>2549</v>
      </c>
      <c r="P536" s="2">
        <v>22264</v>
      </c>
      <c r="Q536" s="2">
        <v>57174</v>
      </c>
      <c r="R536" s="13" t="s">
        <v>27</v>
      </c>
      <c r="S536" s="13" t="s">
        <v>27</v>
      </c>
    </row>
    <row r="537" spans="1:19" hidden="1" x14ac:dyDescent="0.3">
      <c r="A537" s="14">
        <v>43910.708333333336</v>
      </c>
      <c r="B537" s="13" t="s">
        <v>23</v>
      </c>
      <c r="C537" s="2">
        <v>11</v>
      </c>
      <c r="D537" s="13" t="s">
        <v>53</v>
      </c>
      <c r="E537" s="2">
        <v>4361675973</v>
      </c>
      <c r="F537" s="2">
        <v>135188753</v>
      </c>
      <c r="G537" s="2">
        <v>704</v>
      </c>
      <c r="H537" s="2">
        <v>138</v>
      </c>
      <c r="I537" s="2">
        <v>842</v>
      </c>
      <c r="J537" s="2">
        <v>1002</v>
      </c>
      <c r="K537" s="2">
        <v>1844</v>
      </c>
      <c r="L537" s="2">
        <v>222</v>
      </c>
      <c r="M537" s="2">
        <v>244</v>
      </c>
      <c r="N537" s="2">
        <v>0</v>
      </c>
      <c r="O537" s="2">
        <v>137</v>
      </c>
      <c r="P537" s="2">
        <v>1981</v>
      </c>
      <c r="Q537" s="2">
        <v>5170</v>
      </c>
      <c r="R537" s="13" t="s">
        <v>27</v>
      </c>
      <c r="S537" s="13" t="s">
        <v>27</v>
      </c>
    </row>
    <row r="538" spans="1:19" hidden="1" x14ac:dyDescent="0.3">
      <c r="A538" s="14">
        <v>43910.708333333336</v>
      </c>
      <c r="B538" s="13" t="s">
        <v>23</v>
      </c>
      <c r="C538" s="2">
        <v>14</v>
      </c>
      <c r="D538" s="13" t="s">
        <v>54</v>
      </c>
      <c r="E538" s="2">
        <v>4155774754</v>
      </c>
      <c r="F538" s="2">
        <v>1465916051</v>
      </c>
      <c r="G538" s="2">
        <v>20</v>
      </c>
      <c r="H538" s="2">
        <v>6</v>
      </c>
      <c r="I538" s="2">
        <v>26</v>
      </c>
      <c r="J538" s="2">
        <v>13</v>
      </c>
      <c r="K538" s="2">
        <v>39</v>
      </c>
      <c r="L538" s="2">
        <v>1</v>
      </c>
      <c r="M538" s="2">
        <v>4</v>
      </c>
      <c r="N538" s="2">
        <v>6</v>
      </c>
      <c r="O538" s="2">
        <v>5</v>
      </c>
      <c r="P538" s="2">
        <v>50</v>
      </c>
      <c r="Q538" s="2">
        <v>426</v>
      </c>
      <c r="R538" s="13" t="s">
        <v>27</v>
      </c>
      <c r="S538" s="13" t="s">
        <v>27</v>
      </c>
    </row>
    <row r="539" spans="1:19" hidden="1" x14ac:dyDescent="0.3">
      <c r="A539" s="14">
        <v>43910.708333333336</v>
      </c>
      <c r="B539" s="13" t="s">
        <v>23</v>
      </c>
      <c r="C539" s="2">
        <v>1</v>
      </c>
      <c r="D539" s="13" t="s">
        <v>55</v>
      </c>
      <c r="E539" s="2">
        <v>450732745</v>
      </c>
      <c r="F539" s="2">
        <v>7680687483</v>
      </c>
      <c r="G539" s="2">
        <v>1541</v>
      </c>
      <c r="H539" s="2">
        <v>280</v>
      </c>
      <c r="I539" s="2">
        <v>1821</v>
      </c>
      <c r="J539" s="2">
        <v>1423</v>
      </c>
      <c r="K539" s="2">
        <v>3244</v>
      </c>
      <c r="L539" s="2">
        <v>490</v>
      </c>
      <c r="M539" s="2">
        <v>529</v>
      </c>
      <c r="N539" s="2">
        <v>8</v>
      </c>
      <c r="O539" s="2">
        <v>209</v>
      </c>
      <c r="P539" s="2">
        <v>3461</v>
      </c>
      <c r="Q539" s="2">
        <v>9975</v>
      </c>
      <c r="R539" s="13" t="s">
        <v>27</v>
      </c>
      <c r="S539" s="13" t="s">
        <v>27</v>
      </c>
    </row>
    <row r="540" spans="1:19" hidden="1" x14ac:dyDescent="0.3">
      <c r="A540" s="14">
        <v>43910.708333333336</v>
      </c>
      <c r="B540" s="13" t="s">
        <v>23</v>
      </c>
      <c r="C540" s="2">
        <v>16</v>
      </c>
      <c r="D540" s="13" t="s">
        <v>56</v>
      </c>
      <c r="E540" s="2">
        <v>4112559576</v>
      </c>
      <c r="F540" s="2">
        <v>1686736689</v>
      </c>
      <c r="G540" s="2">
        <v>191</v>
      </c>
      <c r="H540" s="2">
        <v>31</v>
      </c>
      <c r="I540" s="2">
        <v>222</v>
      </c>
      <c r="J540" s="2">
        <v>329</v>
      </c>
      <c r="K540" s="2">
        <v>551</v>
      </c>
      <c r="L540" s="2">
        <v>102</v>
      </c>
      <c r="M540" s="2">
        <v>103</v>
      </c>
      <c r="N540" s="2">
        <v>4</v>
      </c>
      <c r="O540" s="2">
        <v>26</v>
      </c>
      <c r="P540" s="2">
        <v>581</v>
      </c>
      <c r="Q540" s="2">
        <v>4789</v>
      </c>
      <c r="R540" s="13" t="s">
        <v>27</v>
      </c>
      <c r="S540" s="13" t="s">
        <v>27</v>
      </c>
    </row>
    <row r="541" spans="1:19" hidden="1" x14ac:dyDescent="0.3">
      <c r="A541" s="14">
        <v>43910.708333333336</v>
      </c>
      <c r="B541" s="13" t="s">
        <v>23</v>
      </c>
      <c r="C541" s="2">
        <v>20</v>
      </c>
      <c r="D541" s="13" t="s">
        <v>57</v>
      </c>
      <c r="E541" s="2">
        <v>3921531192</v>
      </c>
      <c r="F541" s="2">
        <v>9110616306</v>
      </c>
      <c r="G541" s="2">
        <v>56</v>
      </c>
      <c r="H541" s="2">
        <v>15</v>
      </c>
      <c r="I541" s="2">
        <v>71</v>
      </c>
      <c r="J541" s="2">
        <v>217</v>
      </c>
      <c r="K541" s="2">
        <v>288</v>
      </c>
      <c r="L541" s="2">
        <v>84</v>
      </c>
      <c r="M541" s="2">
        <v>87</v>
      </c>
      <c r="N541" s="2">
        <v>3</v>
      </c>
      <c r="O541" s="2">
        <v>2</v>
      </c>
      <c r="P541" s="2">
        <v>293</v>
      </c>
      <c r="Q541" s="2">
        <v>1912</v>
      </c>
      <c r="R541" s="13" t="s">
        <v>27</v>
      </c>
      <c r="S541" s="13" t="s">
        <v>27</v>
      </c>
    </row>
    <row r="542" spans="1:19" hidden="1" x14ac:dyDescent="0.3">
      <c r="A542" s="14">
        <v>43910.708333333336</v>
      </c>
      <c r="B542" s="13" t="s">
        <v>23</v>
      </c>
      <c r="C542" s="2">
        <v>19</v>
      </c>
      <c r="D542" s="13" t="s">
        <v>58</v>
      </c>
      <c r="E542" s="2">
        <v>3811569725</v>
      </c>
      <c r="F542" s="2">
        <v>133623567</v>
      </c>
      <c r="G542" s="2">
        <v>168</v>
      </c>
      <c r="H542" s="2">
        <v>42</v>
      </c>
      <c r="I542" s="2">
        <v>210</v>
      </c>
      <c r="J542" s="2">
        <v>169</v>
      </c>
      <c r="K542" s="2">
        <v>379</v>
      </c>
      <c r="L542" s="2">
        <v>58</v>
      </c>
      <c r="M542" s="2">
        <v>68</v>
      </c>
      <c r="N542" s="2">
        <v>25</v>
      </c>
      <c r="O542" s="2">
        <v>4</v>
      </c>
      <c r="P542" s="2">
        <v>408</v>
      </c>
      <c r="Q542" s="2">
        <v>4468</v>
      </c>
      <c r="R542" s="13" t="s">
        <v>27</v>
      </c>
      <c r="S542" s="13" t="s">
        <v>27</v>
      </c>
    </row>
    <row r="543" spans="1:19" hidden="1" x14ac:dyDescent="0.3">
      <c r="A543" s="14">
        <v>43910.708333333336</v>
      </c>
      <c r="B543" s="13" t="s">
        <v>23</v>
      </c>
      <c r="C543" s="2">
        <v>9</v>
      </c>
      <c r="D543" s="13" t="s">
        <v>59</v>
      </c>
      <c r="E543" s="2">
        <v>4376923077</v>
      </c>
      <c r="F543" s="2">
        <v>1125588885</v>
      </c>
      <c r="G543" s="2">
        <v>601</v>
      </c>
      <c r="H543" s="2">
        <v>189</v>
      </c>
      <c r="I543" s="2">
        <v>790</v>
      </c>
      <c r="J543" s="2">
        <v>923</v>
      </c>
      <c r="K543" s="2">
        <v>1713</v>
      </c>
      <c r="L543" s="2">
        <v>291</v>
      </c>
      <c r="M543" s="2">
        <v>311</v>
      </c>
      <c r="N543" s="2">
        <v>33</v>
      </c>
      <c r="O543" s="2">
        <v>47</v>
      </c>
      <c r="P543" s="2">
        <v>1793</v>
      </c>
      <c r="Q543" s="2">
        <v>10405</v>
      </c>
      <c r="R543" s="13" t="s">
        <v>27</v>
      </c>
      <c r="S543" s="13" t="s">
        <v>27</v>
      </c>
    </row>
    <row r="544" spans="1:19" hidden="1" x14ac:dyDescent="0.3">
      <c r="A544" s="14">
        <v>43910.708333333336</v>
      </c>
      <c r="B544" s="13" t="s">
        <v>23</v>
      </c>
      <c r="C544" s="2">
        <v>4</v>
      </c>
      <c r="D544" s="13" t="s">
        <v>60</v>
      </c>
      <c r="E544" s="2">
        <v>4606893511</v>
      </c>
      <c r="F544" s="2">
        <v>1112123097</v>
      </c>
      <c r="G544" s="2">
        <v>198</v>
      </c>
      <c r="H544" s="2">
        <v>34</v>
      </c>
      <c r="I544" s="2">
        <v>232</v>
      </c>
      <c r="J544" s="2">
        <v>368</v>
      </c>
      <c r="K544" s="2">
        <v>600</v>
      </c>
      <c r="L544" s="2">
        <v>109</v>
      </c>
      <c r="M544" s="2">
        <v>119</v>
      </c>
      <c r="N544" s="2">
        <v>29</v>
      </c>
      <c r="O544" s="2">
        <v>13</v>
      </c>
      <c r="P544" s="2">
        <v>642</v>
      </c>
      <c r="Q544" s="2">
        <v>2656</v>
      </c>
      <c r="R544" s="13" t="s">
        <v>27</v>
      </c>
      <c r="S544" s="13" t="s">
        <v>27</v>
      </c>
    </row>
    <row r="545" spans="1:19" hidden="1" x14ac:dyDescent="0.3">
      <c r="A545" s="14">
        <v>43910.708333333336</v>
      </c>
      <c r="B545" s="13" t="s">
        <v>23</v>
      </c>
      <c r="C545" s="2">
        <v>10</v>
      </c>
      <c r="D545" s="13" t="s">
        <v>61</v>
      </c>
      <c r="E545" s="2">
        <v>4310675841</v>
      </c>
      <c r="F545" s="2">
        <v>1238824698</v>
      </c>
      <c r="G545" s="2">
        <v>75</v>
      </c>
      <c r="H545" s="2">
        <v>24</v>
      </c>
      <c r="I545" s="2">
        <v>99</v>
      </c>
      <c r="J545" s="2">
        <v>285</v>
      </c>
      <c r="K545" s="2">
        <v>384</v>
      </c>
      <c r="L545" s="2">
        <v>56</v>
      </c>
      <c r="M545" s="2">
        <v>61</v>
      </c>
      <c r="N545" s="2">
        <v>4</v>
      </c>
      <c r="O545" s="2">
        <v>7</v>
      </c>
      <c r="P545" s="2">
        <v>395</v>
      </c>
      <c r="Q545" s="2">
        <v>2303</v>
      </c>
      <c r="R545" s="13" t="s">
        <v>27</v>
      </c>
      <c r="S545" s="13" t="s">
        <v>27</v>
      </c>
    </row>
    <row r="546" spans="1:19" hidden="1" x14ac:dyDescent="0.3">
      <c r="A546" s="14">
        <v>43910.708333333336</v>
      </c>
      <c r="B546" s="13" t="s">
        <v>23</v>
      </c>
      <c r="C546" s="2">
        <v>2</v>
      </c>
      <c r="D546" s="13" t="s">
        <v>62</v>
      </c>
      <c r="E546" s="2">
        <v>4573750286</v>
      </c>
      <c r="F546" s="2">
        <v>7320149366</v>
      </c>
      <c r="G546" s="2">
        <v>54</v>
      </c>
      <c r="H546" s="2">
        <v>9</v>
      </c>
      <c r="I546" s="2">
        <v>63</v>
      </c>
      <c r="J546" s="2">
        <v>194</v>
      </c>
      <c r="K546" s="2">
        <v>257</v>
      </c>
      <c r="L546" s="2">
        <v>48</v>
      </c>
      <c r="M546" s="2">
        <v>49</v>
      </c>
      <c r="N546" s="2">
        <v>0</v>
      </c>
      <c r="O546" s="2">
        <v>7</v>
      </c>
      <c r="P546" s="2">
        <v>264</v>
      </c>
      <c r="Q546" s="2">
        <v>814</v>
      </c>
      <c r="R546" s="13" t="s">
        <v>27</v>
      </c>
      <c r="S546" s="13" t="s">
        <v>27</v>
      </c>
    </row>
    <row r="547" spans="1:19" hidden="1" x14ac:dyDescent="0.3">
      <c r="A547" s="14">
        <v>43910.708333333336</v>
      </c>
      <c r="B547" s="13" t="s">
        <v>23</v>
      </c>
      <c r="C547" s="2">
        <v>5</v>
      </c>
      <c r="D547" s="13" t="s">
        <v>63</v>
      </c>
      <c r="E547" s="2">
        <v>4543490485</v>
      </c>
      <c r="F547" s="2">
        <v>1233845213</v>
      </c>
      <c r="G547" s="2">
        <v>843</v>
      </c>
      <c r="H547" s="2">
        <v>236</v>
      </c>
      <c r="I547" s="2">
        <v>1079</v>
      </c>
      <c r="J547" s="2">
        <v>2598</v>
      </c>
      <c r="K547" s="2">
        <v>3677</v>
      </c>
      <c r="L547" s="2">
        <v>508</v>
      </c>
      <c r="M547" s="2">
        <v>547</v>
      </c>
      <c r="N547" s="2">
        <v>223</v>
      </c>
      <c r="O547" s="2">
        <v>131</v>
      </c>
      <c r="P547" s="2">
        <v>4031</v>
      </c>
      <c r="Q547" s="2">
        <v>49288</v>
      </c>
      <c r="R547" s="13" t="s">
        <v>27</v>
      </c>
      <c r="S547" s="13" t="s">
        <v>27</v>
      </c>
    </row>
    <row r="548" spans="1:19" hidden="1" x14ac:dyDescent="0.3">
      <c r="A548" s="14">
        <v>43911.708333333336</v>
      </c>
      <c r="B548" s="13" t="s">
        <v>23</v>
      </c>
      <c r="C548" s="2">
        <v>13</v>
      </c>
      <c r="D548" s="13" t="s">
        <v>44</v>
      </c>
      <c r="E548" s="2">
        <v>4235122196</v>
      </c>
      <c r="F548" s="2">
        <v>1339843823</v>
      </c>
      <c r="G548" s="2">
        <v>185</v>
      </c>
      <c r="H548" s="2">
        <v>44</v>
      </c>
      <c r="I548" s="2">
        <v>229</v>
      </c>
      <c r="J548" s="2">
        <v>265</v>
      </c>
      <c r="K548" s="2">
        <v>494</v>
      </c>
      <c r="L548" s="2">
        <v>72</v>
      </c>
      <c r="M548" s="2">
        <v>80</v>
      </c>
      <c r="N548" s="2">
        <v>13</v>
      </c>
      <c r="O548" s="2">
        <v>22</v>
      </c>
      <c r="P548" s="2">
        <v>529</v>
      </c>
      <c r="Q548" s="2">
        <v>3035</v>
      </c>
      <c r="R548" s="13" t="s">
        <v>27</v>
      </c>
      <c r="S548" s="13" t="s">
        <v>27</v>
      </c>
    </row>
    <row r="549" spans="1:19" hidden="1" x14ac:dyDescent="0.3">
      <c r="A549" s="14">
        <v>43911.708333333336</v>
      </c>
      <c r="B549" s="13" t="s">
        <v>23</v>
      </c>
      <c r="C549" s="2">
        <v>17</v>
      </c>
      <c r="D549" s="13" t="s">
        <v>45</v>
      </c>
      <c r="E549" s="2">
        <v>4063947052</v>
      </c>
      <c r="F549" s="2">
        <v>1580514834</v>
      </c>
      <c r="G549" s="2">
        <v>12</v>
      </c>
      <c r="H549" s="2">
        <v>7</v>
      </c>
      <c r="I549" s="2">
        <v>19</v>
      </c>
      <c r="J549" s="2">
        <v>47</v>
      </c>
      <c r="K549" s="2">
        <v>66</v>
      </c>
      <c r="L549" s="2">
        <v>14</v>
      </c>
      <c r="M549" s="2">
        <v>14</v>
      </c>
      <c r="N549" s="2">
        <v>0</v>
      </c>
      <c r="O549" s="2">
        <v>0</v>
      </c>
      <c r="P549" s="2">
        <v>66</v>
      </c>
      <c r="Q549" s="2">
        <v>522</v>
      </c>
      <c r="R549" s="13" t="s">
        <v>27</v>
      </c>
      <c r="S549" s="13" t="s">
        <v>27</v>
      </c>
    </row>
    <row r="550" spans="1:19" hidden="1" x14ac:dyDescent="0.3">
      <c r="A550" s="14">
        <v>43911.708333333336</v>
      </c>
      <c r="B550" s="13" t="s">
        <v>23</v>
      </c>
      <c r="C550" s="2">
        <v>4</v>
      </c>
      <c r="D550" s="13" t="s">
        <v>46</v>
      </c>
      <c r="E550" s="2">
        <v>4649933453</v>
      </c>
      <c r="F550" s="2">
        <v>1135662422</v>
      </c>
      <c r="G550" s="2">
        <v>127</v>
      </c>
      <c r="H550" s="2">
        <v>30</v>
      </c>
      <c r="I550" s="2">
        <v>157</v>
      </c>
      <c r="J550" s="2">
        <v>443</v>
      </c>
      <c r="K550" s="2">
        <v>600</v>
      </c>
      <c r="L550" s="2">
        <v>70</v>
      </c>
      <c r="M550" s="2">
        <v>73</v>
      </c>
      <c r="N550" s="2">
        <v>1</v>
      </c>
      <c r="O550" s="2">
        <v>20</v>
      </c>
      <c r="P550" s="2">
        <v>621</v>
      </c>
      <c r="Q550" s="2">
        <v>5179</v>
      </c>
      <c r="R550" s="13" t="s">
        <v>27</v>
      </c>
      <c r="S550" s="13" t="s">
        <v>27</v>
      </c>
    </row>
    <row r="551" spans="1:19" hidden="1" x14ac:dyDescent="0.3">
      <c r="A551" s="14">
        <v>43911.708333333336</v>
      </c>
      <c r="B551" s="13" t="s">
        <v>23</v>
      </c>
      <c r="C551" s="2">
        <v>18</v>
      </c>
      <c r="D551" s="13" t="s">
        <v>47</v>
      </c>
      <c r="E551" s="2">
        <v>3890597598</v>
      </c>
      <c r="F551" s="2">
        <v>1659440194</v>
      </c>
      <c r="G551" s="2">
        <v>73</v>
      </c>
      <c r="H551" s="2">
        <v>16</v>
      </c>
      <c r="I551" s="2">
        <v>89</v>
      </c>
      <c r="J551" s="2">
        <v>136</v>
      </c>
      <c r="K551" s="2">
        <v>225</v>
      </c>
      <c r="L551" s="2">
        <v>24</v>
      </c>
      <c r="M551" s="2">
        <v>28</v>
      </c>
      <c r="N551" s="2">
        <v>5</v>
      </c>
      <c r="O551" s="2">
        <v>5</v>
      </c>
      <c r="P551" s="2">
        <v>235</v>
      </c>
      <c r="Q551" s="2">
        <v>3050</v>
      </c>
      <c r="R551" s="13" t="s">
        <v>27</v>
      </c>
      <c r="S551" s="13" t="s">
        <v>27</v>
      </c>
    </row>
    <row r="552" spans="1:19" hidden="1" x14ac:dyDescent="0.3">
      <c r="A552" s="14">
        <v>43911.708333333336</v>
      </c>
      <c r="B552" s="13" t="s">
        <v>23</v>
      </c>
      <c r="C552" s="2">
        <v>15</v>
      </c>
      <c r="D552" s="13" t="s">
        <v>48</v>
      </c>
      <c r="E552" s="2">
        <v>4083956555</v>
      </c>
      <c r="F552" s="2">
        <v>1425084984</v>
      </c>
      <c r="G552" s="2">
        <v>233</v>
      </c>
      <c r="H552" s="2">
        <v>87</v>
      </c>
      <c r="I552" s="2">
        <v>320</v>
      </c>
      <c r="J552" s="2">
        <v>473</v>
      </c>
      <c r="K552" s="2">
        <v>793</v>
      </c>
      <c r="L552" s="2">
        <v>91</v>
      </c>
      <c r="M552" s="2">
        <v>95</v>
      </c>
      <c r="N552" s="2">
        <v>29</v>
      </c>
      <c r="O552" s="2">
        <v>22</v>
      </c>
      <c r="P552" s="2">
        <v>844</v>
      </c>
      <c r="Q552" s="2">
        <v>4448</v>
      </c>
      <c r="R552" s="13" t="s">
        <v>27</v>
      </c>
      <c r="S552" s="13" t="s">
        <v>27</v>
      </c>
    </row>
    <row r="553" spans="1:19" hidden="1" x14ac:dyDescent="0.3">
      <c r="A553" s="14">
        <v>43911.708333333336</v>
      </c>
      <c r="B553" s="13" t="s">
        <v>23</v>
      </c>
      <c r="C553" s="2">
        <v>8</v>
      </c>
      <c r="D553" s="13" t="s">
        <v>98</v>
      </c>
      <c r="E553" s="2">
        <v>4449436681</v>
      </c>
      <c r="F553" s="2">
        <v>113417208</v>
      </c>
      <c r="G553" s="2">
        <v>2267</v>
      </c>
      <c r="H553" s="2">
        <v>265</v>
      </c>
      <c r="I553" s="2">
        <v>2532</v>
      </c>
      <c r="J553" s="2">
        <v>3129</v>
      </c>
      <c r="K553" s="2">
        <v>5661</v>
      </c>
      <c r="L553" s="2">
        <v>572</v>
      </c>
      <c r="M553" s="2">
        <v>737</v>
      </c>
      <c r="N553" s="2">
        <v>329</v>
      </c>
      <c r="O553" s="2">
        <v>715</v>
      </c>
      <c r="P553" s="2">
        <v>6705</v>
      </c>
      <c r="Q553" s="2">
        <v>24620</v>
      </c>
      <c r="R553" s="13" t="s">
        <v>27</v>
      </c>
      <c r="S553" s="13" t="s">
        <v>27</v>
      </c>
    </row>
    <row r="554" spans="1:19" hidden="1" x14ac:dyDescent="0.3">
      <c r="A554" s="14">
        <v>43911.708333333336</v>
      </c>
      <c r="B554" s="13" t="s">
        <v>23</v>
      </c>
      <c r="C554" s="2">
        <v>6</v>
      </c>
      <c r="D554" s="13" t="s">
        <v>49</v>
      </c>
      <c r="E554" s="2">
        <v>456494354</v>
      </c>
      <c r="F554" s="2">
        <v>1376813649</v>
      </c>
      <c r="G554" s="2">
        <v>152</v>
      </c>
      <c r="H554" s="2">
        <v>37</v>
      </c>
      <c r="I554" s="2">
        <v>189</v>
      </c>
      <c r="J554" s="2">
        <v>477</v>
      </c>
      <c r="K554" s="2">
        <v>666</v>
      </c>
      <c r="L554" s="2">
        <v>111</v>
      </c>
      <c r="M554" s="2">
        <v>134</v>
      </c>
      <c r="N554" s="2">
        <v>82</v>
      </c>
      <c r="O554" s="2">
        <v>42</v>
      </c>
      <c r="P554" s="2">
        <v>790</v>
      </c>
      <c r="Q554" s="2">
        <v>5955</v>
      </c>
      <c r="R554" s="13" t="s">
        <v>27</v>
      </c>
      <c r="S554" s="13" t="s">
        <v>27</v>
      </c>
    </row>
    <row r="555" spans="1:19" hidden="1" x14ac:dyDescent="0.3">
      <c r="A555" s="14">
        <v>43911.708333333336</v>
      </c>
      <c r="B555" s="13" t="s">
        <v>23</v>
      </c>
      <c r="C555" s="2">
        <v>12</v>
      </c>
      <c r="D555" s="13" t="s">
        <v>50</v>
      </c>
      <c r="E555" s="2">
        <v>4189277044</v>
      </c>
      <c r="F555" s="2">
        <v>1248366722</v>
      </c>
      <c r="G555" s="2">
        <v>591</v>
      </c>
      <c r="H555" s="2">
        <v>70</v>
      </c>
      <c r="I555" s="2">
        <v>661</v>
      </c>
      <c r="J555" s="2">
        <v>425</v>
      </c>
      <c r="K555" s="2">
        <v>1086</v>
      </c>
      <c r="L555" s="2">
        <v>174</v>
      </c>
      <c r="M555" s="2">
        <v>182</v>
      </c>
      <c r="N555" s="2">
        <v>54</v>
      </c>
      <c r="O555" s="2">
        <v>50</v>
      </c>
      <c r="P555" s="2">
        <v>1190</v>
      </c>
      <c r="Q555" s="2">
        <v>13889</v>
      </c>
      <c r="R555" s="13" t="s">
        <v>27</v>
      </c>
      <c r="S555" s="13" t="s">
        <v>27</v>
      </c>
    </row>
    <row r="556" spans="1:19" hidden="1" x14ac:dyDescent="0.3">
      <c r="A556" s="14">
        <v>43911.708333333336</v>
      </c>
      <c r="B556" s="13" t="s">
        <v>23</v>
      </c>
      <c r="C556" s="2">
        <v>7</v>
      </c>
      <c r="D556" s="13" t="s">
        <v>51</v>
      </c>
      <c r="E556" s="2">
        <v>4441149315</v>
      </c>
      <c r="F556" s="2">
        <v>89326992</v>
      </c>
      <c r="G556" s="2">
        <v>598</v>
      </c>
      <c r="H556" s="2">
        <v>129</v>
      </c>
      <c r="I556" s="2">
        <v>727</v>
      </c>
      <c r="J556" s="2">
        <v>432</v>
      </c>
      <c r="K556" s="2">
        <v>1159</v>
      </c>
      <c r="L556" s="2">
        <v>158</v>
      </c>
      <c r="M556" s="2">
        <v>215</v>
      </c>
      <c r="N556" s="2">
        <v>125</v>
      </c>
      <c r="O556" s="2">
        <v>152</v>
      </c>
      <c r="P556" s="2">
        <v>1436</v>
      </c>
      <c r="Q556" s="2">
        <v>4304</v>
      </c>
      <c r="R556" s="13" t="s">
        <v>27</v>
      </c>
      <c r="S556" s="13" t="s">
        <v>27</v>
      </c>
    </row>
    <row r="557" spans="1:19" x14ac:dyDescent="0.3">
      <c r="A557" s="14">
        <v>43911.708333333336</v>
      </c>
      <c r="B557" s="13" t="s">
        <v>23</v>
      </c>
      <c r="C557" s="2">
        <v>3</v>
      </c>
      <c r="D557" s="13" t="s">
        <v>52</v>
      </c>
      <c r="E557" s="2">
        <v>4546679409</v>
      </c>
      <c r="F557" s="2">
        <v>9190347404</v>
      </c>
      <c r="G557" s="2">
        <v>8258</v>
      </c>
      <c r="H557" s="2">
        <v>1093</v>
      </c>
      <c r="I557" s="2">
        <v>9351</v>
      </c>
      <c r="J557" s="2">
        <v>8019</v>
      </c>
      <c r="K557" s="2">
        <v>17370</v>
      </c>
      <c r="L557" s="2">
        <v>1950</v>
      </c>
      <c r="M557" s="2">
        <v>3251</v>
      </c>
      <c r="N557" s="2">
        <v>5050</v>
      </c>
      <c r="O557" s="2">
        <v>3095</v>
      </c>
      <c r="P557" s="2">
        <v>25515</v>
      </c>
      <c r="Q557" s="2">
        <v>66730</v>
      </c>
      <c r="R557" s="13" t="s">
        <v>27</v>
      </c>
      <c r="S557" s="13" t="s">
        <v>27</v>
      </c>
    </row>
    <row r="558" spans="1:19" hidden="1" x14ac:dyDescent="0.3">
      <c r="A558" s="14">
        <v>43911.708333333336</v>
      </c>
      <c r="B558" s="13" t="s">
        <v>23</v>
      </c>
      <c r="C558" s="2">
        <v>11</v>
      </c>
      <c r="D558" s="13" t="s">
        <v>53</v>
      </c>
      <c r="E558" s="2">
        <v>4361675973</v>
      </c>
      <c r="F558" s="2">
        <v>135188753</v>
      </c>
      <c r="G558" s="2">
        <v>742</v>
      </c>
      <c r="H558" s="2">
        <v>141</v>
      </c>
      <c r="I558" s="2">
        <v>883</v>
      </c>
      <c r="J558" s="2">
        <v>1114</v>
      </c>
      <c r="K558" s="2">
        <v>1997</v>
      </c>
      <c r="L558" s="2">
        <v>153</v>
      </c>
      <c r="M558" s="2">
        <v>172</v>
      </c>
      <c r="N558" s="2">
        <v>2</v>
      </c>
      <c r="O558" s="2">
        <v>154</v>
      </c>
      <c r="P558" s="2">
        <v>2153</v>
      </c>
      <c r="Q558" s="2">
        <v>5740</v>
      </c>
      <c r="R558" s="13" t="s">
        <v>27</v>
      </c>
      <c r="S558" s="13" t="s">
        <v>27</v>
      </c>
    </row>
    <row r="559" spans="1:19" hidden="1" x14ac:dyDescent="0.3">
      <c r="A559" s="14">
        <v>43911.708333333336</v>
      </c>
      <c r="B559" s="13" t="s">
        <v>23</v>
      </c>
      <c r="C559" s="2">
        <v>14</v>
      </c>
      <c r="D559" s="13" t="s">
        <v>54</v>
      </c>
      <c r="E559" s="2">
        <v>4155774754</v>
      </c>
      <c r="F559" s="2">
        <v>1465916051</v>
      </c>
      <c r="G559" s="2">
        <v>21</v>
      </c>
      <c r="H559" s="2">
        <v>6</v>
      </c>
      <c r="I559" s="2">
        <v>27</v>
      </c>
      <c r="J559" s="2">
        <v>20</v>
      </c>
      <c r="K559" s="2">
        <v>47</v>
      </c>
      <c r="L559" s="2">
        <v>8</v>
      </c>
      <c r="M559" s="2">
        <v>11</v>
      </c>
      <c r="N559" s="2">
        <v>7</v>
      </c>
      <c r="O559" s="2">
        <v>7</v>
      </c>
      <c r="P559" s="2">
        <v>61</v>
      </c>
      <c r="Q559" s="2">
        <v>449</v>
      </c>
      <c r="R559" s="13" t="s">
        <v>27</v>
      </c>
      <c r="S559" s="13" t="s">
        <v>27</v>
      </c>
    </row>
    <row r="560" spans="1:19" hidden="1" x14ac:dyDescent="0.3">
      <c r="A560" s="14">
        <v>43911.708333333336</v>
      </c>
      <c r="B560" s="13" t="s">
        <v>23</v>
      </c>
      <c r="C560" s="2">
        <v>1</v>
      </c>
      <c r="D560" s="13" t="s">
        <v>55</v>
      </c>
      <c r="E560" s="2">
        <v>450732745</v>
      </c>
      <c r="F560" s="2">
        <v>7680687483</v>
      </c>
      <c r="G560" s="2">
        <v>1976</v>
      </c>
      <c r="H560" s="2">
        <v>301</v>
      </c>
      <c r="I560" s="2">
        <v>2277</v>
      </c>
      <c r="J560" s="2">
        <v>1229</v>
      </c>
      <c r="K560" s="2">
        <v>3506</v>
      </c>
      <c r="L560" s="2">
        <v>262</v>
      </c>
      <c r="M560" s="2">
        <v>291</v>
      </c>
      <c r="N560" s="2">
        <v>8</v>
      </c>
      <c r="O560" s="2">
        <v>238</v>
      </c>
      <c r="P560" s="2">
        <v>3752</v>
      </c>
      <c r="Q560" s="2">
        <v>10701</v>
      </c>
      <c r="R560" s="13" t="s">
        <v>27</v>
      </c>
      <c r="S560" s="13" t="s">
        <v>27</v>
      </c>
    </row>
    <row r="561" spans="1:19" hidden="1" x14ac:dyDescent="0.3">
      <c r="A561" s="14">
        <v>43911.708333333336</v>
      </c>
      <c r="B561" s="13" t="s">
        <v>23</v>
      </c>
      <c r="C561" s="2">
        <v>16</v>
      </c>
      <c r="D561" s="13" t="s">
        <v>56</v>
      </c>
      <c r="E561" s="2">
        <v>4112559576</v>
      </c>
      <c r="F561" s="2">
        <v>1686736689</v>
      </c>
      <c r="G561" s="2">
        <v>209</v>
      </c>
      <c r="H561" s="2">
        <v>33</v>
      </c>
      <c r="I561" s="2">
        <v>242</v>
      </c>
      <c r="J561" s="2">
        <v>400</v>
      </c>
      <c r="K561" s="2">
        <v>642</v>
      </c>
      <c r="L561" s="2">
        <v>91</v>
      </c>
      <c r="M561" s="2">
        <v>94</v>
      </c>
      <c r="N561" s="2">
        <v>4</v>
      </c>
      <c r="O561" s="2">
        <v>29</v>
      </c>
      <c r="P561" s="2">
        <v>675</v>
      </c>
      <c r="Q561" s="2">
        <v>5617</v>
      </c>
      <c r="R561" s="13" t="s">
        <v>27</v>
      </c>
      <c r="S561" s="13" t="s">
        <v>27</v>
      </c>
    </row>
    <row r="562" spans="1:19" hidden="1" x14ac:dyDescent="0.3">
      <c r="A562" s="14">
        <v>43911.708333333336</v>
      </c>
      <c r="B562" s="13" t="s">
        <v>23</v>
      </c>
      <c r="C562" s="2">
        <v>20</v>
      </c>
      <c r="D562" s="13" t="s">
        <v>57</v>
      </c>
      <c r="E562" s="2">
        <v>3921531192</v>
      </c>
      <c r="F562" s="2">
        <v>9110616306</v>
      </c>
      <c r="G562" s="2">
        <v>65</v>
      </c>
      <c r="H562" s="2">
        <v>16</v>
      </c>
      <c r="I562" s="2">
        <v>81</v>
      </c>
      <c r="J562" s="2">
        <v>240</v>
      </c>
      <c r="K562" s="2">
        <v>321</v>
      </c>
      <c r="L562" s="2">
        <v>33</v>
      </c>
      <c r="M562" s="2">
        <v>37</v>
      </c>
      <c r="N562" s="2">
        <v>5</v>
      </c>
      <c r="O562" s="2">
        <v>4</v>
      </c>
      <c r="P562" s="2">
        <v>330</v>
      </c>
      <c r="Q562" s="2">
        <v>2297</v>
      </c>
      <c r="R562" s="13" t="s">
        <v>27</v>
      </c>
      <c r="S562" s="13" t="s">
        <v>27</v>
      </c>
    </row>
    <row r="563" spans="1:19" hidden="1" x14ac:dyDescent="0.3">
      <c r="A563" s="14">
        <v>43911.708333333336</v>
      </c>
      <c r="B563" s="13" t="s">
        <v>23</v>
      </c>
      <c r="C563" s="2">
        <v>19</v>
      </c>
      <c r="D563" s="13" t="s">
        <v>58</v>
      </c>
      <c r="E563" s="2">
        <v>3811569725</v>
      </c>
      <c r="F563" s="2">
        <v>133623567</v>
      </c>
      <c r="G563" s="2">
        <v>206</v>
      </c>
      <c r="H563" s="2">
        <v>48</v>
      </c>
      <c r="I563" s="2">
        <v>254</v>
      </c>
      <c r="J563" s="2">
        <v>204</v>
      </c>
      <c r="K563" s="2">
        <v>458</v>
      </c>
      <c r="L563" s="2">
        <v>79</v>
      </c>
      <c r="M563" s="2">
        <v>82</v>
      </c>
      <c r="N563" s="2">
        <v>26</v>
      </c>
      <c r="O563" s="2">
        <v>6</v>
      </c>
      <c r="P563" s="2">
        <v>490</v>
      </c>
      <c r="Q563" s="2">
        <v>4883</v>
      </c>
      <c r="R563" s="13" t="s">
        <v>27</v>
      </c>
      <c r="S563" s="13" t="s">
        <v>27</v>
      </c>
    </row>
    <row r="564" spans="1:19" hidden="1" x14ac:dyDescent="0.3">
      <c r="A564" s="14">
        <v>43911.708333333336</v>
      </c>
      <c r="B564" s="13" t="s">
        <v>23</v>
      </c>
      <c r="C564" s="2">
        <v>9</v>
      </c>
      <c r="D564" s="13" t="s">
        <v>59</v>
      </c>
      <c r="E564" s="2">
        <v>4376923077</v>
      </c>
      <c r="F564" s="2">
        <v>1125588885</v>
      </c>
      <c r="G564" s="2">
        <v>664</v>
      </c>
      <c r="H564" s="2">
        <v>202</v>
      </c>
      <c r="I564" s="2">
        <v>866</v>
      </c>
      <c r="J564" s="2">
        <v>1039</v>
      </c>
      <c r="K564" s="2">
        <v>1905</v>
      </c>
      <c r="L564" s="2">
        <v>192</v>
      </c>
      <c r="M564" s="2">
        <v>219</v>
      </c>
      <c r="N564" s="2">
        <v>35</v>
      </c>
      <c r="O564" s="2">
        <v>72</v>
      </c>
      <c r="P564" s="2">
        <v>2012</v>
      </c>
      <c r="Q564" s="2">
        <v>11909</v>
      </c>
      <c r="R564" s="13" t="s">
        <v>27</v>
      </c>
      <c r="S564" s="13" t="s">
        <v>27</v>
      </c>
    </row>
    <row r="565" spans="1:19" hidden="1" x14ac:dyDescent="0.3">
      <c r="A565" s="14">
        <v>43911.708333333336</v>
      </c>
      <c r="B565" s="13" t="s">
        <v>23</v>
      </c>
      <c r="C565" s="2">
        <v>4</v>
      </c>
      <c r="D565" s="13" t="s">
        <v>60</v>
      </c>
      <c r="E565" s="2">
        <v>4606893511</v>
      </c>
      <c r="F565" s="2">
        <v>1112123097</v>
      </c>
      <c r="G565" s="2">
        <v>233</v>
      </c>
      <c r="H565" s="2">
        <v>39</v>
      </c>
      <c r="I565" s="2">
        <v>272</v>
      </c>
      <c r="J565" s="2">
        <v>448</v>
      </c>
      <c r="K565" s="2">
        <v>720</v>
      </c>
      <c r="L565" s="2">
        <v>120</v>
      </c>
      <c r="M565" s="2">
        <v>140</v>
      </c>
      <c r="N565" s="2">
        <v>34</v>
      </c>
      <c r="O565" s="2">
        <v>28</v>
      </c>
      <c r="P565" s="2">
        <v>782</v>
      </c>
      <c r="Q565" s="2">
        <v>2656</v>
      </c>
      <c r="R565" s="13" t="s">
        <v>27</v>
      </c>
      <c r="S565" s="13" t="s">
        <v>27</v>
      </c>
    </row>
    <row r="566" spans="1:19" hidden="1" x14ac:dyDescent="0.3">
      <c r="A566" s="14">
        <v>43911.708333333336</v>
      </c>
      <c r="B566" s="13" t="s">
        <v>23</v>
      </c>
      <c r="C566" s="2">
        <v>10</v>
      </c>
      <c r="D566" s="13" t="s">
        <v>61</v>
      </c>
      <c r="E566" s="2">
        <v>4310675841</v>
      </c>
      <c r="F566" s="2">
        <v>1238824698</v>
      </c>
      <c r="G566" s="2">
        <v>92</v>
      </c>
      <c r="H566" s="2">
        <v>29</v>
      </c>
      <c r="I566" s="2">
        <v>121</v>
      </c>
      <c r="J566" s="2">
        <v>326</v>
      </c>
      <c r="K566" s="2">
        <v>447</v>
      </c>
      <c r="L566" s="2">
        <v>63</v>
      </c>
      <c r="M566" s="2">
        <v>67</v>
      </c>
      <c r="N566" s="2">
        <v>5</v>
      </c>
      <c r="O566" s="2">
        <v>10</v>
      </c>
      <c r="P566" s="2">
        <v>462</v>
      </c>
      <c r="Q566" s="2">
        <v>2712</v>
      </c>
      <c r="R566" s="13" t="s">
        <v>27</v>
      </c>
      <c r="S566" s="13" t="s">
        <v>27</v>
      </c>
    </row>
    <row r="567" spans="1:19" hidden="1" x14ac:dyDescent="0.3">
      <c r="A567" s="14">
        <v>43911.708333333336</v>
      </c>
      <c r="B567" s="13" t="s">
        <v>23</v>
      </c>
      <c r="C567" s="2">
        <v>2</v>
      </c>
      <c r="D567" s="13" t="s">
        <v>62</v>
      </c>
      <c r="E567" s="2">
        <v>4573750286</v>
      </c>
      <c r="F567" s="2">
        <v>7320149366</v>
      </c>
      <c r="G567" s="2">
        <v>62</v>
      </c>
      <c r="H567" s="2">
        <v>15</v>
      </c>
      <c r="I567" s="2">
        <v>77</v>
      </c>
      <c r="J567" s="2">
        <v>227</v>
      </c>
      <c r="K567" s="2">
        <v>304</v>
      </c>
      <c r="L567" s="2">
        <v>47</v>
      </c>
      <c r="M567" s="2">
        <v>49</v>
      </c>
      <c r="N567" s="2">
        <v>1</v>
      </c>
      <c r="O567" s="2">
        <v>8</v>
      </c>
      <c r="P567" s="2">
        <v>313</v>
      </c>
      <c r="Q567" s="2">
        <v>884</v>
      </c>
      <c r="R567" s="13" t="s">
        <v>27</v>
      </c>
      <c r="S567" s="13" t="s">
        <v>27</v>
      </c>
    </row>
    <row r="568" spans="1:19" hidden="1" x14ac:dyDescent="0.3">
      <c r="A568" s="14">
        <v>43911.708333333336</v>
      </c>
      <c r="B568" s="13" t="s">
        <v>23</v>
      </c>
      <c r="C568" s="2">
        <v>5</v>
      </c>
      <c r="D568" s="13" t="s">
        <v>63</v>
      </c>
      <c r="E568" s="2">
        <v>4543490485</v>
      </c>
      <c r="F568" s="2">
        <v>1233845213</v>
      </c>
      <c r="G568" s="2">
        <v>942</v>
      </c>
      <c r="H568" s="2">
        <v>249</v>
      </c>
      <c r="I568" s="2">
        <v>1191</v>
      </c>
      <c r="J568" s="2">
        <v>3023</v>
      </c>
      <c r="K568" s="2">
        <v>4214</v>
      </c>
      <c r="L568" s="2">
        <v>537</v>
      </c>
      <c r="M568" s="2">
        <v>586</v>
      </c>
      <c r="N568" s="2">
        <v>257</v>
      </c>
      <c r="O568" s="2">
        <v>146</v>
      </c>
      <c r="P568" s="2">
        <v>4617</v>
      </c>
      <c r="Q568" s="2">
        <v>53642</v>
      </c>
      <c r="R568" s="13" t="s">
        <v>27</v>
      </c>
      <c r="S568" s="13" t="s">
        <v>27</v>
      </c>
    </row>
    <row r="569" spans="1:19" hidden="1" x14ac:dyDescent="0.3">
      <c r="A569" s="14">
        <v>43912.708333333336</v>
      </c>
      <c r="B569" s="13" t="s">
        <v>23</v>
      </c>
      <c r="C569" s="2">
        <v>13</v>
      </c>
      <c r="D569" s="13" t="s">
        <v>44</v>
      </c>
      <c r="E569" s="2">
        <v>4235122196</v>
      </c>
      <c r="F569" s="2">
        <v>1339843823</v>
      </c>
      <c r="G569" s="2">
        <v>218</v>
      </c>
      <c r="H569" s="2">
        <v>49</v>
      </c>
      <c r="I569" s="2">
        <v>267</v>
      </c>
      <c r="J569" s="2">
        <v>272</v>
      </c>
      <c r="K569" s="2">
        <v>539</v>
      </c>
      <c r="L569" s="2">
        <v>45</v>
      </c>
      <c r="M569" s="2">
        <v>58</v>
      </c>
      <c r="N569" s="2">
        <v>15</v>
      </c>
      <c r="O569" s="2">
        <v>33</v>
      </c>
      <c r="P569" s="2">
        <v>587</v>
      </c>
      <c r="Q569" s="2">
        <v>3375</v>
      </c>
      <c r="R569" s="13" t="s">
        <v>27</v>
      </c>
      <c r="S569" s="13" t="s">
        <v>27</v>
      </c>
    </row>
    <row r="570" spans="1:19" hidden="1" x14ac:dyDescent="0.3">
      <c r="A570" s="14">
        <v>43912.708333333336</v>
      </c>
      <c r="B570" s="13" t="s">
        <v>23</v>
      </c>
      <c r="C570" s="2">
        <v>17</v>
      </c>
      <c r="D570" s="13" t="s">
        <v>45</v>
      </c>
      <c r="E570" s="2">
        <v>4063947052</v>
      </c>
      <c r="F570" s="2">
        <v>1580514834</v>
      </c>
      <c r="G570" s="2">
        <v>13</v>
      </c>
      <c r="H570" s="2">
        <v>10</v>
      </c>
      <c r="I570" s="2">
        <v>23</v>
      </c>
      <c r="J570" s="2">
        <v>58</v>
      </c>
      <c r="K570" s="2">
        <v>81</v>
      </c>
      <c r="L570" s="2">
        <v>15</v>
      </c>
      <c r="M570" s="2">
        <v>15</v>
      </c>
      <c r="N570" s="2">
        <v>0</v>
      </c>
      <c r="O570" s="2">
        <v>0</v>
      </c>
      <c r="P570" s="2">
        <v>81</v>
      </c>
      <c r="Q570" s="2">
        <v>643</v>
      </c>
      <c r="R570" s="13" t="s">
        <v>27</v>
      </c>
      <c r="S570" s="13" t="s">
        <v>27</v>
      </c>
    </row>
    <row r="571" spans="1:19" hidden="1" x14ac:dyDescent="0.3">
      <c r="A571" s="14">
        <v>43912.708333333336</v>
      </c>
      <c r="B571" s="13" t="s">
        <v>23</v>
      </c>
      <c r="C571" s="2">
        <v>4</v>
      </c>
      <c r="D571" s="13" t="s">
        <v>46</v>
      </c>
      <c r="E571" s="2">
        <v>4649933453</v>
      </c>
      <c r="F571" s="2">
        <v>1135662422</v>
      </c>
      <c r="G571" s="2">
        <v>146</v>
      </c>
      <c r="H571" s="2">
        <v>32</v>
      </c>
      <c r="I571" s="2">
        <v>178</v>
      </c>
      <c r="J571" s="2">
        <v>470</v>
      </c>
      <c r="K571" s="2">
        <v>648</v>
      </c>
      <c r="L571" s="2">
        <v>48</v>
      </c>
      <c r="M571" s="2">
        <v>57</v>
      </c>
      <c r="N571" s="2">
        <v>7</v>
      </c>
      <c r="O571" s="2">
        <v>23</v>
      </c>
      <c r="P571" s="2">
        <v>678</v>
      </c>
      <c r="Q571" s="2">
        <v>5718</v>
      </c>
      <c r="R571" s="13" t="s">
        <v>27</v>
      </c>
      <c r="S571" s="13" t="s">
        <v>27</v>
      </c>
    </row>
    <row r="572" spans="1:19" hidden="1" x14ac:dyDescent="0.3">
      <c r="A572" s="14">
        <v>43912.708333333336</v>
      </c>
      <c r="B572" s="13" t="s">
        <v>23</v>
      </c>
      <c r="C572" s="2">
        <v>18</v>
      </c>
      <c r="D572" s="13" t="s">
        <v>47</v>
      </c>
      <c r="E572" s="2">
        <v>3890597598</v>
      </c>
      <c r="F572" s="2">
        <v>1659440194</v>
      </c>
      <c r="G572" s="2">
        <v>77</v>
      </c>
      <c r="H572" s="2">
        <v>17</v>
      </c>
      <c r="I572" s="2">
        <v>94</v>
      </c>
      <c r="J572" s="2">
        <v>166</v>
      </c>
      <c r="K572" s="2">
        <v>260</v>
      </c>
      <c r="L572" s="2">
        <v>35</v>
      </c>
      <c r="M572" s="2">
        <v>38</v>
      </c>
      <c r="N572" s="2">
        <v>5</v>
      </c>
      <c r="O572" s="2">
        <v>8</v>
      </c>
      <c r="P572" s="2">
        <v>273</v>
      </c>
      <c r="Q572" s="2">
        <v>3666</v>
      </c>
      <c r="R572" s="13" t="s">
        <v>27</v>
      </c>
      <c r="S572" s="13" t="s">
        <v>27</v>
      </c>
    </row>
    <row r="573" spans="1:19" hidden="1" x14ac:dyDescent="0.3">
      <c r="A573" s="14">
        <v>43912.708333333336</v>
      </c>
      <c r="B573" s="13" t="s">
        <v>23</v>
      </c>
      <c r="C573" s="2">
        <v>15</v>
      </c>
      <c r="D573" s="13" t="s">
        <v>48</v>
      </c>
      <c r="E573" s="2">
        <v>4083956555</v>
      </c>
      <c r="F573" s="2">
        <v>1425084984</v>
      </c>
      <c r="G573" s="2">
        <v>243</v>
      </c>
      <c r="H573" s="2">
        <v>99</v>
      </c>
      <c r="I573" s="2">
        <v>342</v>
      </c>
      <c r="J573" s="2">
        <v>524</v>
      </c>
      <c r="K573" s="2">
        <v>866</v>
      </c>
      <c r="L573" s="2">
        <v>73</v>
      </c>
      <c r="M573" s="2">
        <v>92</v>
      </c>
      <c r="N573" s="2">
        <v>41</v>
      </c>
      <c r="O573" s="2">
        <v>29</v>
      </c>
      <c r="P573" s="2">
        <v>936</v>
      </c>
      <c r="Q573" s="2">
        <v>4943</v>
      </c>
      <c r="R573" s="13" t="s">
        <v>27</v>
      </c>
      <c r="S573" s="13" t="s">
        <v>27</v>
      </c>
    </row>
    <row r="574" spans="1:19" hidden="1" x14ac:dyDescent="0.3">
      <c r="A574" s="14">
        <v>43912.708333333336</v>
      </c>
      <c r="B574" s="13" t="s">
        <v>23</v>
      </c>
      <c r="C574" s="2">
        <v>8</v>
      </c>
      <c r="D574" s="13" t="s">
        <v>98</v>
      </c>
      <c r="E574" s="2">
        <v>4449436681</v>
      </c>
      <c r="F574" s="2">
        <v>113417208</v>
      </c>
      <c r="G574" s="2">
        <v>2429</v>
      </c>
      <c r="H574" s="2">
        <v>269</v>
      </c>
      <c r="I574" s="2">
        <v>2698</v>
      </c>
      <c r="J574" s="2">
        <v>3692</v>
      </c>
      <c r="K574" s="2">
        <v>6390</v>
      </c>
      <c r="L574" s="2">
        <v>729</v>
      </c>
      <c r="M574" s="2">
        <v>850</v>
      </c>
      <c r="N574" s="2">
        <v>349</v>
      </c>
      <c r="O574" s="2">
        <v>816</v>
      </c>
      <c r="P574" s="2">
        <v>7555</v>
      </c>
      <c r="Q574" s="2">
        <v>28022</v>
      </c>
      <c r="R574" s="13" t="s">
        <v>27</v>
      </c>
      <c r="S574" s="13" t="s">
        <v>27</v>
      </c>
    </row>
    <row r="575" spans="1:19" hidden="1" x14ac:dyDescent="0.3">
      <c r="A575" s="14">
        <v>43912.708333333336</v>
      </c>
      <c r="B575" s="13" t="s">
        <v>23</v>
      </c>
      <c r="C575" s="2">
        <v>6</v>
      </c>
      <c r="D575" s="13" t="s">
        <v>49</v>
      </c>
      <c r="E575" s="2">
        <v>456494354</v>
      </c>
      <c r="F575" s="2">
        <v>1376813649</v>
      </c>
      <c r="G575" s="2">
        <v>163</v>
      </c>
      <c r="H575" s="2">
        <v>47</v>
      </c>
      <c r="I575" s="2">
        <v>210</v>
      </c>
      <c r="J575" s="2">
        <v>528</v>
      </c>
      <c r="K575" s="2">
        <v>738</v>
      </c>
      <c r="L575" s="2">
        <v>72</v>
      </c>
      <c r="M575" s="2">
        <v>84</v>
      </c>
      <c r="N575" s="2">
        <v>89</v>
      </c>
      <c r="O575" s="2">
        <v>47</v>
      </c>
      <c r="P575" s="2">
        <v>874</v>
      </c>
      <c r="Q575" s="2">
        <v>6761</v>
      </c>
      <c r="R575" s="13" t="s">
        <v>27</v>
      </c>
      <c r="S575" s="13" t="s">
        <v>27</v>
      </c>
    </row>
    <row r="576" spans="1:19" hidden="1" x14ac:dyDescent="0.3">
      <c r="A576" s="14">
        <v>43912.708333333336</v>
      </c>
      <c r="B576" s="13" t="s">
        <v>23</v>
      </c>
      <c r="C576" s="2">
        <v>12</v>
      </c>
      <c r="D576" s="13" t="s">
        <v>50</v>
      </c>
      <c r="E576" s="2">
        <v>4189277044</v>
      </c>
      <c r="F576" s="2">
        <v>1248366722</v>
      </c>
      <c r="G576" s="2">
        <v>671</v>
      </c>
      <c r="H576" s="2">
        <v>79</v>
      </c>
      <c r="I576" s="2">
        <v>750</v>
      </c>
      <c r="J576" s="2">
        <v>522</v>
      </c>
      <c r="K576" s="2">
        <v>1272</v>
      </c>
      <c r="L576" s="2">
        <v>186</v>
      </c>
      <c r="M576" s="2">
        <v>193</v>
      </c>
      <c r="N576" s="2">
        <v>58</v>
      </c>
      <c r="O576" s="2">
        <v>53</v>
      </c>
      <c r="P576" s="2">
        <v>1383</v>
      </c>
      <c r="Q576" s="2">
        <v>17845</v>
      </c>
      <c r="R576" s="13" t="s">
        <v>27</v>
      </c>
      <c r="S576" s="13" t="s">
        <v>27</v>
      </c>
    </row>
    <row r="577" spans="1:19" hidden="1" x14ac:dyDescent="0.3">
      <c r="A577" s="14">
        <v>43912.708333333336</v>
      </c>
      <c r="B577" s="13" t="s">
        <v>23</v>
      </c>
      <c r="C577" s="2">
        <v>7</v>
      </c>
      <c r="D577" s="13" t="s">
        <v>51</v>
      </c>
      <c r="E577" s="2">
        <v>4441149315</v>
      </c>
      <c r="F577" s="2">
        <v>89326992</v>
      </c>
      <c r="G577" s="2">
        <v>736</v>
      </c>
      <c r="H577" s="2">
        <v>132</v>
      </c>
      <c r="I577" s="2">
        <v>868</v>
      </c>
      <c r="J577" s="2">
        <v>483</v>
      </c>
      <c r="K577" s="2">
        <v>1351</v>
      </c>
      <c r="L577" s="2">
        <v>192</v>
      </c>
      <c r="M577" s="2">
        <v>229</v>
      </c>
      <c r="N577" s="2">
        <v>143</v>
      </c>
      <c r="O577" s="2">
        <v>171</v>
      </c>
      <c r="P577" s="2">
        <v>1665</v>
      </c>
      <c r="Q577" s="2">
        <v>4995</v>
      </c>
      <c r="R577" s="13" t="s">
        <v>27</v>
      </c>
      <c r="S577" s="13" t="s">
        <v>27</v>
      </c>
    </row>
    <row r="578" spans="1:19" x14ac:dyDescent="0.3">
      <c r="A578" s="14">
        <v>43912.708333333336</v>
      </c>
      <c r="B578" s="13" t="s">
        <v>23</v>
      </c>
      <c r="C578" s="2">
        <v>3</v>
      </c>
      <c r="D578" s="13" t="s">
        <v>52</v>
      </c>
      <c r="E578" s="2">
        <v>4546679409</v>
      </c>
      <c r="F578" s="2">
        <v>9190347404</v>
      </c>
      <c r="G578" s="2">
        <v>9439</v>
      </c>
      <c r="H578" s="2">
        <v>1142</v>
      </c>
      <c r="I578" s="2">
        <v>10581</v>
      </c>
      <c r="J578" s="2">
        <v>7304</v>
      </c>
      <c r="K578" s="2">
        <v>17885</v>
      </c>
      <c r="L578" s="2">
        <v>515</v>
      </c>
      <c r="M578" s="2">
        <v>1691</v>
      </c>
      <c r="N578" s="2">
        <v>5865</v>
      </c>
      <c r="O578" s="2">
        <v>3456</v>
      </c>
      <c r="P578" s="2">
        <v>27206</v>
      </c>
      <c r="Q578" s="2">
        <v>70598</v>
      </c>
      <c r="R578" s="13" t="s">
        <v>27</v>
      </c>
      <c r="S578" s="13" t="s">
        <v>27</v>
      </c>
    </row>
    <row r="579" spans="1:19" hidden="1" x14ac:dyDescent="0.3">
      <c r="A579" s="14">
        <v>43912.708333333336</v>
      </c>
      <c r="B579" s="13" t="s">
        <v>23</v>
      </c>
      <c r="C579" s="2">
        <v>11</v>
      </c>
      <c r="D579" s="13" t="s">
        <v>53</v>
      </c>
      <c r="E579" s="2">
        <v>4361675973</v>
      </c>
      <c r="F579" s="2">
        <v>135188753</v>
      </c>
      <c r="G579" s="2">
        <v>816</v>
      </c>
      <c r="H579" s="2">
        <v>138</v>
      </c>
      <c r="I579" s="2">
        <v>954</v>
      </c>
      <c r="J579" s="2">
        <v>1277</v>
      </c>
      <c r="K579" s="2">
        <v>2231</v>
      </c>
      <c r="L579" s="2">
        <v>234</v>
      </c>
      <c r="M579" s="2">
        <v>268</v>
      </c>
      <c r="N579" s="2">
        <v>6</v>
      </c>
      <c r="O579" s="2">
        <v>184</v>
      </c>
      <c r="P579" s="2">
        <v>2421</v>
      </c>
      <c r="Q579" s="2">
        <v>6391</v>
      </c>
      <c r="R579" s="13" t="s">
        <v>27</v>
      </c>
      <c r="S579" s="13" t="s">
        <v>27</v>
      </c>
    </row>
    <row r="580" spans="1:19" hidden="1" x14ac:dyDescent="0.3">
      <c r="A580" s="14">
        <v>43912.708333333336</v>
      </c>
      <c r="B580" s="13" t="s">
        <v>23</v>
      </c>
      <c r="C580" s="2">
        <v>14</v>
      </c>
      <c r="D580" s="13" t="s">
        <v>54</v>
      </c>
      <c r="E580" s="2">
        <v>4155774754</v>
      </c>
      <c r="F580" s="2">
        <v>1465916051</v>
      </c>
      <c r="G580" s="2">
        <v>24</v>
      </c>
      <c r="H580" s="2">
        <v>7</v>
      </c>
      <c r="I580" s="2">
        <v>31</v>
      </c>
      <c r="J580" s="2">
        <v>21</v>
      </c>
      <c r="K580" s="2">
        <v>52</v>
      </c>
      <c r="L580" s="2">
        <v>5</v>
      </c>
      <c r="M580" s="2">
        <v>5</v>
      </c>
      <c r="N580" s="2">
        <v>7</v>
      </c>
      <c r="O580" s="2">
        <v>7</v>
      </c>
      <c r="P580" s="2">
        <v>66</v>
      </c>
      <c r="Q580" s="2">
        <v>532</v>
      </c>
      <c r="R580" s="13" t="s">
        <v>27</v>
      </c>
      <c r="S580" s="13" t="s">
        <v>27</v>
      </c>
    </row>
    <row r="581" spans="1:19" hidden="1" x14ac:dyDescent="0.3">
      <c r="A581" s="14">
        <v>43912.708333333336</v>
      </c>
      <c r="B581" s="13" t="s">
        <v>23</v>
      </c>
      <c r="C581" s="2">
        <v>1</v>
      </c>
      <c r="D581" s="13" t="s">
        <v>55</v>
      </c>
      <c r="E581" s="2">
        <v>450732745</v>
      </c>
      <c r="F581" s="2">
        <v>7680687483</v>
      </c>
      <c r="G581" s="2">
        <v>2118</v>
      </c>
      <c r="H581" s="2">
        <v>308</v>
      </c>
      <c r="I581" s="2">
        <v>2426</v>
      </c>
      <c r="J581" s="2">
        <v>1701</v>
      </c>
      <c r="K581" s="2">
        <v>4127</v>
      </c>
      <c r="L581" s="2">
        <v>621</v>
      </c>
      <c r="M581" s="2">
        <v>668</v>
      </c>
      <c r="N581" s="2">
        <v>10</v>
      </c>
      <c r="O581" s="2">
        <v>283</v>
      </c>
      <c r="P581" s="2">
        <v>4420</v>
      </c>
      <c r="Q581" s="2">
        <v>12701</v>
      </c>
      <c r="R581" s="13" t="s">
        <v>27</v>
      </c>
      <c r="S581" s="13" t="s">
        <v>27</v>
      </c>
    </row>
    <row r="582" spans="1:19" hidden="1" x14ac:dyDescent="0.3">
      <c r="A582" s="14">
        <v>43912.708333333336</v>
      </c>
      <c r="B582" s="13" t="s">
        <v>23</v>
      </c>
      <c r="C582" s="2">
        <v>16</v>
      </c>
      <c r="D582" s="13" t="s">
        <v>56</v>
      </c>
      <c r="E582" s="2">
        <v>4112559576</v>
      </c>
      <c r="F582" s="2">
        <v>1686736689</v>
      </c>
      <c r="G582" s="2">
        <v>252</v>
      </c>
      <c r="H582" s="2">
        <v>37</v>
      </c>
      <c r="I582" s="2">
        <v>289</v>
      </c>
      <c r="J582" s="2">
        <v>459</v>
      </c>
      <c r="K582" s="2">
        <v>748</v>
      </c>
      <c r="L582" s="2">
        <v>106</v>
      </c>
      <c r="M582" s="2">
        <v>111</v>
      </c>
      <c r="N582" s="2">
        <v>7</v>
      </c>
      <c r="O582" s="2">
        <v>31</v>
      </c>
      <c r="P582" s="2">
        <v>786</v>
      </c>
      <c r="Q582" s="2">
        <v>6160</v>
      </c>
      <c r="R582" s="13" t="s">
        <v>27</v>
      </c>
      <c r="S582" s="13" t="s">
        <v>27</v>
      </c>
    </row>
    <row r="583" spans="1:19" hidden="1" x14ac:dyDescent="0.3">
      <c r="A583" s="14">
        <v>43912.708333333336</v>
      </c>
      <c r="B583" s="13" t="s">
        <v>23</v>
      </c>
      <c r="C583" s="2">
        <v>20</v>
      </c>
      <c r="D583" s="13" t="s">
        <v>57</v>
      </c>
      <c r="E583" s="2">
        <v>3921531192</v>
      </c>
      <c r="F583" s="2">
        <v>9110616306</v>
      </c>
      <c r="G583" s="2">
        <v>67</v>
      </c>
      <c r="H583" s="2">
        <v>16</v>
      </c>
      <c r="I583" s="2">
        <v>83</v>
      </c>
      <c r="J583" s="2">
        <v>244</v>
      </c>
      <c r="K583" s="2">
        <v>327</v>
      </c>
      <c r="L583" s="2">
        <v>6</v>
      </c>
      <c r="M583" s="2">
        <v>9</v>
      </c>
      <c r="N583" s="2">
        <v>5</v>
      </c>
      <c r="O583" s="2">
        <v>7</v>
      </c>
      <c r="P583" s="2">
        <v>339</v>
      </c>
      <c r="Q583" s="2">
        <v>2402</v>
      </c>
      <c r="R583" s="13" t="s">
        <v>27</v>
      </c>
      <c r="S583" s="13" t="s">
        <v>27</v>
      </c>
    </row>
    <row r="584" spans="1:19" hidden="1" x14ac:dyDescent="0.3">
      <c r="A584" s="14">
        <v>43912.708333333336</v>
      </c>
      <c r="B584" s="13" t="s">
        <v>23</v>
      </c>
      <c r="C584" s="2">
        <v>19</v>
      </c>
      <c r="D584" s="13" t="s">
        <v>58</v>
      </c>
      <c r="E584" s="2">
        <v>3811569725</v>
      </c>
      <c r="F584" s="2">
        <v>133623567</v>
      </c>
      <c r="G584" s="2">
        <v>220</v>
      </c>
      <c r="H584" s="2">
        <v>55</v>
      </c>
      <c r="I584" s="2">
        <v>275</v>
      </c>
      <c r="J584" s="2">
        <v>321</v>
      </c>
      <c r="K584" s="2">
        <v>596</v>
      </c>
      <c r="L584" s="2">
        <v>138</v>
      </c>
      <c r="M584" s="2">
        <v>140</v>
      </c>
      <c r="N584" s="2">
        <v>26</v>
      </c>
      <c r="O584" s="2">
        <v>8</v>
      </c>
      <c r="P584" s="2">
        <v>630</v>
      </c>
      <c r="Q584" s="2">
        <v>5580</v>
      </c>
      <c r="R584" s="13" t="s">
        <v>27</v>
      </c>
      <c r="S584" s="13" t="s">
        <v>27</v>
      </c>
    </row>
    <row r="585" spans="1:19" hidden="1" x14ac:dyDescent="0.3">
      <c r="A585" s="14">
        <v>43912.708333333336</v>
      </c>
      <c r="B585" s="13" t="s">
        <v>23</v>
      </c>
      <c r="C585" s="2">
        <v>9</v>
      </c>
      <c r="D585" s="13" t="s">
        <v>59</v>
      </c>
      <c r="E585" s="2">
        <v>4376923077</v>
      </c>
      <c r="F585" s="2">
        <v>1125588885</v>
      </c>
      <c r="G585" s="2">
        <v>706</v>
      </c>
      <c r="H585" s="2">
        <v>215</v>
      </c>
      <c r="I585" s="2">
        <v>921</v>
      </c>
      <c r="J585" s="2">
        <v>1223</v>
      </c>
      <c r="K585" s="2">
        <v>2144</v>
      </c>
      <c r="L585" s="2">
        <v>239</v>
      </c>
      <c r="M585" s="2">
        <v>265</v>
      </c>
      <c r="N585" s="2">
        <v>42</v>
      </c>
      <c r="O585" s="2">
        <v>91</v>
      </c>
      <c r="P585" s="2">
        <v>2277</v>
      </c>
      <c r="Q585" s="2">
        <v>13264</v>
      </c>
      <c r="R585" s="13" t="s">
        <v>27</v>
      </c>
      <c r="S585" s="13" t="s">
        <v>27</v>
      </c>
    </row>
    <row r="586" spans="1:19" hidden="1" x14ac:dyDescent="0.3">
      <c r="A586" s="14">
        <v>43912.708333333336</v>
      </c>
      <c r="B586" s="13" t="s">
        <v>23</v>
      </c>
      <c r="C586" s="2">
        <v>4</v>
      </c>
      <c r="D586" s="13" t="s">
        <v>60</v>
      </c>
      <c r="E586" s="2">
        <v>4606893511</v>
      </c>
      <c r="F586" s="2">
        <v>1112123097</v>
      </c>
      <c r="G586" s="2">
        <v>235</v>
      </c>
      <c r="H586" s="2">
        <v>46</v>
      </c>
      <c r="I586" s="2">
        <v>281</v>
      </c>
      <c r="J586" s="2">
        <v>604</v>
      </c>
      <c r="K586" s="2">
        <v>885</v>
      </c>
      <c r="L586" s="2">
        <v>165</v>
      </c>
      <c r="M586" s="2">
        <v>172</v>
      </c>
      <c r="N586" s="2">
        <v>34</v>
      </c>
      <c r="O586" s="2">
        <v>35</v>
      </c>
      <c r="P586" s="2">
        <v>954</v>
      </c>
      <c r="Q586" s="2">
        <v>3050</v>
      </c>
      <c r="R586" s="13" t="s">
        <v>27</v>
      </c>
      <c r="S586" s="13" t="s">
        <v>27</v>
      </c>
    </row>
    <row r="587" spans="1:19" hidden="1" x14ac:dyDescent="0.3">
      <c r="A587" s="14">
        <v>43912.708333333336</v>
      </c>
      <c r="B587" s="13" t="s">
        <v>23</v>
      </c>
      <c r="C587" s="2">
        <v>10</v>
      </c>
      <c r="D587" s="13" t="s">
        <v>61</v>
      </c>
      <c r="E587" s="2">
        <v>4310675841</v>
      </c>
      <c r="F587" s="2">
        <v>1238824698</v>
      </c>
      <c r="G587" s="2">
        <v>97</v>
      </c>
      <c r="H587" s="2">
        <v>35</v>
      </c>
      <c r="I587" s="2">
        <v>132</v>
      </c>
      <c r="J587" s="2">
        <v>368</v>
      </c>
      <c r="K587" s="2">
        <v>500</v>
      </c>
      <c r="L587" s="2">
        <v>53</v>
      </c>
      <c r="M587" s="2">
        <v>59</v>
      </c>
      <c r="N587" s="2">
        <v>5</v>
      </c>
      <c r="O587" s="2">
        <v>16</v>
      </c>
      <c r="P587" s="2">
        <v>521</v>
      </c>
      <c r="Q587" s="2">
        <v>3135</v>
      </c>
      <c r="R587" s="13" t="s">
        <v>27</v>
      </c>
      <c r="S587" s="13" t="s">
        <v>27</v>
      </c>
    </row>
    <row r="588" spans="1:19" hidden="1" x14ac:dyDescent="0.3">
      <c r="A588" s="14">
        <v>43912.708333333336</v>
      </c>
      <c r="B588" s="13" t="s">
        <v>23</v>
      </c>
      <c r="C588" s="2">
        <v>2</v>
      </c>
      <c r="D588" s="13" t="s">
        <v>62</v>
      </c>
      <c r="E588" s="2">
        <v>4573750286</v>
      </c>
      <c r="F588" s="2">
        <v>7320149366</v>
      </c>
      <c r="G588" s="2">
        <v>63</v>
      </c>
      <c r="H588" s="2">
        <v>21</v>
      </c>
      <c r="I588" s="2">
        <v>84</v>
      </c>
      <c r="J588" s="2">
        <v>270</v>
      </c>
      <c r="K588" s="2">
        <v>354</v>
      </c>
      <c r="L588" s="2">
        <v>50</v>
      </c>
      <c r="M588" s="2">
        <v>51</v>
      </c>
      <c r="N588" s="2">
        <v>1</v>
      </c>
      <c r="O588" s="2">
        <v>9</v>
      </c>
      <c r="P588" s="2">
        <v>364</v>
      </c>
      <c r="Q588" s="2">
        <v>950</v>
      </c>
      <c r="R588" s="13" t="s">
        <v>27</v>
      </c>
      <c r="S588" s="13" t="s">
        <v>27</v>
      </c>
    </row>
    <row r="589" spans="1:19" hidden="1" x14ac:dyDescent="0.3">
      <c r="A589" s="14">
        <v>43912.708333333336</v>
      </c>
      <c r="B589" s="13" t="s">
        <v>23</v>
      </c>
      <c r="C589" s="2">
        <v>5</v>
      </c>
      <c r="D589" s="13" t="s">
        <v>63</v>
      </c>
      <c r="E589" s="2">
        <v>4543490485</v>
      </c>
      <c r="F589" s="2">
        <v>1233845213</v>
      </c>
      <c r="G589" s="2">
        <v>1113</v>
      </c>
      <c r="H589" s="2">
        <v>255</v>
      </c>
      <c r="I589" s="2">
        <v>1368</v>
      </c>
      <c r="J589" s="2">
        <v>3276</v>
      </c>
      <c r="K589" s="2">
        <v>4644</v>
      </c>
      <c r="L589" s="2">
        <v>430</v>
      </c>
      <c r="M589" s="2">
        <v>505</v>
      </c>
      <c r="N589" s="2">
        <v>309</v>
      </c>
      <c r="O589" s="2">
        <v>169</v>
      </c>
      <c r="P589" s="2">
        <v>5122</v>
      </c>
      <c r="Q589" s="2">
        <v>57671</v>
      </c>
      <c r="R589" s="13" t="s">
        <v>27</v>
      </c>
      <c r="S589" s="13" t="s">
        <v>27</v>
      </c>
    </row>
    <row r="590" spans="1:19" hidden="1" x14ac:dyDescent="0.3">
      <c r="A590" s="14">
        <v>43913.708333333336</v>
      </c>
      <c r="B590" s="13" t="s">
        <v>23</v>
      </c>
      <c r="C590" s="2">
        <v>13</v>
      </c>
      <c r="D590" s="13" t="s">
        <v>44</v>
      </c>
      <c r="E590" s="2">
        <v>4235122196</v>
      </c>
      <c r="F590" s="2">
        <v>1339843823</v>
      </c>
      <c r="G590" s="2">
        <v>228</v>
      </c>
      <c r="H590" s="2">
        <v>52</v>
      </c>
      <c r="I590" s="2">
        <v>280</v>
      </c>
      <c r="J590" s="2">
        <v>325</v>
      </c>
      <c r="K590" s="2">
        <v>605</v>
      </c>
      <c r="L590" s="2">
        <v>66</v>
      </c>
      <c r="M590" s="2">
        <v>76</v>
      </c>
      <c r="N590" s="2">
        <v>20</v>
      </c>
      <c r="O590" s="2">
        <v>38</v>
      </c>
      <c r="P590" s="2">
        <v>663</v>
      </c>
      <c r="Q590" s="2">
        <v>3674</v>
      </c>
      <c r="R590" s="13" t="s">
        <v>27</v>
      </c>
      <c r="S590" s="13" t="s">
        <v>27</v>
      </c>
    </row>
    <row r="591" spans="1:19" hidden="1" x14ac:dyDescent="0.3">
      <c r="A591" s="14">
        <v>43913.708333333336</v>
      </c>
      <c r="B591" s="13" t="s">
        <v>23</v>
      </c>
      <c r="C591" s="2">
        <v>17</v>
      </c>
      <c r="D591" s="13" t="s">
        <v>45</v>
      </c>
      <c r="E591" s="2">
        <v>4063947052</v>
      </c>
      <c r="F591" s="2">
        <v>1580514834</v>
      </c>
      <c r="G591" s="2">
        <v>15</v>
      </c>
      <c r="H591" s="2">
        <v>12</v>
      </c>
      <c r="I591" s="2">
        <v>27</v>
      </c>
      <c r="J591" s="2">
        <v>62</v>
      </c>
      <c r="K591" s="2">
        <v>89</v>
      </c>
      <c r="L591" s="2">
        <v>8</v>
      </c>
      <c r="M591" s="2">
        <v>9</v>
      </c>
      <c r="N591" s="2">
        <v>0</v>
      </c>
      <c r="O591" s="2">
        <v>1</v>
      </c>
      <c r="P591" s="2">
        <v>90</v>
      </c>
      <c r="Q591" s="2">
        <v>696</v>
      </c>
      <c r="R591" s="13" t="s">
        <v>27</v>
      </c>
      <c r="S591" s="13" t="s">
        <v>27</v>
      </c>
    </row>
    <row r="592" spans="1:19" hidden="1" x14ac:dyDescent="0.3">
      <c r="A592" s="14">
        <v>43913.708333333336</v>
      </c>
      <c r="B592" s="13" t="s">
        <v>23</v>
      </c>
      <c r="C592" s="2">
        <v>4</v>
      </c>
      <c r="D592" s="13" t="s">
        <v>46</v>
      </c>
      <c r="E592" s="2">
        <v>4649933453</v>
      </c>
      <c r="F592" s="2">
        <v>1135662422</v>
      </c>
      <c r="G592" s="2">
        <v>145</v>
      </c>
      <c r="H592" s="2">
        <v>33</v>
      </c>
      <c r="I592" s="2">
        <v>178</v>
      </c>
      <c r="J592" s="2">
        <v>510</v>
      </c>
      <c r="K592" s="2">
        <v>688</v>
      </c>
      <c r="L592" s="2">
        <v>40</v>
      </c>
      <c r="M592" s="2">
        <v>46</v>
      </c>
      <c r="N592" s="2">
        <v>7</v>
      </c>
      <c r="O592" s="2">
        <v>29</v>
      </c>
      <c r="P592" s="2">
        <v>724</v>
      </c>
      <c r="Q592" s="2">
        <v>6084</v>
      </c>
      <c r="R592" s="13" t="s">
        <v>27</v>
      </c>
      <c r="S592" s="13" t="s">
        <v>27</v>
      </c>
    </row>
    <row r="593" spans="1:19" hidden="1" x14ac:dyDescent="0.3">
      <c r="A593" s="14">
        <v>43913.708333333336</v>
      </c>
      <c r="B593" s="13" t="s">
        <v>23</v>
      </c>
      <c r="C593" s="2">
        <v>18</v>
      </c>
      <c r="D593" s="13" t="s">
        <v>47</v>
      </c>
      <c r="E593" s="2">
        <v>3890597598</v>
      </c>
      <c r="F593" s="2">
        <v>1659440194</v>
      </c>
      <c r="G593" s="2">
        <v>82</v>
      </c>
      <c r="H593" s="2">
        <v>20</v>
      </c>
      <c r="I593" s="2">
        <v>102</v>
      </c>
      <c r="J593" s="2">
        <v>178</v>
      </c>
      <c r="K593" s="2">
        <v>280</v>
      </c>
      <c r="L593" s="2">
        <v>20</v>
      </c>
      <c r="M593" s="2">
        <v>19</v>
      </c>
      <c r="N593" s="2">
        <v>5</v>
      </c>
      <c r="O593" s="2">
        <v>7</v>
      </c>
      <c r="P593" s="2">
        <v>292</v>
      </c>
      <c r="Q593" s="2">
        <v>4073</v>
      </c>
      <c r="R593" s="13" t="s">
        <v>27</v>
      </c>
      <c r="S593" s="13" t="s">
        <v>27</v>
      </c>
    </row>
    <row r="594" spans="1:19" hidden="1" x14ac:dyDescent="0.3">
      <c r="A594" s="14">
        <v>43913.708333333336</v>
      </c>
      <c r="B594" s="13" t="s">
        <v>23</v>
      </c>
      <c r="C594" s="2">
        <v>15</v>
      </c>
      <c r="D594" s="13" t="s">
        <v>48</v>
      </c>
      <c r="E594" s="2">
        <v>4083956555</v>
      </c>
      <c r="F594" s="2">
        <v>1425084984</v>
      </c>
      <c r="G594" s="2">
        <v>266</v>
      </c>
      <c r="H594" s="2">
        <v>110</v>
      </c>
      <c r="I594" s="2">
        <v>376</v>
      </c>
      <c r="J594" s="2">
        <v>553</v>
      </c>
      <c r="K594" s="2">
        <v>929</v>
      </c>
      <c r="L594" s="2">
        <v>63</v>
      </c>
      <c r="M594" s="2">
        <v>90</v>
      </c>
      <c r="N594" s="2">
        <v>48</v>
      </c>
      <c r="O594" s="2">
        <v>49</v>
      </c>
      <c r="P594" s="2">
        <v>1026</v>
      </c>
      <c r="Q594" s="2">
        <v>5813</v>
      </c>
      <c r="R594" s="13" t="s">
        <v>27</v>
      </c>
      <c r="S594" s="13" t="s">
        <v>27</v>
      </c>
    </row>
    <row r="595" spans="1:19" hidden="1" x14ac:dyDescent="0.3">
      <c r="A595" s="14">
        <v>43913.708333333336</v>
      </c>
      <c r="B595" s="13" t="s">
        <v>23</v>
      </c>
      <c r="C595" s="2">
        <v>8</v>
      </c>
      <c r="D595" s="13" t="s">
        <v>98</v>
      </c>
      <c r="E595" s="2">
        <v>4449436681</v>
      </c>
      <c r="F595" s="2">
        <v>113417208</v>
      </c>
      <c r="G595" s="2">
        <v>2846</v>
      </c>
      <c r="H595" s="2">
        <v>276</v>
      </c>
      <c r="I595" s="2">
        <v>3122</v>
      </c>
      <c r="J595" s="2">
        <v>4098</v>
      </c>
      <c r="K595" s="2">
        <v>7220</v>
      </c>
      <c r="L595" s="2">
        <v>830</v>
      </c>
      <c r="M595" s="2">
        <v>980</v>
      </c>
      <c r="N595" s="2">
        <v>423</v>
      </c>
      <c r="O595" s="2">
        <v>892</v>
      </c>
      <c r="P595" s="2">
        <v>8535</v>
      </c>
      <c r="Q595" s="2">
        <v>31200</v>
      </c>
      <c r="R595" s="13" t="s">
        <v>27</v>
      </c>
      <c r="S595" s="13" t="s">
        <v>27</v>
      </c>
    </row>
    <row r="596" spans="1:19" hidden="1" x14ac:dyDescent="0.3">
      <c r="A596" s="14">
        <v>43913.708333333336</v>
      </c>
      <c r="B596" s="13" t="s">
        <v>23</v>
      </c>
      <c r="C596" s="2">
        <v>6</v>
      </c>
      <c r="D596" s="13" t="s">
        <v>49</v>
      </c>
      <c r="E596" s="2">
        <v>456494354</v>
      </c>
      <c r="F596" s="2">
        <v>1376813649</v>
      </c>
      <c r="G596" s="2">
        <v>185</v>
      </c>
      <c r="H596" s="2">
        <v>41</v>
      </c>
      <c r="I596" s="2">
        <v>226</v>
      </c>
      <c r="J596" s="2">
        <v>545</v>
      </c>
      <c r="K596" s="2">
        <v>771</v>
      </c>
      <c r="L596" s="2">
        <v>33</v>
      </c>
      <c r="M596" s="2">
        <v>56</v>
      </c>
      <c r="N596" s="2">
        <v>105</v>
      </c>
      <c r="O596" s="2">
        <v>54</v>
      </c>
      <c r="P596" s="2">
        <v>930</v>
      </c>
      <c r="Q596" s="2">
        <v>7424</v>
      </c>
      <c r="R596" s="13" t="s">
        <v>27</v>
      </c>
      <c r="S596" s="13" t="s">
        <v>27</v>
      </c>
    </row>
    <row r="597" spans="1:19" hidden="1" x14ac:dyDescent="0.3">
      <c r="A597" s="14">
        <v>43913.708333333336</v>
      </c>
      <c r="B597" s="13" t="s">
        <v>23</v>
      </c>
      <c r="C597" s="2">
        <v>12</v>
      </c>
      <c r="D597" s="13" t="s">
        <v>50</v>
      </c>
      <c r="E597" s="2">
        <v>4189277044</v>
      </c>
      <c r="F597" s="2">
        <v>1248366722</v>
      </c>
      <c r="G597" s="2">
        <v>718</v>
      </c>
      <c r="H597" s="2">
        <v>96</v>
      </c>
      <c r="I597" s="2">
        <v>814</v>
      </c>
      <c r="J597" s="2">
        <v>600</v>
      </c>
      <c r="K597" s="2">
        <v>1414</v>
      </c>
      <c r="L597" s="2">
        <v>142</v>
      </c>
      <c r="M597" s="2">
        <v>157</v>
      </c>
      <c r="N597" s="2">
        <v>63</v>
      </c>
      <c r="O597" s="2">
        <v>63</v>
      </c>
      <c r="P597" s="2">
        <v>1540</v>
      </c>
      <c r="Q597" s="2">
        <v>18371</v>
      </c>
      <c r="R597" s="13" t="s">
        <v>27</v>
      </c>
      <c r="S597" s="13" t="s">
        <v>27</v>
      </c>
    </row>
    <row r="598" spans="1:19" hidden="1" x14ac:dyDescent="0.3">
      <c r="A598" s="14">
        <v>43913.708333333336</v>
      </c>
      <c r="B598" s="13" t="s">
        <v>23</v>
      </c>
      <c r="C598" s="2">
        <v>7</v>
      </c>
      <c r="D598" s="13" t="s">
        <v>51</v>
      </c>
      <c r="E598" s="2">
        <v>4441149315</v>
      </c>
      <c r="F598" s="2">
        <v>89326992</v>
      </c>
      <c r="G598" s="2">
        <v>761</v>
      </c>
      <c r="H598" s="2">
        <v>133</v>
      </c>
      <c r="I598" s="2">
        <v>894</v>
      </c>
      <c r="J598" s="2">
        <v>659</v>
      </c>
      <c r="K598" s="2">
        <v>1553</v>
      </c>
      <c r="L598" s="2">
        <v>202</v>
      </c>
      <c r="M598" s="2">
        <v>259</v>
      </c>
      <c r="N598" s="2">
        <v>159</v>
      </c>
      <c r="O598" s="2">
        <v>212</v>
      </c>
      <c r="P598" s="2">
        <v>1924</v>
      </c>
      <c r="Q598" s="2">
        <v>5538</v>
      </c>
      <c r="R598" s="13" t="s">
        <v>27</v>
      </c>
      <c r="S598" s="13" t="s">
        <v>27</v>
      </c>
    </row>
    <row r="599" spans="1:19" x14ac:dyDescent="0.3">
      <c r="A599" s="14">
        <v>43913.708333333336</v>
      </c>
      <c r="B599" s="13" t="s">
        <v>23</v>
      </c>
      <c r="C599" s="2">
        <v>3</v>
      </c>
      <c r="D599" s="13" t="s">
        <v>52</v>
      </c>
      <c r="E599" s="2">
        <v>4546679409</v>
      </c>
      <c r="F599" s="2">
        <v>9190347404</v>
      </c>
      <c r="G599" s="2">
        <v>9266</v>
      </c>
      <c r="H599" s="2">
        <v>1183</v>
      </c>
      <c r="I599" s="2">
        <v>10449</v>
      </c>
      <c r="J599" s="2">
        <v>8461</v>
      </c>
      <c r="K599" s="2">
        <v>18910</v>
      </c>
      <c r="L599" s="2">
        <v>1025</v>
      </c>
      <c r="M599" s="2">
        <v>1555</v>
      </c>
      <c r="N599" s="2">
        <v>6075</v>
      </c>
      <c r="O599" s="2">
        <v>3776</v>
      </c>
      <c r="P599" s="2">
        <v>28761</v>
      </c>
      <c r="Q599" s="2">
        <v>73242</v>
      </c>
      <c r="R599" s="13" t="s">
        <v>27</v>
      </c>
      <c r="S599" s="13" t="s">
        <v>27</v>
      </c>
    </row>
    <row r="600" spans="1:19" hidden="1" x14ac:dyDescent="0.3">
      <c r="A600" s="14">
        <v>43913.708333333336</v>
      </c>
      <c r="B600" s="13" t="s">
        <v>23</v>
      </c>
      <c r="C600" s="2">
        <v>11</v>
      </c>
      <c r="D600" s="13" t="s">
        <v>53</v>
      </c>
      <c r="E600" s="2">
        <v>4361675973</v>
      </c>
      <c r="F600" s="2">
        <v>135188753</v>
      </c>
      <c r="G600" s="2">
        <v>882</v>
      </c>
      <c r="H600" s="2">
        <v>148</v>
      </c>
      <c r="I600" s="2">
        <v>1030</v>
      </c>
      <c r="J600" s="2">
        <v>1328</v>
      </c>
      <c r="K600" s="2">
        <v>2358</v>
      </c>
      <c r="L600" s="2">
        <v>127</v>
      </c>
      <c r="M600" s="2">
        <v>148</v>
      </c>
      <c r="N600" s="2">
        <v>8</v>
      </c>
      <c r="O600" s="2">
        <v>203</v>
      </c>
      <c r="P600" s="2">
        <v>2569</v>
      </c>
      <c r="Q600" s="2">
        <v>6782</v>
      </c>
      <c r="R600" s="13" t="s">
        <v>27</v>
      </c>
      <c r="S600" s="13" t="s">
        <v>27</v>
      </c>
    </row>
    <row r="601" spans="1:19" hidden="1" x14ac:dyDescent="0.3">
      <c r="A601" s="14">
        <v>43913.708333333336</v>
      </c>
      <c r="B601" s="13" t="s">
        <v>23</v>
      </c>
      <c r="C601" s="2">
        <v>14</v>
      </c>
      <c r="D601" s="13" t="s">
        <v>54</v>
      </c>
      <c r="E601" s="2">
        <v>4155774754</v>
      </c>
      <c r="F601" s="2">
        <v>1465916051</v>
      </c>
      <c r="G601" s="2">
        <v>25</v>
      </c>
      <c r="H601" s="2">
        <v>7</v>
      </c>
      <c r="I601" s="2">
        <v>32</v>
      </c>
      <c r="J601" s="2">
        <v>18</v>
      </c>
      <c r="K601" s="2">
        <v>50</v>
      </c>
      <c r="L601" s="2">
        <v>-2</v>
      </c>
      <c r="M601" s="2">
        <v>1</v>
      </c>
      <c r="N601" s="2">
        <v>10</v>
      </c>
      <c r="O601" s="2">
        <v>7</v>
      </c>
      <c r="P601" s="2">
        <v>67</v>
      </c>
      <c r="Q601" s="2">
        <v>532</v>
      </c>
      <c r="R601" s="13" t="s">
        <v>27</v>
      </c>
      <c r="S601" s="13" t="s">
        <v>27</v>
      </c>
    </row>
    <row r="602" spans="1:19" hidden="1" x14ac:dyDescent="0.3">
      <c r="A602" s="14">
        <v>43913.708333333336</v>
      </c>
      <c r="B602" s="13" t="s">
        <v>23</v>
      </c>
      <c r="C602" s="2">
        <v>1</v>
      </c>
      <c r="D602" s="13" t="s">
        <v>55</v>
      </c>
      <c r="E602" s="2">
        <v>450732745</v>
      </c>
      <c r="F602" s="2">
        <v>7680687483</v>
      </c>
      <c r="G602" s="2">
        <v>2194</v>
      </c>
      <c r="H602" s="2">
        <v>343</v>
      </c>
      <c r="I602" s="2">
        <v>2537</v>
      </c>
      <c r="J602" s="2">
        <v>1992</v>
      </c>
      <c r="K602" s="2">
        <v>4529</v>
      </c>
      <c r="L602" s="2">
        <v>402</v>
      </c>
      <c r="M602" s="2">
        <v>441</v>
      </c>
      <c r="N602" s="2">
        <v>17</v>
      </c>
      <c r="O602" s="2">
        <v>315</v>
      </c>
      <c r="P602" s="2">
        <v>4861</v>
      </c>
      <c r="Q602" s="2">
        <v>13560</v>
      </c>
      <c r="R602" s="13" t="s">
        <v>27</v>
      </c>
      <c r="S602" s="13" t="s">
        <v>27</v>
      </c>
    </row>
    <row r="603" spans="1:19" hidden="1" x14ac:dyDescent="0.3">
      <c r="A603" s="14">
        <v>43913.708333333336</v>
      </c>
      <c r="B603" s="13" t="s">
        <v>23</v>
      </c>
      <c r="C603" s="2">
        <v>16</v>
      </c>
      <c r="D603" s="13" t="s">
        <v>56</v>
      </c>
      <c r="E603" s="2">
        <v>4112559576</v>
      </c>
      <c r="F603" s="2">
        <v>1686736689</v>
      </c>
      <c r="G603" s="2">
        <v>285</v>
      </c>
      <c r="H603" s="2">
        <v>45</v>
      </c>
      <c r="I603" s="2">
        <v>330</v>
      </c>
      <c r="J603" s="2">
        <v>532</v>
      </c>
      <c r="K603" s="2">
        <v>862</v>
      </c>
      <c r="L603" s="2">
        <v>114</v>
      </c>
      <c r="M603" s="2">
        <v>120</v>
      </c>
      <c r="N603" s="2">
        <v>7</v>
      </c>
      <c r="O603" s="2">
        <v>37</v>
      </c>
      <c r="P603" s="2">
        <v>906</v>
      </c>
      <c r="Q603" s="2">
        <v>6761</v>
      </c>
      <c r="R603" s="13" t="s">
        <v>27</v>
      </c>
      <c r="S603" s="13" t="s">
        <v>27</v>
      </c>
    </row>
    <row r="604" spans="1:19" hidden="1" x14ac:dyDescent="0.3">
      <c r="A604" s="14">
        <v>43913.708333333336</v>
      </c>
      <c r="B604" s="13" t="s">
        <v>23</v>
      </c>
      <c r="C604" s="2">
        <v>20</v>
      </c>
      <c r="D604" s="13" t="s">
        <v>57</v>
      </c>
      <c r="E604" s="2">
        <v>3921531192</v>
      </c>
      <c r="F604" s="2">
        <v>9110616306</v>
      </c>
      <c r="G604" s="2">
        <v>76</v>
      </c>
      <c r="H604" s="2">
        <v>18</v>
      </c>
      <c r="I604" s="2">
        <v>94</v>
      </c>
      <c r="J604" s="2">
        <v>249</v>
      </c>
      <c r="K604" s="2">
        <v>343</v>
      </c>
      <c r="L604" s="2">
        <v>16</v>
      </c>
      <c r="M604" s="2">
        <v>20</v>
      </c>
      <c r="N604" s="2">
        <v>5</v>
      </c>
      <c r="O604" s="2">
        <v>11</v>
      </c>
      <c r="P604" s="2">
        <v>359</v>
      </c>
      <c r="Q604" s="2">
        <v>2568</v>
      </c>
      <c r="R604" s="13" t="s">
        <v>27</v>
      </c>
      <c r="S604" s="13" t="s">
        <v>27</v>
      </c>
    </row>
    <row r="605" spans="1:19" hidden="1" x14ac:dyDescent="0.3">
      <c r="A605" s="14">
        <v>43913.708333333336</v>
      </c>
      <c r="B605" s="13" t="s">
        <v>23</v>
      </c>
      <c r="C605" s="2">
        <v>19</v>
      </c>
      <c r="D605" s="13" t="s">
        <v>58</v>
      </c>
      <c r="E605" s="2">
        <v>3811569725</v>
      </c>
      <c r="F605" s="2">
        <v>133623567</v>
      </c>
      <c r="G605" s="2">
        <v>250</v>
      </c>
      <c r="H605" s="2">
        <v>60</v>
      </c>
      <c r="I605" s="2">
        <v>310</v>
      </c>
      <c r="J605" s="2">
        <v>371</v>
      </c>
      <c r="K605" s="2">
        <v>681</v>
      </c>
      <c r="L605" s="2">
        <v>85</v>
      </c>
      <c r="M605" s="2">
        <v>91</v>
      </c>
      <c r="N605" s="2">
        <v>27</v>
      </c>
      <c r="O605" s="2">
        <v>13</v>
      </c>
      <c r="P605" s="2">
        <v>721</v>
      </c>
      <c r="Q605" s="2">
        <v>6375</v>
      </c>
      <c r="R605" s="13" t="s">
        <v>27</v>
      </c>
      <c r="S605" s="13" t="s">
        <v>27</v>
      </c>
    </row>
    <row r="606" spans="1:19" hidden="1" x14ac:dyDescent="0.3">
      <c r="A606" s="14">
        <v>43913.708333333336</v>
      </c>
      <c r="B606" s="13" t="s">
        <v>23</v>
      </c>
      <c r="C606" s="2">
        <v>9</v>
      </c>
      <c r="D606" s="13" t="s">
        <v>59</v>
      </c>
      <c r="E606" s="2">
        <v>4376923077</v>
      </c>
      <c r="F606" s="2">
        <v>1125588885</v>
      </c>
      <c r="G606" s="2">
        <v>838</v>
      </c>
      <c r="H606" s="2">
        <v>238</v>
      </c>
      <c r="I606" s="2">
        <v>1076</v>
      </c>
      <c r="J606" s="2">
        <v>1225</v>
      </c>
      <c r="K606" s="2">
        <v>2301</v>
      </c>
      <c r="L606" s="2">
        <v>157</v>
      </c>
      <c r="M606" s="2">
        <v>184</v>
      </c>
      <c r="N606" s="2">
        <v>51</v>
      </c>
      <c r="O606" s="2">
        <v>109</v>
      </c>
      <c r="P606" s="2">
        <v>2461</v>
      </c>
      <c r="Q606" s="2">
        <v>13851</v>
      </c>
      <c r="R606" s="13" t="s">
        <v>27</v>
      </c>
      <c r="S606" s="13" t="s">
        <v>27</v>
      </c>
    </row>
    <row r="607" spans="1:19" hidden="1" x14ac:dyDescent="0.3">
      <c r="A607" s="14">
        <v>43913.708333333336</v>
      </c>
      <c r="B607" s="13" t="s">
        <v>23</v>
      </c>
      <c r="C607" s="2">
        <v>4</v>
      </c>
      <c r="D607" s="13" t="s">
        <v>60</v>
      </c>
      <c r="E607" s="2">
        <v>4606893511</v>
      </c>
      <c r="F607" s="2">
        <v>1112123097</v>
      </c>
      <c r="G607" s="2">
        <v>249</v>
      </c>
      <c r="H607" s="2">
        <v>46</v>
      </c>
      <c r="I607" s="2">
        <v>295</v>
      </c>
      <c r="J607" s="2">
        <v>619</v>
      </c>
      <c r="K607" s="2">
        <v>914</v>
      </c>
      <c r="L607" s="2">
        <v>29</v>
      </c>
      <c r="M607" s="2">
        <v>69</v>
      </c>
      <c r="N607" s="2">
        <v>68</v>
      </c>
      <c r="O607" s="2">
        <v>41</v>
      </c>
      <c r="P607" s="2">
        <v>1023</v>
      </c>
      <c r="Q607" s="2">
        <v>3150</v>
      </c>
      <c r="R607" s="13" t="s">
        <v>27</v>
      </c>
      <c r="S607" s="13" t="s">
        <v>27</v>
      </c>
    </row>
    <row r="608" spans="1:19" hidden="1" x14ac:dyDescent="0.3">
      <c r="A608" s="14">
        <v>43913.708333333336</v>
      </c>
      <c r="B608" s="13" t="s">
        <v>23</v>
      </c>
      <c r="C608" s="2">
        <v>10</v>
      </c>
      <c r="D608" s="13" t="s">
        <v>61</v>
      </c>
      <c r="E608" s="2">
        <v>4310675841</v>
      </c>
      <c r="F608" s="2">
        <v>1238824698</v>
      </c>
      <c r="G608" s="2">
        <v>106</v>
      </c>
      <c r="H608" s="2">
        <v>42</v>
      </c>
      <c r="I608" s="2">
        <v>148</v>
      </c>
      <c r="J608" s="2">
        <v>408</v>
      </c>
      <c r="K608" s="2">
        <v>556</v>
      </c>
      <c r="L608" s="2">
        <v>56</v>
      </c>
      <c r="M608" s="2">
        <v>56</v>
      </c>
      <c r="N608" s="2">
        <v>5</v>
      </c>
      <c r="O608" s="2">
        <v>16</v>
      </c>
      <c r="P608" s="2">
        <v>577</v>
      </c>
      <c r="Q608" s="2">
        <v>3561</v>
      </c>
      <c r="R608" s="13" t="s">
        <v>27</v>
      </c>
      <c r="S608" s="13" t="s">
        <v>27</v>
      </c>
    </row>
    <row r="609" spans="1:19" hidden="1" x14ac:dyDescent="0.3">
      <c r="A609" s="14">
        <v>43913.708333333336</v>
      </c>
      <c r="B609" s="13" t="s">
        <v>23</v>
      </c>
      <c r="C609" s="2">
        <v>2</v>
      </c>
      <c r="D609" s="13" t="s">
        <v>62</v>
      </c>
      <c r="E609" s="2">
        <v>4573750286</v>
      </c>
      <c r="F609" s="2">
        <v>7320149366</v>
      </c>
      <c r="G609" s="2">
        <v>69</v>
      </c>
      <c r="H609" s="2">
        <v>20</v>
      </c>
      <c r="I609" s="2">
        <v>89</v>
      </c>
      <c r="J609" s="2">
        <v>290</v>
      </c>
      <c r="K609" s="2">
        <v>379</v>
      </c>
      <c r="L609" s="2">
        <v>25</v>
      </c>
      <c r="M609" s="2">
        <v>29</v>
      </c>
      <c r="N609" s="2">
        <v>2</v>
      </c>
      <c r="O609" s="2">
        <v>12</v>
      </c>
      <c r="P609" s="2">
        <v>393</v>
      </c>
      <c r="Q609" s="2">
        <v>1098</v>
      </c>
      <c r="R609" s="13" t="s">
        <v>27</v>
      </c>
      <c r="S609" s="13" t="s">
        <v>27</v>
      </c>
    </row>
    <row r="610" spans="1:19" hidden="1" x14ac:dyDescent="0.3">
      <c r="A610" s="14">
        <v>43913.708333333336</v>
      </c>
      <c r="B610" s="13" t="s">
        <v>23</v>
      </c>
      <c r="C610" s="2">
        <v>5</v>
      </c>
      <c r="D610" s="13" t="s">
        <v>63</v>
      </c>
      <c r="E610" s="2">
        <v>4543490485</v>
      </c>
      <c r="F610" s="2">
        <v>1233845213</v>
      </c>
      <c r="G610" s="2">
        <v>1206</v>
      </c>
      <c r="H610" s="2">
        <v>281</v>
      </c>
      <c r="I610" s="2">
        <v>1487</v>
      </c>
      <c r="J610" s="2">
        <v>3499</v>
      </c>
      <c r="K610" s="2">
        <v>4986</v>
      </c>
      <c r="L610" s="2">
        <v>342</v>
      </c>
      <c r="M610" s="2">
        <v>383</v>
      </c>
      <c r="N610" s="2">
        <v>327</v>
      </c>
      <c r="O610" s="2">
        <v>192</v>
      </c>
      <c r="P610" s="2">
        <v>5505</v>
      </c>
      <c r="Q610" s="2">
        <v>61115</v>
      </c>
      <c r="R610" s="13" t="s">
        <v>27</v>
      </c>
      <c r="S610" s="13" t="s">
        <v>27</v>
      </c>
    </row>
    <row r="611" spans="1:19" hidden="1" x14ac:dyDescent="0.3">
      <c r="A611" s="14">
        <v>43914.708333333336</v>
      </c>
      <c r="B611" s="13" t="s">
        <v>23</v>
      </c>
      <c r="C611" s="2">
        <v>13</v>
      </c>
      <c r="D611" s="13" t="s">
        <v>44</v>
      </c>
      <c r="E611" s="2">
        <v>4235122196</v>
      </c>
      <c r="F611" s="2">
        <v>1339843823</v>
      </c>
      <c r="G611" s="2">
        <v>234</v>
      </c>
      <c r="H611" s="2">
        <v>57</v>
      </c>
      <c r="I611" s="2">
        <v>291</v>
      </c>
      <c r="J611" s="2">
        <v>331</v>
      </c>
      <c r="K611" s="2">
        <v>622</v>
      </c>
      <c r="L611" s="2">
        <v>17</v>
      </c>
      <c r="M611" s="2">
        <v>26</v>
      </c>
      <c r="N611" s="2">
        <v>21</v>
      </c>
      <c r="O611" s="2">
        <v>46</v>
      </c>
      <c r="P611" s="2">
        <v>689</v>
      </c>
      <c r="Q611" s="2">
        <v>4294</v>
      </c>
      <c r="R611" s="13" t="s">
        <v>27</v>
      </c>
      <c r="S611" s="13" t="s">
        <v>27</v>
      </c>
    </row>
    <row r="612" spans="1:19" hidden="1" x14ac:dyDescent="0.3">
      <c r="A612" s="14">
        <v>43914.708333333336</v>
      </c>
      <c r="B612" s="13" t="s">
        <v>23</v>
      </c>
      <c r="C612" s="2">
        <v>17</v>
      </c>
      <c r="D612" s="13" t="s">
        <v>45</v>
      </c>
      <c r="E612" s="2">
        <v>4063947052</v>
      </c>
      <c r="F612" s="2">
        <v>1580514834</v>
      </c>
      <c r="G612" s="2">
        <v>14</v>
      </c>
      <c r="H612" s="2">
        <v>12</v>
      </c>
      <c r="I612" s="2">
        <v>26</v>
      </c>
      <c r="J612" s="2">
        <v>65</v>
      </c>
      <c r="K612" s="2">
        <v>91</v>
      </c>
      <c r="L612" s="2">
        <v>2</v>
      </c>
      <c r="M612" s="2">
        <v>2</v>
      </c>
      <c r="N612" s="2">
        <v>0</v>
      </c>
      <c r="O612" s="2">
        <v>1</v>
      </c>
      <c r="P612" s="2">
        <v>92</v>
      </c>
      <c r="Q612" s="2">
        <v>744</v>
      </c>
      <c r="R612" s="13" t="s">
        <v>27</v>
      </c>
      <c r="S612" s="13" t="s">
        <v>27</v>
      </c>
    </row>
    <row r="613" spans="1:19" hidden="1" x14ac:dyDescent="0.3">
      <c r="A613" s="14">
        <v>43914.708333333336</v>
      </c>
      <c r="B613" s="13" t="s">
        <v>23</v>
      </c>
      <c r="C613" s="2">
        <v>4</v>
      </c>
      <c r="D613" s="13" t="s">
        <v>46</v>
      </c>
      <c r="E613" s="2">
        <v>4649933453</v>
      </c>
      <c r="F613" s="2">
        <v>1135662422</v>
      </c>
      <c r="G613" s="2">
        <v>166</v>
      </c>
      <c r="H613" s="2">
        <v>38</v>
      </c>
      <c r="I613" s="2">
        <v>204</v>
      </c>
      <c r="J613" s="2">
        <v>495</v>
      </c>
      <c r="K613" s="2">
        <v>699</v>
      </c>
      <c r="L613" s="2">
        <v>11</v>
      </c>
      <c r="M613" s="2">
        <v>57</v>
      </c>
      <c r="N613" s="2">
        <v>44</v>
      </c>
      <c r="O613" s="2">
        <v>38</v>
      </c>
      <c r="P613" s="2">
        <v>781</v>
      </c>
      <c r="Q613" s="2">
        <v>6509</v>
      </c>
      <c r="R613" s="13" t="s">
        <v>27</v>
      </c>
      <c r="S613" s="13" t="s">
        <v>27</v>
      </c>
    </row>
    <row r="614" spans="1:19" hidden="1" x14ac:dyDescent="0.3">
      <c r="A614" s="14">
        <v>43914.708333333336</v>
      </c>
      <c r="B614" s="13" t="s">
        <v>23</v>
      </c>
      <c r="C614" s="2">
        <v>18</v>
      </c>
      <c r="D614" s="13" t="s">
        <v>47</v>
      </c>
      <c r="E614" s="2">
        <v>3890597598</v>
      </c>
      <c r="F614" s="2">
        <v>1659440194</v>
      </c>
      <c r="G614" s="2">
        <v>88</v>
      </c>
      <c r="H614" s="2">
        <v>21</v>
      </c>
      <c r="I614" s="2">
        <v>109</v>
      </c>
      <c r="J614" s="2">
        <v>195</v>
      </c>
      <c r="K614" s="2">
        <v>304</v>
      </c>
      <c r="L614" s="2">
        <v>24</v>
      </c>
      <c r="M614" s="2">
        <v>27</v>
      </c>
      <c r="N614" s="2">
        <v>5</v>
      </c>
      <c r="O614" s="2">
        <v>10</v>
      </c>
      <c r="P614" s="2">
        <v>319</v>
      </c>
      <c r="Q614" s="2">
        <v>4486</v>
      </c>
      <c r="R614" s="13" t="s">
        <v>27</v>
      </c>
      <c r="S614" s="13" t="s">
        <v>27</v>
      </c>
    </row>
    <row r="615" spans="1:19" hidden="1" x14ac:dyDescent="0.3">
      <c r="A615" s="14">
        <v>43914.708333333336</v>
      </c>
      <c r="B615" s="13" t="s">
        <v>23</v>
      </c>
      <c r="C615" s="2">
        <v>15</v>
      </c>
      <c r="D615" s="13" t="s">
        <v>48</v>
      </c>
      <c r="E615" s="2">
        <v>4083956555</v>
      </c>
      <c r="F615" s="2">
        <v>1425084984</v>
      </c>
      <c r="G615" s="2">
        <v>345</v>
      </c>
      <c r="H615" s="2">
        <v>181</v>
      </c>
      <c r="I615" s="2">
        <v>526</v>
      </c>
      <c r="J615" s="2">
        <v>466</v>
      </c>
      <c r="K615" s="2">
        <v>992</v>
      </c>
      <c r="L615" s="2">
        <v>63</v>
      </c>
      <c r="M615" s="2">
        <v>75</v>
      </c>
      <c r="N615" s="2">
        <v>53</v>
      </c>
      <c r="O615" s="2">
        <v>56</v>
      </c>
      <c r="P615" s="2">
        <v>1101</v>
      </c>
      <c r="Q615" s="2">
        <v>6297</v>
      </c>
      <c r="R615" s="13" t="s">
        <v>27</v>
      </c>
      <c r="S615" s="13" t="s">
        <v>27</v>
      </c>
    </row>
    <row r="616" spans="1:19" hidden="1" x14ac:dyDescent="0.3">
      <c r="A616" s="14">
        <v>43914.708333333336</v>
      </c>
      <c r="B616" s="13" t="s">
        <v>23</v>
      </c>
      <c r="C616" s="2">
        <v>8</v>
      </c>
      <c r="D616" s="13" t="s">
        <v>98</v>
      </c>
      <c r="E616" s="2">
        <v>4449436681</v>
      </c>
      <c r="F616" s="2">
        <v>113417208</v>
      </c>
      <c r="G616" s="2">
        <v>2974</v>
      </c>
      <c r="H616" s="2">
        <v>291</v>
      </c>
      <c r="I616" s="2">
        <v>3265</v>
      </c>
      <c r="J616" s="2">
        <v>4446</v>
      </c>
      <c r="K616" s="2">
        <v>7711</v>
      </c>
      <c r="L616" s="2">
        <v>491</v>
      </c>
      <c r="M616" s="2">
        <v>719</v>
      </c>
      <c r="N616" s="2">
        <v>558</v>
      </c>
      <c r="O616" s="2">
        <v>985</v>
      </c>
      <c r="P616" s="2">
        <v>9254</v>
      </c>
      <c r="Q616" s="2">
        <v>33527</v>
      </c>
      <c r="R616" s="13" t="s">
        <v>27</v>
      </c>
      <c r="S616" s="13" t="s">
        <v>27</v>
      </c>
    </row>
    <row r="617" spans="1:19" hidden="1" x14ac:dyDescent="0.3">
      <c r="A617" s="14">
        <v>43914.708333333336</v>
      </c>
      <c r="B617" s="13" t="s">
        <v>23</v>
      </c>
      <c r="C617" s="2">
        <v>6</v>
      </c>
      <c r="D617" s="13" t="s">
        <v>49</v>
      </c>
      <c r="E617" s="2">
        <v>456494354</v>
      </c>
      <c r="F617" s="2">
        <v>1376813649</v>
      </c>
      <c r="G617" s="2">
        <v>195</v>
      </c>
      <c r="H617" s="2">
        <v>49</v>
      </c>
      <c r="I617" s="2">
        <v>244</v>
      </c>
      <c r="J617" s="2">
        <v>604</v>
      </c>
      <c r="K617" s="2">
        <v>848</v>
      </c>
      <c r="L617" s="2">
        <v>77</v>
      </c>
      <c r="M617" s="2">
        <v>62</v>
      </c>
      <c r="N617" s="2">
        <v>80</v>
      </c>
      <c r="O617" s="2">
        <v>64</v>
      </c>
      <c r="P617" s="2">
        <v>992</v>
      </c>
      <c r="Q617" s="2">
        <v>8526</v>
      </c>
      <c r="R617" s="13" t="s">
        <v>27</v>
      </c>
      <c r="S617" s="13" t="s">
        <v>27</v>
      </c>
    </row>
    <row r="618" spans="1:19" hidden="1" x14ac:dyDescent="0.3">
      <c r="A618" s="14">
        <v>43914.708333333336</v>
      </c>
      <c r="B618" s="13" t="s">
        <v>23</v>
      </c>
      <c r="C618" s="2">
        <v>12</v>
      </c>
      <c r="D618" s="13" t="s">
        <v>50</v>
      </c>
      <c r="E618" s="2">
        <v>4189277044</v>
      </c>
      <c r="F618" s="2">
        <v>1248366722</v>
      </c>
      <c r="G618" s="2">
        <v>747</v>
      </c>
      <c r="H618" s="2">
        <v>94</v>
      </c>
      <c r="I618" s="2">
        <v>841</v>
      </c>
      <c r="J618" s="2">
        <v>704</v>
      </c>
      <c r="K618" s="2">
        <v>1545</v>
      </c>
      <c r="L618" s="2">
        <v>131</v>
      </c>
      <c r="M618" s="2">
        <v>188</v>
      </c>
      <c r="N618" s="2">
        <v>103</v>
      </c>
      <c r="O618" s="2">
        <v>80</v>
      </c>
      <c r="P618" s="2">
        <v>1728</v>
      </c>
      <c r="Q618" s="2">
        <v>18371</v>
      </c>
      <c r="R618" s="13" t="s">
        <v>27</v>
      </c>
      <c r="S618" s="13" t="s">
        <v>27</v>
      </c>
    </row>
    <row r="619" spans="1:19" hidden="1" x14ac:dyDescent="0.3">
      <c r="A619" s="14">
        <v>43914.708333333336</v>
      </c>
      <c r="B619" s="13" t="s">
        <v>23</v>
      </c>
      <c r="C619" s="2">
        <v>7</v>
      </c>
      <c r="D619" s="13" t="s">
        <v>51</v>
      </c>
      <c r="E619" s="2">
        <v>4441149315</v>
      </c>
      <c r="F619" s="2">
        <v>89326992</v>
      </c>
      <c r="G619" s="2">
        <v>803</v>
      </c>
      <c r="H619" s="2">
        <v>147</v>
      </c>
      <c r="I619" s="2">
        <v>950</v>
      </c>
      <c r="J619" s="2">
        <v>742</v>
      </c>
      <c r="K619" s="2">
        <v>1692</v>
      </c>
      <c r="L619" s="2">
        <v>139</v>
      </c>
      <c r="M619" s="2">
        <v>192</v>
      </c>
      <c r="N619" s="2">
        <v>193</v>
      </c>
      <c r="O619" s="2">
        <v>231</v>
      </c>
      <c r="P619" s="2">
        <v>2116</v>
      </c>
      <c r="Q619" s="2">
        <v>5992</v>
      </c>
      <c r="R619" s="13" t="s">
        <v>27</v>
      </c>
      <c r="S619" s="13" t="s">
        <v>27</v>
      </c>
    </row>
    <row r="620" spans="1:19" x14ac:dyDescent="0.3">
      <c r="A620" s="14">
        <v>43914.708333333336</v>
      </c>
      <c r="B620" s="13" t="s">
        <v>23</v>
      </c>
      <c r="C620" s="2">
        <v>3</v>
      </c>
      <c r="D620" s="13" t="s">
        <v>52</v>
      </c>
      <c r="E620" s="2">
        <v>4546679409</v>
      </c>
      <c r="F620" s="2">
        <v>9190347404</v>
      </c>
      <c r="G620" s="2">
        <v>9711</v>
      </c>
      <c r="H620" s="2">
        <v>1194</v>
      </c>
      <c r="I620" s="2">
        <v>10905</v>
      </c>
      <c r="J620" s="2">
        <v>8963</v>
      </c>
      <c r="K620" s="2">
        <v>19868</v>
      </c>
      <c r="L620" s="2">
        <v>958</v>
      </c>
      <c r="M620" s="2">
        <v>1942</v>
      </c>
      <c r="N620" s="2">
        <v>6657</v>
      </c>
      <c r="O620" s="2">
        <v>4178</v>
      </c>
      <c r="P620" s="2">
        <v>30703</v>
      </c>
      <c r="Q620" s="2">
        <v>76695</v>
      </c>
      <c r="R620" s="13" t="s">
        <v>27</v>
      </c>
      <c r="S620" s="13" t="s">
        <v>27</v>
      </c>
    </row>
    <row r="621" spans="1:19" hidden="1" x14ac:dyDescent="0.3">
      <c r="A621" s="14">
        <v>43914.708333333336</v>
      </c>
      <c r="B621" s="13" t="s">
        <v>23</v>
      </c>
      <c r="C621" s="2">
        <v>11</v>
      </c>
      <c r="D621" s="13" t="s">
        <v>53</v>
      </c>
      <c r="E621" s="2">
        <v>4361675973</v>
      </c>
      <c r="F621" s="2">
        <v>135188753</v>
      </c>
      <c r="G621" s="2">
        <v>862</v>
      </c>
      <c r="H621" s="2">
        <v>149</v>
      </c>
      <c r="I621" s="2">
        <v>1011</v>
      </c>
      <c r="J621" s="2">
        <v>1486</v>
      </c>
      <c r="K621" s="2">
        <v>2497</v>
      </c>
      <c r="L621" s="2">
        <v>139</v>
      </c>
      <c r="M621" s="2">
        <v>167</v>
      </c>
      <c r="N621" s="2">
        <v>8</v>
      </c>
      <c r="O621" s="2">
        <v>231</v>
      </c>
      <c r="P621" s="2">
        <v>2736</v>
      </c>
      <c r="Q621" s="2">
        <v>7229</v>
      </c>
      <c r="R621" s="13" t="s">
        <v>27</v>
      </c>
      <c r="S621" s="13" t="s">
        <v>27</v>
      </c>
    </row>
    <row r="622" spans="1:19" hidden="1" x14ac:dyDescent="0.3">
      <c r="A622" s="14">
        <v>43914.708333333336</v>
      </c>
      <c r="B622" s="13" t="s">
        <v>23</v>
      </c>
      <c r="C622" s="2">
        <v>14</v>
      </c>
      <c r="D622" s="13" t="s">
        <v>54</v>
      </c>
      <c r="E622" s="2">
        <v>4155774754</v>
      </c>
      <c r="F622" s="2">
        <v>1465916051</v>
      </c>
      <c r="G622" s="2">
        <v>27</v>
      </c>
      <c r="H622" s="2">
        <v>7</v>
      </c>
      <c r="I622" s="2">
        <v>34</v>
      </c>
      <c r="J622" s="2">
        <v>21</v>
      </c>
      <c r="K622" s="2">
        <v>55</v>
      </c>
      <c r="L622" s="2">
        <v>5</v>
      </c>
      <c r="M622" s="2">
        <v>6</v>
      </c>
      <c r="N622" s="2">
        <v>10</v>
      </c>
      <c r="O622" s="2">
        <v>8</v>
      </c>
      <c r="P622" s="2">
        <v>73</v>
      </c>
      <c r="Q622" s="2">
        <v>572</v>
      </c>
      <c r="R622" s="13" t="s">
        <v>27</v>
      </c>
      <c r="S622" s="13" t="s">
        <v>27</v>
      </c>
    </row>
    <row r="623" spans="1:19" hidden="1" x14ac:dyDescent="0.3">
      <c r="A623" s="14">
        <v>43914.708333333336</v>
      </c>
      <c r="B623" s="13" t="s">
        <v>23</v>
      </c>
      <c r="C623" s="2">
        <v>1</v>
      </c>
      <c r="D623" s="13" t="s">
        <v>55</v>
      </c>
      <c r="E623" s="2">
        <v>450732745</v>
      </c>
      <c r="F623" s="2">
        <v>7680687483</v>
      </c>
      <c r="G623" s="2">
        <v>2404</v>
      </c>
      <c r="H623" s="2">
        <v>360</v>
      </c>
      <c r="I623" s="2">
        <v>2764</v>
      </c>
      <c r="J623" s="2">
        <v>2360</v>
      </c>
      <c r="K623" s="2">
        <v>5124</v>
      </c>
      <c r="L623" s="2">
        <v>595</v>
      </c>
      <c r="M623" s="2">
        <v>654</v>
      </c>
      <c r="N623" s="2">
        <v>17</v>
      </c>
      <c r="O623" s="2">
        <v>374</v>
      </c>
      <c r="P623" s="2">
        <v>5515</v>
      </c>
      <c r="Q623" s="2">
        <v>15469</v>
      </c>
      <c r="R623" s="13" t="s">
        <v>27</v>
      </c>
      <c r="S623" s="13" t="s">
        <v>27</v>
      </c>
    </row>
    <row r="624" spans="1:19" hidden="1" x14ac:dyDescent="0.3">
      <c r="A624" s="14">
        <v>43914.708333333336</v>
      </c>
      <c r="B624" s="13" t="s">
        <v>23</v>
      </c>
      <c r="C624" s="2">
        <v>16</v>
      </c>
      <c r="D624" s="13" t="s">
        <v>56</v>
      </c>
      <c r="E624" s="2">
        <v>4112559576</v>
      </c>
      <c r="F624" s="2">
        <v>1686736689</v>
      </c>
      <c r="G624" s="2">
        <v>317</v>
      </c>
      <c r="H624" s="2">
        <v>57</v>
      </c>
      <c r="I624" s="2">
        <v>374</v>
      </c>
      <c r="J624" s="2">
        <v>566</v>
      </c>
      <c r="K624" s="2">
        <v>940</v>
      </c>
      <c r="L624" s="2">
        <v>78</v>
      </c>
      <c r="M624" s="2">
        <v>99</v>
      </c>
      <c r="N624" s="2">
        <v>21</v>
      </c>
      <c r="O624" s="2">
        <v>44</v>
      </c>
      <c r="P624" s="2">
        <v>1005</v>
      </c>
      <c r="Q624" s="2">
        <v>7345</v>
      </c>
      <c r="R624" s="13" t="s">
        <v>27</v>
      </c>
      <c r="S624" s="13" t="s">
        <v>27</v>
      </c>
    </row>
    <row r="625" spans="1:19" hidden="1" x14ac:dyDescent="0.3">
      <c r="A625" s="14">
        <v>43914.708333333336</v>
      </c>
      <c r="B625" s="13" t="s">
        <v>23</v>
      </c>
      <c r="C625" s="2">
        <v>20</v>
      </c>
      <c r="D625" s="13" t="s">
        <v>57</v>
      </c>
      <c r="E625" s="2">
        <v>3921531192</v>
      </c>
      <c r="F625" s="2">
        <v>9110616306</v>
      </c>
      <c r="G625" s="2">
        <v>80</v>
      </c>
      <c r="H625" s="2">
        <v>19</v>
      </c>
      <c r="I625" s="2">
        <v>99</v>
      </c>
      <c r="J625" s="2">
        <v>296</v>
      </c>
      <c r="K625" s="2">
        <v>395</v>
      </c>
      <c r="L625" s="2">
        <v>52</v>
      </c>
      <c r="M625" s="2">
        <v>62</v>
      </c>
      <c r="N625" s="2">
        <v>11</v>
      </c>
      <c r="O625" s="2">
        <v>15</v>
      </c>
      <c r="P625" s="2">
        <v>421</v>
      </c>
      <c r="Q625" s="2">
        <v>2859</v>
      </c>
      <c r="R625" s="13" t="s">
        <v>27</v>
      </c>
      <c r="S625" s="13" t="s">
        <v>27</v>
      </c>
    </row>
    <row r="626" spans="1:19" hidden="1" x14ac:dyDescent="0.3">
      <c r="A626" s="14">
        <v>43914.708333333336</v>
      </c>
      <c r="B626" s="13" t="s">
        <v>23</v>
      </c>
      <c r="C626" s="2">
        <v>19</v>
      </c>
      <c r="D626" s="13" t="s">
        <v>58</v>
      </c>
      <c r="E626" s="2">
        <v>3811569725</v>
      </c>
      <c r="F626" s="2">
        <v>133623567</v>
      </c>
      <c r="G626" s="2">
        <v>250</v>
      </c>
      <c r="H626" s="2">
        <v>60</v>
      </c>
      <c r="I626" s="2">
        <v>310</v>
      </c>
      <c r="J626" s="2">
        <v>489</v>
      </c>
      <c r="K626" s="2">
        <v>799</v>
      </c>
      <c r="L626" s="2">
        <v>118</v>
      </c>
      <c r="M626" s="2">
        <v>125</v>
      </c>
      <c r="N626" s="2">
        <v>27</v>
      </c>
      <c r="O626" s="2">
        <v>20</v>
      </c>
      <c r="P626" s="2">
        <v>846</v>
      </c>
      <c r="Q626" s="2">
        <v>7170</v>
      </c>
      <c r="R626" s="13" t="s">
        <v>27</v>
      </c>
      <c r="S626" s="13" t="s">
        <v>27</v>
      </c>
    </row>
    <row r="627" spans="1:19" hidden="1" x14ac:dyDescent="0.3">
      <c r="A627" s="14">
        <v>43914.708333333336</v>
      </c>
      <c r="B627" s="13" t="s">
        <v>23</v>
      </c>
      <c r="C627" s="2">
        <v>9</v>
      </c>
      <c r="D627" s="13" t="s">
        <v>59</v>
      </c>
      <c r="E627" s="2">
        <v>4376923077</v>
      </c>
      <c r="F627" s="2">
        <v>1125588885</v>
      </c>
      <c r="G627" s="2">
        <v>918</v>
      </c>
      <c r="H627" s="2">
        <v>244</v>
      </c>
      <c r="I627" s="2">
        <v>1162</v>
      </c>
      <c r="J627" s="2">
        <v>1357</v>
      </c>
      <c r="K627" s="2">
        <v>2519</v>
      </c>
      <c r="L627" s="2">
        <v>218</v>
      </c>
      <c r="M627" s="2">
        <v>238</v>
      </c>
      <c r="N627" s="2">
        <v>51</v>
      </c>
      <c r="O627" s="2">
        <v>129</v>
      </c>
      <c r="P627" s="2">
        <v>2699</v>
      </c>
      <c r="Q627" s="2">
        <v>15701</v>
      </c>
      <c r="R627" s="13" t="s">
        <v>27</v>
      </c>
      <c r="S627" s="13" t="s">
        <v>27</v>
      </c>
    </row>
    <row r="628" spans="1:19" hidden="1" x14ac:dyDescent="0.3">
      <c r="A628" s="14">
        <v>43914.708333333336</v>
      </c>
      <c r="B628" s="13" t="s">
        <v>23</v>
      </c>
      <c r="C628" s="2">
        <v>4</v>
      </c>
      <c r="D628" s="13" t="s">
        <v>60</v>
      </c>
      <c r="E628" s="2">
        <v>4606893511</v>
      </c>
      <c r="F628" s="2">
        <v>1112123097</v>
      </c>
      <c r="G628" s="2">
        <v>308</v>
      </c>
      <c r="H628" s="2">
        <v>49</v>
      </c>
      <c r="I628" s="2">
        <v>357</v>
      </c>
      <c r="J628" s="2">
        <v>618</v>
      </c>
      <c r="K628" s="2">
        <v>975</v>
      </c>
      <c r="L628" s="2">
        <v>61</v>
      </c>
      <c r="M628" s="2">
        <v>87</v>
      </c>
      <c r="N628" s="2">
        <v>79</v>
      </c>
      <c r="O628" s="2">
        <v>56</v>
      </c>
      <c r="P628" s="2">
        <v>1110</v>
      </c>
      <c r="Q628" s="2">
        <v>3712</v>
      </c>
      <c r="R628" s="13" t="s">
        <v>27</v>
      </c>
      <c r="S628" s="13" t="s">
        <v>27</v>
      </c>
    </row>
    <row r="629" spans="1:19" hidden="1" x14ac:dyDescent="0.3">
      <c r="A629" s="14">
        <v>43914.708333333336</v>
      </c>
      <c r="B629" s="13" t="s">
        <v>23</v>
      </c>
      <c r="C629" s="2">
        <v>10</v>
      </c>
      <c r="D629" s="13" t="s">
        <v>61</v>
      </c>
      <c r="E629" s="2">
        <v>4310675841</v>
      </c>
      <c r="F629" s="2">
        <v>1238824698</v>
      </c>
      <c r="G629" s="2">
        <v>105</v>
      </c>
      <c r="H629" s="2">
        <v>43</v>
      </c>
      <c r="I629" s="2">
        <v>148</v>
      </c>
      <c r="J629" s="2">
        <v>476</v>
      </c>
      <c r="K629" s="2">
        <v>624</v>
      </c>
      <c r="L629" s="2">
        <v>68</v>
      </c>
      <c r="M629" s="2">
        <v>71</v>
      </c>
      <c r="N629" s="2">
        <v>5</v>
      </c>
      <c r="O629" s="2">
        <v>19</v>
      </c>
      <c r="P629" s="2">
        <v>648</v>
      </c>
      <c r="Q629" s="2">
        <v>4108</v>
      </c>
      <c r="R629" s="13" t="s">
        <v>27</v>
      </c>
      <c r="S629" s="13" t="s">
        <v>27</v>
      </c>
    </row>
    <row r="630" spans="1:19" hidden="1" x14ac:dyDescent="0.3">
      <c r="A630" s="14">
        <v>43914.708333333336</v>
      </c>
      <c r="B630" s="13" t="s">
        <v>23</v>
      </c>
      <c r="C630" s="2">
        <v>2</v>
      </c>
      <c r="D630" s="13" t="s">
        <v>62</v>
      </c>
      <c r="E630" s="2">
        <v>4573750286</v>
      </c>
      <c r="F630" s="2">
        <v>7320149366</v>
      </c>
      <c r="G630" s="2">
        <v>71</v>
      </c>
      <c r="H630" s="2">
        <v>20</v>
      </c>
      <c r="I630" s="2">
        <v>91</v>
      </c>
      <c r="J630" s="2">
        <v>288</v>
      </c>
      <c r="K630" s="2">
        <v>379</v>
      </c>
      <c r="L630" s="2">
        <v>0</v>
      </c>
      <c r="M630" s="2">
        <v>7</v>
      </c>
      <c r="N630" s="2">
        <v>2</v>
      </c>
      <c r="O630" s="2">
        <v>19</v>
      </c>
      <c r="P630" s="2">
        <v>400</v>
      </c>
      <c r="Q630" s="2">
        <v>1180</v>
      </c>
      <c r="R630" s="13" t="s">
        <v>27</v>
      </c>
      <c r="S630" s="13" t="s">
        <v>27</v>
      </c>
    </row>
    <row r="631" spans="1:19" hidden="1" x14ac:dyDescent="0.3">
      <c r="A631" s="14">
        <v>43914.708333333336</v>
      </c>
      <c r="B631" s="13" t="s">
        <v>23</v>
      </c>
      <c r="C631" s="2">
        <v>5</v>
      </c>
      <c r="D631" s="13" t="s">
        <v>63</v>
      </c>
      <c r="E631" s="2">
        <v>4543490485</v>
      </c>
      <c r="F631" s="2">
        <v>1233845213</v>
      </c>
      <c r="G631" s="2">
        <v>1318</v>
      </c>
      <c r="H631" s="2">
        <v>304</v>
      </c>
      <c r="I631" s="2">
        <v>1622</v>
      </c>
      <c r="J631" s="2">
        <v>3729</v>
      </c>
      <c r="K631" s="2">
        <v>5351</v>
      </c>
      <c r="L631" s="2">
        <v>365</v>
      </c>
      <c r="M631" s="2">
        <v>443</v>
      </c>
      <c r="N631" s="2">
        <v>381</v>
      </c>
      <c r="O631" s="2">
        <v>216</v>
      </c>
      <c r="P631" s="2">
        <v>5948</v>
      </c>
      <c r="Q631" s="2">
        <v>66178</v>
      </c>
      <c r="R631" s="13" t="s">
        <v>27</v>
      </c>
      <c r="S631" s="13" t="s">
        <v>27</v>
      </c>
    </row>
    <row r="632" spans="1:19" hidden="1" x14ac:dyDescent="0.3">
      <c r="A632" s="14">
        <v>43915.708333333336</v>
      </c>
      <c r="B632" s="13" t="s">
        <v>23</v>
      </c>
      <c r="C632" s="2">
        <v>13</v>
      </c>
      <c r="D632" s="13" t="s">
        <v>44</v>
      </c>
      <c r="E632" s="2">
        <v>4235122196</v>
      </c>
      <c r="F632" s="2">
        <v>1339843823</v>
      </c>
      <c r="G632" s="2">
        <v>248</v>
      </c>
      <c r="H632" s="2">
        <v>59</v>
      </c>
      <c r="I632" s="2">
        <v>307</v>
      </c>
      <c r="J632" s="2">
        <v>431</v>
      </c>
      <c r="K632" s="2">
        <v>738</v>
      </c>
      <c r="L632" s="2">
        <v>116</v>
      </c>
      <c r="M632" s="2">
        <v>124</v>
      </c>
      <c r="N632" s="2">
        <v>23</v>
      </c>
      <c r="O632" s="2">
        <v>52</v>
      </c>
      <c r="P632" s="2">
        <v>813</v>
      </c>
      <c r="Q632" s="2">
        <v>4982</v>
      </c>
      <c r="R632" s="13" t="s">
        <v>27</v>
      </c>
      <c r="S632" s="13" t="s">
        <v>27</v>
      </c>
    </row>
    <row r="633" spans="1:19" hidden="1" x14ac:dyDescent="0.3">
      <c r="A633" s="14">
        <v>43915.708333333336</v>
      </c>
      <c r="B633" s="13" t="s">
        <v>23</v>
      </c>
      <c r="C633" s="2">
        <v>17</v>
      </c>
      <c r="D633" s="13" t="s">
        <v>45</v>
      </c>
      <c r="E633" s="2">
        <v>4063947052</v>
      </c>
      <c r="F633" s="2">
        <v>1580514834</v>
      </c>
      <c r="G633" s="2">
        <v>20</v>
      </c>
      <c r="H633" s="2">
        <v>14</v>
      </c>
      <c r="I633" s="2">
        <v>34</v>
      </c>
      <c r="J633" s="2">
        <v>78</v>
      </c>
      <c r="K633" s="2">
        <v>112</v>
      </c>
      <c r="L633" s="2">
        <v>21</v>
      </c>
      <c r="M633" s="2">
        <v>21</v>
      </c>
      <c r="N633" s="2">
        <v>0</v>
      </c>
      <c r="O633" s="2">
        <v>1</v>
      </c>
      <c r="P633" s="2">
        <v>113</v>
      </c>
      <c r="Q633" s="2">
        <v>857</v>
      </c>
      <c r="R633" s="13" t="s">
        <v>27</v>
      </c>
      <c r="S633" s="13" t="s">
        <v>27</v>
      </c>
    </row>
    <row r="634" spans="1:19" hidden="1" x14ac:dyDescent="0.3">
      <c r="A634" s="14">
        <v>43915.708333333336</v>
      </c>
      <c r="B634" s="13" t="s">
        <v>23</v>
      </c>
      <c r="C634" s="2">
        <v>4</v>
      </c>
      <c r="D634" s="13" t="s">
        <v>46</v>
      </c>
      <c r="E634" s="2">
        <v>4649933453</v>
      </c>
      <c r="F634" s="2">
        <v>1135662422</v>
      </c>
      <c r="G634" s="2">
        <v>190</v>
      </c>
      <c r="H634" s="2">
        <v>40</v>
      </c>
      <c r="I634" s="2">
        <v>230</v>
      </c>
      <c r="J634" s="2">
        <v>518</v>
      </c>
      <c r="K634" s="2">
        <v>748</v>
      </c>
      <c r="L634" s="2">
        <v>49</v>
      </c>
      <c r="M634" s="2">
        <v>77</v>
      </c>
      <c r="N634" s="2">
        <v>67</v>
      </c>
      <c r="O634" s="2">
        <v>43</v>
      </c>
      <c r="P634" s="2">
        <v>858</v>
      </c>
      <c r="Q634" s="2">
        <v>6649</v>
      </c>
      <c r="R634" s="13" t="s">
        <v>27</v>
      </c>
      <c r="S634" s="13" t="s">
        <v>27</v>
      </c>
    </row>
    <row r="635" spans="1:19" hidden="1" x14ac:dyDescent="0.3">
      <c r="A635" s="14">
        <v>43915.708333333336</v>
      </c>
      <c r="B635" s="13" t="s">
        <v>23</v>
      </c>
      <c r="C635" s="2">
        <v>18</v>
      </c>
      <c r="D635" s="13" t="s">
        <v>47</v>
      </c>
      <c r="E635" s="2">
        <v>3890597598</v>
      </c>
      <c r="F635" s="2">
        <v>1659440194</v>
      </c>
      <c r="G635" s="2">
        <v>93</v>
      </c>
      <c r="H635" s="2">
        <v>23</v>
      </c>
      <c r="I635" s="2">
        <v>116</v>
      </c>
      <c r="J635" s="2">
        <v>217</v>
      </c>
      <c r="K635" s="2">
        <v>333</v>
      </c>
      <c r="L635" s="2">
        <v>29</v>
      </c>
      <c r="M635" s="2">
        <v>32</v>
      </c>
      <c r="N635" s="2">
        <v>7</v>
      </c>
      <c r="O635" s="2">
        <v>11</v>
      </c>
      <c r="P635" s="2">
        <v>351</v>
      </c>
      <c r="Q635" s="2">
        <v>5058</v>
      </c>
      <c r="R635" s="13" t="s">
        <v>27</v>
      </c>
      <c r="S635" s="13" t="s">
        <v>27</v>
      </c>
    </row>
    <row r="636" spans="1:19" hidden="1" x14ac:dyDescent="0.3">
      <c r="A636" s="14">
        <v>43915.708333333336</v>
      </c>
      <c r="B636" s="13" t="s">
        <v>23</v>
      </c>
      <c r="C636" s="2">
        <v>15</v>
      </c>
      <c r="D636" s="13" t="s">
        <v>48</v>
      </c>
      <c r="E636" s="2">
        <v>4083956555</v>
      </c>
      <c r="F636" s="2">
        <v>1425084984</v>
      </c>
      <c r="G636" s="2">
        <v>318</v>
      </c>
      <c r="H636" s="2">
        <v>123</v>
      </c>
      <c r="I636" s="2">
        <v>441</v>
      </c>
      <c r="J636" s="2">
        <v>631</v>
      </c>
      <c r="K636" s="2">
        <v>1072</v>
      </c>
      <c r="L636" s="2">
        <v>80</v>
      </c>
      <c r="M636" s="2">
        <v>98</v>
      </c>
      <c r="N636" s="2">
        <v>53</v>
      </c>
      <c r="O636" s="2">
        <v>74</v>
      </c>
      <c r="P636" s="2">
        <v>1199</v>
      </c>
      <c r="Q636" s="2">
        <v>6972</v>
      </c>
      <c r="R636" s="13" t="s">
        <v>27</v>
      </c>
      <c r="S636" s="13" t="s">
        <v>27</v>
      </c>
    </row>
    <row r="637" spans="1:19" hidden="1" x14ac:dyDescent="0.3">
      <c r="A637" s="14">
        <v>43915.708333333336</v>
      </c>
      <c r="B637" s="13" t="s">
        <v>23</v>
      </c>
      <c r="C637" s="2">
        <v>8</v>
      </c>
      <c r="D637" s="13" t="s">
        <v>98</v>
      </c>
      <c r="E637" s="2">
        <v>4449436681</v>
      </c>
      <c r="F637" s="2">
        <v>113417208</v>
      </c>
      <c r="G637" s="2">
        <v>3180</v>
      </c>
      <c r="H637" s="2">
        <v>294</v>
      </c>
      <c r="I637" s="2">
        <v>3474</v>
      </c>
      <c r="J637" s="2">
        <v>4782</v>
      </c>
      <c r="K637" s="2">
        <v>8256</v>
      </c>
      <c r="L637" s="2">
        <v>545</v>
      </c>
      <c r="M637" s="2">
        <v>800</v>
      </c>
      <c r="N637" s="2">
        <v>721</v>
      </c>
      <c r="O637" s="2">
        <v>1077</v>
      </c>
      <c r="P637" s="2">
        <v>10054</v>
      </c>
      <c r="Q637" s="2">
        <v>38045</v>
      </c>
      <c r="R637" s="13" t="s">
        <v>27</v>
      </c>
      <c r="S637" s="13" t="s">
        <v>27</v>
      </c>
    </row>
    <row r="638" spans="1:19" hidden="1" x14ac:dyDescent="0.3">
      <c r="A638" s="14">
        <v>43915.708333333336</v>
      </c>
      <c r="B638" s="13" t="s">
        <v>23</v>
      </c>
      <c r="C638" s="2">
        <v>6</v>
      </c>
      <c r="D638" s="13" t="s">
        <v>49</v>
      </c>
      <c r="E638" s="2">
        <v>456494354</v>
      </c>
      <c r="F638" s="2">
        <v>1376813649</v>
      </c>
      <c r="G638" s="2">
        <v>200</v>
      </c>
      <c r="H638" s="2">
        <v>52</v>
      </c>
      <c r="I638" s="2">
        <v>252</v>
      </c>
      <c r="J638" s="2">
        <v>659</v>
      </c>
      <c r="K638" s="2">
        <v>911</v>
      </c>
      <c r="L638" s="2">
        <v>63</v>
      </c>
      <c r="M638" s="2">
        <v>147</v>
      </c>
      <c r="N638" s="2">
        <v>158</v>
      </c>
      <c r="O638" s="2">
        <v>70</v>
      </c>
      <c r="P638" s="2">
        <v>1139</v>
      </c>
      <c r="Q638" s="2">
        <v>9494</v>
      </c>
      <c r="R638" s="13" t="s">
        <v>27</v>
      </c>
      <c r="S638" s="13" t="s">
        <v>27</v>
      </c>
    </row>
    <row r="639" spans="1:19" hidden="1" x14ac:dyDescent="0.3">
      <c r="A639" s="14">
        <v>43915.708333333336</v>
      </c>
      <c r="B639" s="13" t="s">
        <v>23</v>
      </c>
      <c r="C639" s="2">
        <v>12</v>
      </c>
      <c r="D639" s="13" t="s">
        <v>50</v>
      </c>
      <c r="E639" s="2">
        <v>4189277044</v>
      </c>
      <c r="F639" s="2">
        <v>1248366722</v>
      </c>
      <c r="G639" s="2">
        <v>805</v>
      </c>
      <c r="H639" s="2">
        <v>101</v>
      </c>
      <c r="I639" s="2">
        <v>906</v>
      </c>
      <c r="J639" s="2">
        <v>769</v>
      </c>
      <c r="K639" s="2">
        <v>1675</v>
      </c>
      <c r="L639" s="2">
        <v>130</v>
      </c>
      <c r="M639" s="2">
        <v>173</v>
      </c>
      <c r="N639" s="2">
        <v>131</v>
      </c>
      <c r="O639" s="2">
        <v>95</v>
      </c>
      <c r="P639" s="2">
        <v>1901</v>
      </c>
      <c r="Q639" s="2">
        <v>20669</v>
      </c>
      <c r="R639" s="13" t="s">
        <v>27</v>
      </c>
      <c r="S639" s="13" t="s">
        <v>27</v>
      </c>
    </row>
    <row r="640" spans="1:19" hidden="1" x14ac:dyDescent="0.3">
      <c r="A640" s="14">
        <v>43915.708333333336</v>
      </c>
      <c r="B640" s="13" t="s">
        <v>23</v>
      </c>
      <c r="C640" s="2">
        <v>7</v>
      </c>
      <c r="D640" s="13" t="s">
        <v>51</v>
      </c>
      <c r="E640" s="2">
        <v>4441149315</v>
      </c>
      <c r="F640" s="2">
        <v>89326992</v>
      </c>
      <c r="G640" s="2">
        <v>927</v>
      </c>
      <c r="H640" s="2">
        <v>147</v>
      </c>
      <c r="I640" s="2">
        <v>1074</v>
      </c>
      <c r="J640" s="2">
        <v>752</v>
      </c>
      <c r="K640" s="2">
        <v>1826</v>
      </c>
      <c r="L640" s="2">
        <v>134</v>
      </c>
      <c r="M640" s="2">
        <v>189</v>
      </c>
      <c r="N640" s="2">
        <v>225</v>
      </c>
      <c r="O640" s="2">
        <v>254</v>
      </c>
      <c r="P640" s="2">
        <v>2305</v>
      </c>
      <c r="Q640" s="2">
        <v>6602</v>
      </c>
      <c r="R640" s="13" t="s">
        <v>27</v>
      </c>
      <c r="S640" s="13" t="s">
        <v>27</v>
      </c>
    </row>
    <row r="641" spans="1:19" x14ac:dyDescent="0.3">
      <c r="A641" s="14">
        <v>43915.708333333336</v>
      </c>
      <c r="B641" s="13" t="s">
        <v>23</v>
      </c>
      <c r="C641" s="2">
        <v>3</v>
      </c>
      <c r="D641" s="13" t="s">
        <v>52</v>
      </c>
      <c r="E641" s="2">
        <v>4546679409</v>
      </c>
      <c r="F641" s="2">
        <v>9190347404</v>
      </c>
      <c r="G641" s="2">
        <v>10026</v>
      </c>
      <c r="H641" s="2">
        <v>1236</v>
      </c>
      <c r="I641" s="2">
        <v>11262</v>
      </c>
      <c r="J641" s="2">
        <v>9329</v>
      </c>
      <c r="K641" s="2">
        <v>20591</v>
      </c>
      <c r="L641" s="2">
        <v>723</v>
      </c>
      <c r="M641" s="2">
        <v>1643</v>
      </c>
      <c r="N641" s="2">
        <v>7281</v>
      </c>
      <c r="O641" s="2">
        <v>4474</v>
      </c>
      <c r="P641" s="2">
        <v>32346</v>
      </c>
      <c r="Q641" s="2">
        <v>81666</v>
      </c>
      <c r="R641" s="13" t="s">
        <v>27</v>
      </c>
      <c r="S641" s="13" t="s">
        <v>27</v>
      </c>
    </row>
    <row r="642" spans="1:19" hidden="1" x14ac:dyDescent="0.3">
      <c r="A642" s="14">
        <v>43915.708333333336</v>
      </c>
      <c r="B642" s="13" t="s">
        <v>23</v>
      </c>
      <c r="C642" s="2">
        <v>11</v>
      </c>
      <c r="D642" s="13" t="s">
        <v>53</v>
      </c>
      <c r="E642" s="2">
        <v>4361675973</v>
      </c>
      <c r="F642" s="2">
        <v>135188753</v>
      </c>
      <c r="G642" s="2">
        <v>938</v>
      </c>
      <c r="H642" s="2">
        <v>148</v>
      </c>
      <c r="I642" s="2">
        <v>1086</v>
      </c>
      <c r="J642" s="2">
        <v>1553</v>
      </c>
      <c r="K642" s="2">
        <v>2639</v>
      </c>
      <c r="L642" s="2">
        <v>142</v>
      </c>
      <c r="M642" s="2">
        <v>198</v>
      </c>
      <c r="N642" s="2">
        <v>8</v>
      </c>
      <c r="O642" s="2">
        <v>287</v>
      </c>
      <c r="P642" s="2">
        <v>2934</v>
      </c>
      <c r="Q642" s="2">
        <v>7896</v>
      </c>
      <c r="R642" s="13" t="s">
        <v>27</v>
      </c>
      <c r="S642" s="13" t="s">
        <v>27</v>
      </c>
    </row>
    <row r="643" spans="1:19" hidden="1" x14ac:dyDescent="0.3">
      <c r="A643" s="14">
        <v>43915.708333333336</v>
      </c>
      <c r="B643" s="13" t="s">
        <v>23</v>
      </c>
      <c r="C643" s="2">
        <v>14</v>
      </c>
      <c r="D643" s="13" t="s">
        <v>54</v>
      </c>
      <c r="E643" s="2">
        <v>4155774754</v>
      </c>
      <c r="F643" s="2">
        <v>1465916051</v>
      </c>
      <c r="G643" s="2">
        <v>26</v>
      </c>
      <c r="H643" s="2">
        <v>7</v>
      </c>
      <c r="I643" s="2">
        <v>33</v>
      </c>
      <c r="J643" s="2">
        <v>20</v>
      </c>
      <c r="K643" s="2">
        <v>53</v>
      </c>
      <c r="L643" s="2">
        <v>-2</v>
      </c>
      <c r="M643" s="2">
        <v>0</v>
      </c>
      <c r="N643" s="2">
        <v>12</v>
      </c>
      <c r="O643" s="2">
        <v>8</v>
      </c>
      <c r="P643" s="2">
        <v>73</v>
      </c>
      <c r="Q643" s="2">
        <v>580</v>
      </c>
      <c r="R643" s="13" t="s">
        <v>27</v>
      </c>
      <c r="S643" s="13" t="s">
        <v>27</v>
      </c>
    </row>
    <row r="644" spans="1:19" hidden="1" x14ac:dyDescent="0.3">
      <c r="A644" s="14">
        <v>43915.708333333336</v>
      </c>
      <c r="B644" s="13" t="s">
        <v>23</v>
      </c>
      <c r="C644" s="2">
        <v>1</v>
      </c>
      <c r="D644" s="13" t="s">
        <v>55</v>
      </c>
      <c r="E644" s="2">
        <v>450732745</v>
      </c>
      <c r="F644" s="2">
        <v>7680687483</v>
      </c>
      <c r="G644" s="2">
        <v>2544</v>
      </c>
      <c r="H644" s="2">
        <v>381</v>
      </c>
      <c r="I644" s="2">
        <v>2925</v>
      </c>
      <c r="J644" s="2">
        <v>2631</v>
      </c>
      <c r="K644" s="2">
        <v>5556</v>
      </c>
      <c r="L644" s="2">
        <v>432</v>
      </c>
      <c r="M644" s="2">
        <v>509</v>
      </c>
      <c r="N644" s="2">
        <v>19</v>
      </c>
      <c r="O644" s="2">
        <v>449</v>
      </c>
      <c r="P644" s="2">
        <v>6024</v>
      </c>
      <c r="Q644" s="2">
        <v>16655</v>
      </c>
      <c r="R644" s="13" t="s">
        <v>27</v>
      </c>
      <c r="S644" s="13" t="s">
        <v>27</v>
      </c>
    </row>
    <row r="645" spans="1:19" hidden="1" x14ac:dyDescent="0.3">
      <c r="A645" s="14">
        <v>43915.708333333336</v>
      </c>
      <c r="B645" s="13" t="s">
        <v>23</v>
      </c>
      <c r="C645" s="2">
        <v>16</v>
      </c>
      <c r="D645" s="13" t="s">
        <v>56</v>
      </c>
      <c r="E645" s="2">
        <v>4112559576</v>
      </c>
      <c r="F645" s="2">
        <v>1686736689</v>
      </c>
      <c r="G645" s="2">
        <v>349</v>
      </c>
      <c r="H645" s="2">
        <v>64</v>
      </c>
      <c r="I645" s="2">
        <v>413</v>
      </c>
      <c r="J645" s="2">
        <v>610</v>
      </c>
      <c r="K645" s="2">
        <v>1023</v>
      </c>
      <c r="L645" s="2">
        <v>83</v>
      </c>
      <c r="M645" s="2">
        <v>88</v>
      </c>
      <c r="N645" s="2">
        <v>22</v>
      </c>
      <c r="O645" s="2">
        <v>48</v>
      </c>
      <c r="P645" s="2">
        <v>1093</v>
      </c>
      <c r="Q645" s="2">
        <v>8223</v>
      </c>
      <c r="R645" s="13" t="s">
        <v>27</v>
      </c>
      <c r="S645" s="13" t="s">
        <v>27</v>
      </c>
    </row>
    <row r="646" spans="1:19" hidden="1" x14ac:dyDescent="0.3">
      <c r="A646" s="14">
        <v>43915.708333333336</v>
      </c>
      <c r="B646" s="13" t="s">
        <v>23</v>
      </c>
      <c r="C646" s="2">
        <v>20</v>
      </c>
      <c r="D646" s="13" t="s">
        <v>57</v>
      </c>
      <c r="E646" s="2">
        <v>3921531192</v>
      </c>
      <c r="F646" s="2">
        <v>9110616306</v>
      </c>
      <c r="G646" s="2">
        <v>82</v>
      </c>
      <c r="H646" s="2">
        <v>19</v>
      </c>
      <c r="I646" s="2">
        <v>101</v>
      </c>
      <c r="J646" s="2">
        <v>311</v>
      </c>
      <c r="K646" s="2">
        <v>412</v>
      </c>
      <c r="L646" s="2">
        <v>17</v>
      </c>
      <c r="M646" s="2">
        <v>21</v>
      </c>
      <c r="N646" s="2">
        <v>12</v>
      </c>
      <c r="O646" s="2">
        <v>18</v>
      </c>
      <c r="P646" s="2">
        <v>442</v>
      </c>
      <c r="Q646" s="2">
        <v>3019</v>
      </c>
      <c r="R646" s="13" t="s">
        <v>27</v>
      </c>
      <c r="S646" s="13" t="s">
        <v>27</v>
      </c>
    </row>
    <row r="647" spans="1:19" hidden="1" x14ac:dyDescent="0.3">
      <c r="A647" s="14">
        <v>43915.708333333336</v>
      </c>
      <c r="B647" s="13" t="s">
        <v>23</v>
      </c>
      <c r="C647" s="2">
        <v>19</v>
      </c>
      <c r="D647" s="13" t="s">
        <v>58</v>
      </c>
      <c r="E647" s="2">
        <v>3811569725</v>
      </c>
      <c r="F647" s="2">
        <v>133623567</v>
      </c>
      <c r="G647" s="2">
        <v>259</v>
      </c>
      <c r="H647" s="2">
        <v>80</v>
      </c>
      <c r="I647" s="2">
        <v>339</v>
      </c>
      <c r="J647" s="2">
        <v>597</v>
      </c>
      <c r="K647" s="2">
        <v>936</v>
      </c>
      <c r="L647" s="2">
        <v>137</v>
      </c>
      <c r="M647" s="2">
        <v>148</v>
      </c>
      <c r="N647" s="2">
        <v>33</v>
      </c>
      <c r="O647" s="2">
        <v>25</v>
      </c>
      <c r="P647" s="2">
        <v>994</v>
      </c>
      <c r="Q647" s="2">
        <v>8312</v>
      </c>
      <c r="R647" s="13" t="s">
        <v>27</v>
      </c>
      <c r="S647" s="13" t="s">
        <v>27</v>
      </c>
    </row>
    <row r="648" spans="1:19" hidden="1" x14ac:dyDescent="0.3">
      <c r="A648" s="14">
        <v>43915.708333333336</v>
      </c>
      <c r="B648" s="13" t="s">
        <v>23</v>
      </c>
      <c r="C648" s="2">
        <v>9</v>
      </c>
      <c r="D648" s="13" t="s">
        <v>59</v>
      </c>
      <c r="E648" s="2">
        <v>4376923077</v>
      </c>
      <c r="F648" s="2">
        <v>1125588885</v>
      </c>
      <c r="G648" s="2">
        <v>999</v>
      </c>
      <c r="H648" s="2">
        <v>251</v>
      </c>
      <c r="I648" s="2">
        <v>1250</v>
      </c>
      <c r="J648" s="2">
        <v>1526</v>
      </c>
      <c r="K648" s="2">
        <v>2776</v>
      </c>
      <c r="L648" s="2">
        <v>257</v>
      </c>
      <c r="M648" s="2">
        <v>273</v>
      </c>
      <c r="N648" s="2">
        <v>54</v>
      </c>
      <c r="O648" s="2">
        <v>142</v>
      </c>
      <c r="P648" s="2">
        <v>2972</v>
      </c>
      <c r="Q648" s="2">
        <v>17868</v>
      </c>
      <c r="R648" s="13" t="s">
        <v>27</v>
      </c>
      <c r="S648" s="13" t="s">
        <v>27</v>
      </c>
    </row>
    <row r="649" spans="1:19" hidden="1" x14ac:dyDescent="0.3">
      <c r="A649" s="14">
        <v>43915.708333333336</v>
      </c>
      <c r="B649" s="13" t="s">
        <v>23</v>
      </c>
      <c r="C649" s="2">
        <v>4</v>
      </c>
      <c r="D649" s="13" t="s">
        <v>60</v>
      </c>
      <c r="E649" s="2">
        <v>4606893511</v>
      </c>
      <c r="F649" s="2">
        <v>1112123097</v>
      </c>
      <c r="G649" s="2">
        <v>308</v>
      </c>
      <c r="H649" s="2">
        <v>65</v>
      </c>
      <c r="I649" s="2">
        <v>373</v>
      </c>
      <c r="J649" s="2">
        <v>685</v>
      </c>
      <c r="K649" s="2">
        <v>1058</v>
      </c>
      <c r="L649" s="2">
        <v>83</v>
      </c>
      <c r="M649" s="2">
        <v>112</v>
      </c>
      <c r="N649" s="2">
        <v>90</v>
      </c>
      <c r="O649" s="2">
        <v>74</v>
      </c>
      <c r="P649" s="2">
        <v>1222</v>
      </c>
      <c r="Q649" s="2">
        <v>4114</v>
      </c>
      <c r="R649" s="13" t="s">
        <v>27</v>
      </c>
      <c r="S649" s="13" t="s">
        <v>27</v>
      </c>
    </row>
    <row r="650" spans="1:19" hidden="1" x14ac:dyDescent="0.3">
      <c r="A650" s="14">
        <v>43915.708333333336</v>
      </c>
      <c r="B650" s="13" t="s">
        <v>23</v>
      </c>
      <c r="C650" s="2">
        <v>10</v>
      </c>
      <c r="D650" s="13" t="s">
        <v>61</v>
      </c>
      <c r="E650" s="2">
        <v>4310675841</v>
      </c>
      <c r="F650" s="2">
        <v>1238824698</v>
      </c>
      <c r="G650" s="2">
        <v>123</v>
      </c>
      <c r="H650" s="2">
        <v>44</v>
      </c>
      <c r="I650" s="2">
        <v>167</v>
      </c>
      <c r="J650" s="2">
        <v>519</v>
      </c>
      <c r="K650" s="2">
        <v>686</v>
      </c>
      <c r="L650" s="2">
        <v>62</v>
      </c>
      <c r="M650" s="2">
        <v>62</v>
      </c>
      <c r="N650" s="2">
        <v>5</v>
      </c>
      <c r="O650" s="2">
        <v>19</v>
      </c>
      <c r="P650" s="2">
        <v>710</v>
      </c>
      <c r="Q650" s="2">
        <v>4707</v>
      </c>
      <c r="R650" s="13" t="s">
        <v>27</v>
      </c>
      <c r="S650" s="13" t="s">
        <v>27</v>
      </c>
    </row>
    <row r="651" spans="1:19" hidden="1" x14ac:dyDescent="0.3">
      <c r="A651" s="14">
        <v>43915.708333333336</v>
      </c>
      <c r="B651" s="13" t="s">
        <v>23</v>
      </c>
      <c r="C651" s="2">
        <v>2</v>
      </c>
      <c r="D651" s="13" t="s">
        <v>62</v>
      </c>
      <c r="E651" s="2">
        <v>4573750286</v>
      </c>
      <c r="F651" s="2">
        <v>7320149366</v>
      </c>
      <c r="G651" s="2">
        <v>70</v>
      </c>
      <c r="H651" s="2">
        <v>25</v>
      </c>
      <c r="I651" s="2">
        <v>95</v>
      </c>
      <c r="J651" s="2">
        <v>280</v>
      </c>
      <c r="K651" s="2">
        <v>375</v>
      </c>
      <c r="L651" s="2">
        <v>-4</v>
      </c>
      <c r="M651" s="2">
        <v>1</v>
      </c>
      <c r="N651" s="2">
        <v>2</v>
      </c>
      <c r="O651" s="2">
        <v>24</v>
      </c>
      <c r="P651" s="2">
        <v>401</v>
      </c>
      <c r="Q651" s="2">
        <v>1200</v>
      </c>
      <c r="R651" s="13" t="s">
        <v>27</v>
      </c>
      <c r="S651" s="13" t="s">
        <v>27</v>
      </c>
    </row>
    <row r="652" spans="1:19" hidden="1" x14ac:dyDescent="0.3">
      <c r="A652" s="14">
        <v>43915.708333333336</v>
      </c>
      <c r="B652" s="13" t="s">
        <v>23</v>
      </c>
      <c r="C652" s="2">
        <v>5</v>
      </c>
      <c r="D652" s="13" t="s">
        <v>63</v>
      </c>
      <c r="E652" s="2">
        <v>4543490485</v>
      </c>
      <c r="F652" s="2">
        <v>1233845213</v>
      </c>
      <c r="G652" s="2">
        <v>1407</v>
      </c>
      <c r="H652" s="2">
        <v>316</v>
      </c>
      <c r="I652" s="2">
        <v>1723</v>
      </c>
      <c r="J652" s="2">
        <v>4022</v>
      </c>
      <c r="K652" s="2">
        <v>5745</v>
      </c>
      <c r="L652" s="2">
        <v>394</v>
      </c>
      <c r="M652" s="2">
        <v>494</v>
      </c>
      <c r="N652" s="2">
        <v>439</v>
      </c>
      <c r="O652" s="2">
        <v>258</v>
      </c>
      <c r="P652" s="2">
        <v>6442</v>
      </c>
      <c r="Q652" s="2">
        <v>70877</v>
      </c>
      <c r="R652" s="13" t="s">
        <v>27</v>
      </c>
      <c r="S652" s="13" t="s">
        <v>27</v>
      </c>
    </row>
    <row r="653" spans="1:19" hidden="1" x14ac:dyDescent="0.3">
      <c r="A653" s="14">
        <v>43916.708333333336</v>
      </c>
      <c r="B653" s="13" t="s">
        <v>23</v>
      </c>
      <c r="C653" s="2">
        <v>13</v>
      </c>
      <c r="D653" s="13" t="s">
        <v>44</v>
      </c>
      <c r="E653" s="2">
        <v>4235122196</v>
      </c>
      <c r="F653" s="2">
        <v>1339843823</v>
      </c>
      <c r="G653" s="2">
        <v>280</v>
      </c>
      <c r="H653" s="2">
        <v>64</v>
      </c>
      <c r="I653" s="2">
        <v>344</v>
      </c>
      <c r="J653" s="2">
        <v>516</v>
      </c>
      <c r="K653" s="2">
        <v>860</v>
      </c>
      <c r="L653" s="2">
        <v>122</v>
      </c>
      <c r="M653" s="2">
        <v>133</v>
      </c>
      <c r="N653" s="2">
        <v>23</v>
      </c>
      <c r="O653" s="2">
        <v>63</v>
      </c>
      <c r="P653" s="2">
        <v>946</v>
      </c>
      <c r="Q653" s="2">
        <v>5488</v>
      </c>
      <c r="R653" s="13" t="s">
        <v>27</v>
      </c>
      <c r="S653" s="13" t="s">
        <v>27</v>
      </c>
    </row>
    <row r="654" spans="1:19" hidden="1" x14ac:dyDescent="0.3">
      <c r="A654" s="14">
        <v>43916.708333333336</v>
      </c>
      <c r="B654" s="13" t="s">
        <v>23</v>
      </c>
      <c r="C654" s="2">
        <v>17</v>
      </c>
      <c r="D654" s="13" t="s">
        <v>45</v>
      </c>
      <c r="E654" s="2">
        <v>4063947052</v>
      </c>
      <c r="F654" s="2">
        <v>1580514834</v>
      </c>
      <c r="G654" s="2">
        <v>22</v>
      </c>
      <c r="H654" s="2">
        <v>16</v>
      </c>
      <c r="I654" s="2">
        <v>38</v>
      </c>
      <c r="J654" s="2">
        <v>95</v>
      </c>
      <c r="K654" s="2">
        <v>133</v>
      </c>
      <c r="L654" s="2">
        <v>21</v>
      </c>
      <c r="M654" s="2">
        <v>21</v>
      </c>
      <c r="N654" s="2">
        <v>0</v>
      </c>
      <c r="O654" s="2">
        <v>1</v>
      </c>
      <c r="P654" s="2">
        <v>134</v>
      </c>
      <c r="Q654" s="2">
        <v>1046</v>
      </c>
      <c r="R654" s="13" t="s">
        <v>27</v>
      </c>
      <c r="S654" s="13" t="s">
        <v>27</v>
      </c>
    </row>
    <row r="655" spans="1:19" hidden="1" x14ac:dyDescent="0.3">
      <c r="A655" s="14">
        <v>43916.708333333336</v>
      </c>
      <c r="B655" s="13" t="s">
        <v>23</v>
      </c>
      <c r="C655" s="2">
        <v>4</v>
      </c>
      <c r="D655" s="13" t="s">
        <v>46</v>
      </c>
      <c r="E655" s="2">
        <v>4649933453</v>
      </c>
      <c r="F655" s="2">
        <v>1135662422</v>
      </c>
      <c r="G655" s="2">
        <v>223</v>
      </c>
      <c r="H655" s="2">
        <v>43</v>
      </c>
      <c r="I655" s="2">
        <v>266</v>
      </c>
      <c r="J655" s="2">
        <v>525</v>
      </c>
      <c r="K655" s="2">
        <v>791</v>
      </c>
      <c r="L655" s="2">
        <v>43</v>
      </c>
      <c r="M655" s="2">
        <v>48</v>
      </c>
      <c r="N655" s="2">
        <v>67</v>
      </c>
      <c r="O655" s="2">
        <v>48</v>
      </c>
      <c r="P655" s="2">
        <v>906</v>
      </c>
      <c r="Q655" s="2">
        <v>7744</v>
      </c>
      <c r="R655" s="13" t="s">
        <v>27</v>
      </c>
      <c r="S655" s="13" t="s">
        <v>27</v>
      </c>
    </row>
    <row r="656" spans="1:19" hidden="1" x14ac:dyDescent="0.3">
      <c r="A656" s="14">
        <v>43916.708333333336</v>
      </c>
      <c r="B656" s="13" t="s">
        <v>23</v>
      </c>
      <c r="C656" s="2">
        <v>18</v>
      </c>
      <c r="D656" s="13" t="s">
        <v>47</v>
      </c>
      <c r="E656" s="2">
        <v>3890597598</v>
      </c>
      <c r="F656" s="2">
        <v>1659440194</v>
      </c>
      <c r="G656" s="2">
        <v>101</v>
      </c>
      <c r="H656" s="2">
        <v>23</v>
      </c>
      <c r="I656" s="2">
        <v>124</v>
      </c>
      <c r="J656" s="2">
        <v>248</v>
      </c>
      <c r="K656" s="2">
        <v>372</v>
      </c>
      <c r="L656" s="2">
        <v>39</v>
      </c>
      <c r="M656" s="2">
        <v>42</v>
      </c>
      <c r="N656" s="2">
        <v>7</v>
      </c>
      <c r="O656" s="2">
        <v>14</v>
      </c>
      <c r="P656" s="2">
        <v>393</v>
      </c>
      <c r="Q656" s="2">
        <v>5933</v>
      </c>
      <c r="R656" s="13" t="s">
        <v>27</v>
      </c>
      <c r="S656" s="13" t="s">
        <v>27</v>
      </c>
    </row>
    <row r="657" spans="1:19" hidden="1" x14ac:dyDescent="0.3">
      <c r="A657" s="14">
        <v>43916.708333333336</v>
      </c>
      <c r="B657" s="13" t="s">
        <v>23</v>
      </c>
      <c r="C657" s="2">
        <v>15</v>
      </c>
      <c r="D657" s="13" t="s">
        <v>48</v>
      </c>
      <c r="E657" s="2">
        <v>4083956555</v>
      </c>
      <c r="F657" s="2">
        <v>1425084984</v>
      </c>
      <c r="G657" s="2">
        <v>448</v>
      </c>
      <c r="H657" s="2">
        <v>114</v>
      </c>
      <c r="I657" s="2">
        <v>562</v>
      </c>
      <c r="J657" s="2">
        <v>607</v>
      </c>
      <c r="K657" s="2">
        <v>1169</v>
      </c>
      <c r="L657" s="2">
        <v>97</v>
      </c>
      <c r="M657" s="2">
        <v>111</v>
      </c>
      <c r="N657" s="2">
        <v>58</v>
      </c>
      <c r="O657" s="2">
        <v>83</v>
      </c>
      <c r="P657" s="2">
        <v>1310</v>
      </c>
      <c r="Q657" s="2">
        <v>8346</v>
      </c>
      <c r="R657" s="13" t="s">
        <v>27</v>
      </c>
      <c r="S657" s="13" t="s">
        <v>27</v>
      </c>
    </row>
    <row r="658" spans="1:19" hidden="1" x14ac:dyDescent="0.3">
      <c r="A658" s="14">
        <v>43916.708333333336</v>
      </c>
      <c r="B658" s="13" t="s">
        <v>23</v>
      </c>
      <c r="C658" s="2">
        <v>8</v>
      </c>
      <c r="D658" s="13" t="s">
        <v>98</v>
      </c>
      <c r="E658" s="2">
        <v>4449436681</v>
      </c>
      <c r="F658" s="2">
        <v>113417208</v>
      </c>
      <c r="G658" s="2">
        <v>3354</v>
      </c>
      <c r="H658" s="2">
        <v>301</v>
      </c>
      <c r="I658" s="2">
        <v>3655</v>
      </c>
      <c r="J658" s="2">
        <v>5195</v>
      </c>
      <c r="K658" s="2">
        <v>8850</v>
      </c>
      <c r="L658" s="2">
        <v>594</v>
      </c>
      <c r="M658" s="2">
        <v>762</v>
      </c>
      <c r="N658" s="2">
        <v>792</v>
      </c>
      <c r="O658" s="2">
        <v>1174</v>
      </c>
      <c r="P658" s="2">
        <v>10816</v>
      </c>
      <c r="Q658" s="2">
        <v>42395</v>
      </c>
      <c r="R658" s="13" t="s">
        <v>27</v>
      </c>
      <c r="S658" s="13" t="s">
        <v>27</v>
      </c>
    </row>
    <row r="659" spans="1:19" hidden="1" x14ac:dyDescent="0.3">
      <c r="A659" s="14">
        <v>43916.708333333336</v>
      </c>
      <c r="B659" s="13" t="s">
        <v>23</v>
      </c>
      <c r="C659" s="2">
        <v>6</v>
      </c>
      <c r="D659" s="13" t="s">
        <v>49</v>
      </c>
      <c r="E659" s="2">
        <v>456494354</v>
      </c>
      <c r="F659" s="2">
        <v>1376813649</v>
      </c>
      <c r="G659" s="2">
        <v>212</v>
      </c>
      <c r="H659" s="2">
        <v>54</v>
      </c>
      <c r="I659" s="2">
        <v>266</v>
      </c>
      <c r="J659" s="2">
        <v>688</v>
      </c>
      <c r="K659" s="2">
        <v>954</v>
      </c>
      <c r="L659" s="2">
        <v>43</v>
      </c>
      <c r="M659" s="2">
        <v>84</v>
      </c>
      <c r="N659" s="2">
        <v>197</v>
      </c>
      <c r="O659" s="2">
        <v>72</v>
      </c>
      <c r="P659" s="2">
        <v>1223</v>
      </c>
      <c r="Q659" s="2">
        <v>10721</v>
      </c>
      <c r="R659" s="13" t="s">
        <v>27</v>
      </c>
      <c r="S659" s="13" t="s">
        <v>27</v>
      </c>
    </row>
    <row r="660" spans="1:19" hidden="1" x14ac:dyDescent="0.3">
      <c r="A660" s="14">
        <v>43916.708333333336</v>
      </c>
      <c r="B660" s="13" t="s">
        <v>23</v>
      </c>
      <c r="C660" s="2">
        <v>12</v>
      </c>
      <c r="D660" s="13" t="s">
        <v>50</v>
      </c>
      <c r="E660" s="2">
        <v>4189277044</v>
      </c>
      <c r="F660" s="2">
        <v>1248366722</v>
      </c>
      <c r="G660" s="2">
        <v>878</v>
      </c>
      <c r="H660" s="2">
        <v>113</v>
      </c>
      <c r="I660" s="2">
        <v>991</v>
      </c>
      <c r="J660" s="2">
        <v>844</v>
      </c>
      <c r="K660" s="2">
        <v>1835</v>
      </c>
      <c r="L660" s="2">
        <v>160</v>
      </c>
      <c r="M660" s="2">
        <v>195</v>
      </c>
      <c r="N660" s="2">
        <v>155</v>
      </c>
      <c r="O660" s="2">
        <v>106</v>
      </c>
      <c r="P660" s="2">
        <v>2096</v>
      </c>
      <c r="Q660" s="2">
        <v>22771</v>
      </c>
      <c r="R660" s="13" t="s">
        <v>27</v>
      </c>
      <c r="S660" s="13" t="s">
        <v>27</v>
      </c>
    </row>
    <row r="661" spans="1:19" hidden="1" x14ac:dyDescent="0.3">
      <c r="A661" s="14">
        <v>43916.708333333336</v>
      </c>
      <c r="B661" s="13" t="s">
        <v>23</v>
      </c>
      <c r="C661" s="2">
        <v>7</v>
      </c>
      <c r="D661" s="13" t="s">
        <v>51</v>
      </c>
      <c r="E661" s="2">
        <v>4441149315</v>
      </c>
      <c r="F661" s="2">
        <v>89326992</v>
      </c>
      <c r="G661" s="2">
        <v>998</v>
      </c>
      <c r="H661" s="2">
        <v>154</v>
      </c>
      <c r="I661" s="2">
        <v>1152</v>
      </c>
      <c r="J661" s="2">
        <v>875</v>
      </c>
      <c r="K661" s="2">
        <v>2027</v>
      </c>
      <c r="L661" s="2">
        <v>201</v>
      </c>
      <c r="M661" s="2">
        <v>262</v>
      </c>
      <c r="N661" s="2">
        <v>260</v>
      </c>
      <c r="O661" s="2">
        <v>280</v>
      </c>
      <c r="P661" s="2">
        <v>2567</v>
      </c>
      <c r="Q661" s="2">
        <v>7304</v>
      </c>
      <c r="R661" s="13" t="s">
        <v>27</v>
      </c>
      <c r="S661" s="13" t="s">
        <v>27</v>
      </c>
    </row>
    <row r="662" spans="1:19" x14ac:dyDescent="0.3">
      <c r="A662" s="14">
        <v>43916.708333333336</v>
      </c>
      <c r="B662" s="13" t="s">
        <v>23</v>
      </c>
      <c r="C662" s="2">
        <v>3</v>
      </c>
      <c r="D662" s="13" t="s">
        <v>52</v>
      </c>
      <c r="E662" s="2">
        <v>4546679409</v>
      </c>
      <c r="F662" s="2">
        <v>9190347404</v>
      </c>
      <c r="G662" s="2">
        <v>10681</v>
      </c>
      <c r="H662" s="2">
        <v>1263</v>
      </c>
      <c r="I662" s="2">
        <v>11944</v>
      </c>
      <c r="J662" s="2">
        <v>10245</v>
      </c>
      <c r="K662" s="2">
        <v>22189</v>
      </c>
      <c r="L662" s="2">
        <v>1598</v>
      </c>
      <c r="M662" s="2">
        <v>2543</v>
      </c>
      <c r="N662" s="2">
        <v>7839</v>
      </c>
      <c r="O662" s="2">
        <v>4861</v>
      </c>
      <c r="P662" s="2">
        <v>34889</v>
      </c>
      <c r="Q662" s="2">
        <v>87713</v>
      </c>
      <c r="R662" s="13" t="s">
        <v>27</v>
      </c>
      <c r="S662" s="13" t="s">
        <v>27</v>
      </c>
    </row>
    <row r="663" spans="1:19" hidden="1" x14ac:dyDescent="0.3">
      <c r="A663" s="14">
        <v>43916.708333333336</v>
      </c>
      <c r="B663" s="13" t="s">
        <v>23</v>
      </c>
      <c r="C663" s="2">
        <v>11</v>
      </c>
      <c r="D663" s="13" t="s">
        <v>53</v>
      </c>
      <c r="E663" s="2">
        <v>4361675973</v>
      </c>
      <c r="F663" s="2">
        <v>135188753</v>
      </c>
      <c r="G663" s="2">
        <v>977</v>
      </c>
      <c r="H663" s="2">
        <v>166</v>
      </c>
      <c r="I663" s="2">
        <v>1143</v>
      </c>
      <c r="J663" s="2">
        <v>1652</v>
      </c>
      <c r="K663" s="2">
        <v>2795</v>
      </c>
      <c r="L663" s="2">
        <v>156</v>
      </c>
      <c r="M663" s="2">
        <v>180</v>
      </c>
      <c r="N663" s="2">
        <v>9</v>
      </c>
      <c r="O663" s="2">
        <v>310</v>
      </c>
      <c r="P663" s="2">
        <v>3114</v>
      </c>
      <c r="Q663" s="2">
        <v>8623</v>
      </c>
      <c r="R663" s="13" t="s">
        <v>27</v>
      </c>
      <c r="S663" s="13" t="s">
        <v>27</v>
      </c>
    </row>
    <row r="664" spans="1:19" hidden="1" x14ac:dyDescent="0.3">
      <c r="A664" s="14">
        <v>43916.708333333336</v>
      </c>
      <c r="B664" s="13" t="s">
        <v>23</v>
      </c>
      <c r="C664" s="2">
        <v>14</v>
      </c>
      <c r="D664" s="13" t="s">
        <v>54</v>
      </c>
      <c r="E664" s="2">
        <v>4155774754</v>
      </c>
      <c r="F664" s="2">
        <v>1465916051</v>
      </c>
      <c r="G664" s="2">
        <v>27</v>
      </c>
      <c r="H664" s="2">
        <v>8</v>
      </c>
      <c r="I664" s="2">
        <v>35</v>
      </c>
      <c r="J664" s="2">
        <v>46</v>
      </c>
      <c r="K664" s="2">
        <v>81</v>
      </c>
      <c r="L664" s="2">
        <v>28</v>
      </c>
      <c r="M664" s="2">
        <v>30</v>
      </c>
      <c r="N664" s="2">
        <v>14</v>
      </c>
      <c r="O664" s="2">
        <v>8</v>
      </c>
      <c r="P664" s="2">
        <v>103</v>
      </c>
      <c r="Q664" s="2">
        <v>670</v>
      </c>
      <c r="R664" s="13" t="s">
        <v>27</v>
      </c>
      <c r="S664" s="13" t="s">
        <v>27</v>
      </c>
    </row>
    <row r="665" spans="1:19" hidden="1" x14ac:dyDescent="0.3">
      <c r="A665" s="14">
        <v>43916.708333333336</v>
      </c>
      <c r="B665" s="13" t="s">
        <v>23</v>
      </c>
      <c r="C665" s="2">
        <v>1</v>
      </c>
      <c r="D665" s="13" t="s">
        <v>55</v>
      </c>
      <c r="E665" s="2">
        <v>450732745</v>
      </c>
      <c r="F665" s="2">
        <v>7680687483</v>
      </c>
      <c r="G665" s="2">
        <v>2633</v>
      </c>
      <c r="H665" s="2">
        <v>408</v>
      </c>
      <c r="I665" s="2">
        <v>3041</v>
      </c>
      <c r="J665" s="2">
        <v>2909</v>
      </c>
      <c r="K665" s="2">
        <v>5950</v>
      </c>
      <c r="L665" s="2">
        <v>394</v>
      </c>
      <c r="M665" s="2">
        <v>510</v>
      </c>
      <c r="N665" s="2">
        <v>135</v>
      </c>
      <c r="O665" s="2">
        <v>449</v>
      </c>
      <c r="P665" s="2">
        <v>6534</v>
      </c>
      <c r="Q665" s="2">
        <v>18054</v>
      </c>
      <c r="R665" s="13" t="s">
        <v>91</v>
      </c>
      <c r="S665" s="13" t="s">
        <v>92</v>
      </c>
    </row>
    <row r="666" spans="1:19" hidden="1" x14ac:dyDescent="0.3">
      <c r="A666" s="14">
        <v>43916.708333333336</v>
      </c>
      <c r="B666" s="13" t="s">
        <v>23</v>
      </c>
      <c r="C666" s="2">
        <v>16</v>
      </c>
      <c r="D666" s="13" t="s">
        <v>56</v>
      </c>
      <c r="E666" s="2">
        <v>4112559576</v>
      </c>
      <c r="F666" s="2">
        <v>1686736689</v>
      </c>
      <c r="G666" s="2">
        <v>480</v>
      </c>
      <c r="H666" s="2">
        <v>76</v>
      </c>
      <c r="I666" s="2">
        <v>556</v>
      </c>
      <c r="J666" s="2">
        <v>539</v>
      </c>
      <c r="K666" s="2">
        <v>1095</v>
      </c>
      <c r="L666" s="2">
        <v>72</v>
      </c>
      <c r="M666" s="2">
        <v>89</v>
      </c>
      <c r="N666" s="2">
        <v>22</v>
      </c>
      <c r="O666" s="2">
        <v>65</v>
      </c>
      <c r="P666" s="2">
        <v>1182</v>
      </c>
      <c r="Q666" s="2">
        <v>9191</v>
      </c>
      <c r="R666" s="13" t="s">
        <v>27</v>
      </c>
      <c r="S666" s="13" t="s">
        <v>27</v>
      </c>
    </row>
    <row r="667" spans="1:19" hidden="1" x14ac:dyDescent="0.3">
      <c r="A667" s="14">
        <v>43916.708333333336</v>
      </c>
      <c r="B667" s="13" t="s">
        <v>23</v>
      </c>
      <c r="C667" s="2">
        <v>20</v>
      </c>
      <c r="D667" s="13" t="s">
        <v>57</v>
      </c>
      <c r="E667" s="2">
        <v>3921531192</v>
      </c>
      <c r="F667" s="2">
        <v>9110616306</v>
      </c>
      <c r="G667" s="2">
        <v>92</v>
      </c>
      <c r="H667" s="2">
        <v>20</v>
      </c>
      <c r="I667" s="2">
        <v>112</v>
      </c>
      <c r="J667" s="2">
        <v>350</v>
      </c>
      <c r="K667" s="2">
        <v>462</v>
      </c>
      <c r="L667" s="2">
        <v>50</v>
      </c>
      <c r="M667" s="2">
        <v>52</v>
      </c>
      <c r="N667" s="2">
        <v>13</v>
      </c>
      <c r="O667" s="2">
        <v>19</v>
      </c>
      <c r="P667" s="2">
        <v>494</v>
      </c>
      <c r="Q667" s="2">
        <v>3461</v>
      </c>
      <c r="R667" s="13" t="s">
        <v>27</v>
      </c>
      <c r="S667" s="13" t="s">
        <v>27</v>
      </c>
    </row>
    <row r="668" spans="1:19" hidden="1" x14ac:dyDescent="0.3">
      <c r="A668" s="14">
        <v>43916.708333333336</v>
      </c>
      <c r="B668" s="13" t="s">
        <v>23</v>
      </c>
      <c r="C668" s="2">
        <v>19</v>
      </c>
      <c r="D668" s="13" t="s">
        <v>58</v>
      </c>
      <c r="E668" s="2">
        <v>3811569725</v>
      </c>
      <c r="F668" s="2">
        <v>133623567</v>
      </c>
      <c r="G668" s="2">
        <v>346</v>
      </c>
      <c r="H668" s="2">
        <v>68</v>
      </c>
      <c r="I668" s="2">
        <v>414</v>
      </c>
      <c r="J668" s="2">
        <v>681</v>
      </c>
      <c r="K668" s="2">
        <v>1095</v>
      </c>
      <c r="L668" s="2">
        <v>159</v>
      </c>
      <c r="M668" s="2">
        <v>170</v>
      </c>
      <c r="N668" s="2">
        <v>36</v>
      </c>
      <c r="O668" s="2">
        <v>33</v>
      </c>
      <c r="P668" s="2">
        <v>1164</v>
      </c>
      <c r="Q668" s="2">
        <v>9658</v>
      </c>
      <c r="R668" s="13" t="s">
        <v>27</v>
      </c>
      <c r="S668" s="13" t="s">
        <v>27</v>
      </c>
    </row>
    <row r="669" spans="1:19" hidden="1" x14ac:dyDescent="0.3">
      <c r="A669" s="14">
        <v>43916.708333333336</v>
      </c>
      <c r="B669" s="13" t="s">
        <v>23</v>
      </c>
      <c r="C669" s="2">
        <v>9</v>
      </c>
      <c r="D669" s="13" t="s">
        <v>59</v>
      </c>
      <c r="E669" s="2">
        <v>4376923077</v>
      </c>
      <c r="F669" s="2">
        <v>1125588885</v>
      </c>
      <c r="G669" s="2">
        <v>1037</v>
      </c>
      <c r="H669" s="2">
        <v>259</v>
      </c>
      <c r="I669" s="2">
        <v>1296</v>
      </c>
      <c r="J669" s="2">
        <v>1677</v>
      </c>
      <c r="K669" s="2">
        <v>2973</v>
      </c>
      <c r="L669" s="2">
        <v>197</v>
      </c>
      <c r="M669" s="2">
        <v>254</v>
      </c>
      <c r="N669" s="2">
        <v>95</v>
      </c>
      <c r="O669" s="2">
        <v>158</v>
      </c>
      <c r="P669" s="2">
        <v>3226</v>
      </c>
      <c r="Q669" s="2">
        <v>20952</v>
      </c>
      <c r="R669" s="13" t="s">
        <v>27</v>
      </c>
      <c r="S669" s="13" t="s">
        <v>27</v>
      </c>
    </row>
    <row r="670" spans="1:19" hidden="1" x14ac:dyDescent="0.3">
      <c r="A670" s="14">
        <v>43916.708333333336</v>
      </c>
      <c r="B670" s="13" t="s">
        <v>23</v>
      </c>
      <c r="C670" s="2">
        <v>4</v>
      </c>
      <c r="D670" s="13" t="s">
        <v>60</v>
      </c>
      <c r="E670" s="2">
        <v>4606893511</v>
      </c>
      <c r="F670" s="2">
        <v>1112123097</v>
      </c>
      <c r="G670" s="2">
        <v>300</v>
      </c>
      <c r="H670" s="2">
        <v>66</v>
      </c>
      <c r="I670" s="2">
        <v>366</v>
      </c>
      <c r="J670" s="2">
        <v>728</v>
      </c>
      <c r="K670" s="2">
        <v>1094</v>
      </c>
      <c r="L670" s="2">
        <v>36</v>
      </c>
      <c r="M670" s="2">
        <v>75</v>
      </c>
      <c r="N670" s="2">
        <v>117</v>
      </c>
      <c r="O670" s="2">
        <v>86</v>
      </c>
      <c r="P670" s="2">
        <v>1297</v>
      </c>
      <c r="Q670" s="2">
        <v>4600</v>
      </c>
      <c r="R670" s="13" t="s">
        <v>27</v>
      </c>
      <c r="S670" s="13" t="s">
        <v>27</v>
      </c>
    </row>
    <row r="671" spans="1:19" hidden="1" x14ac:dyDescent="0.3">
      <c r="A671" s="14">
        <v>43916.708333333336</v>
      </c>
      <c r="B671" s="13" t="s">
        <v>23</v>
      </c>
      <c r="C671" s="2">
        <v>10</v>
      </c>
      <c r="D671" s="13" t="s">
        <v>61</v>
      </c>
      <c r="E671" s="2">
        <v>4310675841</v>
      </c>
      <c r="F671" s="2">
        <v>1238824698</v>
      </c>
      <c r="G671" s="2">
        <v>144</v>
      </c>
      <c r="H671" s="2">
        <v>46</v>
      </c>
      <c r="I671" s="2">
        <v>190</v>
      </c>
      <c r="J671" s="2">
        <v>580</v>
      </c>
      <c r="K671" s="2">
        <v>770</v>
      </c>
      <c r="L671" s="2">
        <v>84</v>
      </c>
      <c r="M671" s="2">
        <v>92</v>
      </c>
      <c r="N671" s="2">
        <v>12</v>
      </c>
      <c r="O671" s="2">
        <v>20</v>
      </c>
      <c r="P671" s="2">
        <v>802</v>
      </c>
      <c r="Q671" s="2">
        <v>5428</v>
      </c>
      <c r="R671" s="13" t="s">
        <v>27</v>
      </c>
      <c r="S671" s="13" t="s">
        <v>27</v>
      </c>
    </row>
    <row r="672" spans="1:19" hidden="1" x14ac:dyDescent="0.3">
      <c r="A672" s="14">
        <v>43916.708333333336</v>
      </c>
      <c r="B672" s="13" t="s">
        <v>23</v>
      </c>
      <c r="C672" s="2">
        <v>2</v>
      </c>
      <c r="D672" s="13" t="s">
        <v>62</v>
      </c>
      <c r="E672" s="2">
        <v>4573750286</v>
      </c>
      <c r="F672" s="2">
        <v>7320149366</v>
      </c>
      <c r="G672" s="2">
        <v>73</v>
      </c>
      <c r="H672" s="2">
        <v>24</v>
      </c>
      <c r="I672" s="2">
        <v>97</v>
      </c>
      <c r="J672" s="2">
        <v>281</v>
      </c>
      <c r="K672" s="2">
        <v>378</v>
      </c>
      <c r="L672" s="2">
        <v>3</v>
      </c>
      <c r="M672" s="2">
        <v>7</v>
      </c>
      <c r="N672" s="2">
        <v>2</v>
      </c>
      <c r="O672" s="2">
        <v>28</v>
      </c>
      <c r="P672" s="2">
        <v>408</v>
      </c>
      <c r="Q672" s="2">
        <v>1203</v>
      </c>
      <c r="R672" s="13" t="s">
        <v>27</v>
      </c>
      <c r="S672" s="13" t="s">
        <v>27</v>
      </c>
    </row>
    <row r="673" spans="1:19" hidden="1" x14ac:dyDescent="0.3">
      <c r="A673" s="14">
        <v>43916.708333333336</v>
      </c>
      <c r="B673" s="13" t="s">
        <v>23</v>
      </c>
      <c r="C673" s="2">
        <v>5</v>
      </c>
      <c r="D673" s="13" t="s">
        <v>63</v>
      </c>
      <c r="E673" s="2">
        <v>4543490485</v>
      </c>
      <c r="F673" s="2">
        <v>1233845213</v>
      </c>
      <c r="G673" s="2">
        <v>1447</v>
      </c>
      <c r="H673" s="2">
        <v>326</v>
      </c>
      <c r="I673" s="2">
        <v>1773</v>
      </c>
      <c r="J673" s="2">
        <v>4367</v>
      </c>
      <c r="K673" s="2">
        <v>6140</v>
      </c>
      <c r="L673" s="2">
        <v>395</v>
      </c>
      <c r="M673" s="2">
        <v>493</v>
      </c>
      <c r="N673" s="2">
        <v>508</v>
      </c>
      <c r="O673" s="2">
        <v>287</v>
      </c>
      <c r="P673" s="2">
        <v>6935</v>
      </c>
      <c r="Q673" s="2">
        <v>79759</v>
      </c>
      <c r="R673" s="13" t="s">
        <v>27</v>
      </c>
      <c r="S673" s="13" t="s">
        <v>27</v>
      </c>
    </row>
    <row r="674" spans="1:19" hidden="1" x14ac:dyDescent="0.3">
      <c r="A674" s="14">
        <v>43917.708333333336</v>
      </c>
      <c r="B674" s="13" t="s">
        <v>23</v>
      </c>
      <c r="C674" s="2">
        <v>13</v>
      </c>
      <c r="D674" s="13" t="s">
        <v>44</v>
      </c>
      <c r="E674" s="2">
        <v>4235122196</v>
      </c>
      <c r="F674" s="2">
        <v>1339843823</v>
      </c>
      <c r="G674" s="2">
        <v>289</v>
      </c>
      <c r="H674" s="2">
        <v>71</v>
      </c>
      <c r="I674" s="2">
        <v>360</v>
      </c>
      <c r="J674" s="2">
        <v>565</v>
      </c>
      <c r="K674" s="2">
        <v>925</v>
      </c>
      <c r="L674" s="2">
        <v>65</v>
      </c>
      <c r="M674" s="2">
        <v>71</v>
      </c>
      <c r="N674" s="2">
        <v>24</v>
      </c>
      <c r="O674" s="2">
        <v>68</v>
      </c>
      <c r="P674" s="2">
        <v>1017</v>
      </c>
      <c r="Q674" s="2">
        <v>6109</v>
      </c>
      <c r="R674" s="13" t="s">
        <v>27</v>
      </c>
      <c r="S674" s="13" t="s">
        <v>27</v>
      </c>
    </row>
    <row r="675" spans="1:19" hidden="1" x14ac:dyDescent="0.3">
      <c r="A675" s="14">
        <v>43917.708333333336</v>
      </c>
      <c r="B675" s="13" t="s">
        <v>23</v>
      </c>
      <c r="C675" s="2">
        <v>17</v>
      </c>
      <c r="D675" s="13" t="s">
        <v>45</v>
      </c>
      <c r="E675" s="2">
        <v>4063947052</v>
      </c>
      <c r="F675" s="2">
        <v>1580514834</v>
      </c>
      <c r="G675" s="2">
        <v>22</v>
      </c>
      <c r="H675" s="2">
        <v>15</v>
      </c>
      <c r="I675" s="2">
        <v>37</v>
      </c>
      <c r="J675" s="2">
        <v>110</v>
      </c>
      <c r="K675" s="2">
        <v>147</v>
      </c>
      <c r="L675" s="2">
        <v>14</v>
      </c>
      <c r="M675" s="2">
        <v>17</v>
      </c>
      <c r="N675" s="2">
        <v>1</v>
      </c>
      <c r="O675" s="2">
        <v>3</v>
      </c>
      <c r="P675" s="2">
        <v>151</v>
      </c>
      <c r="Q675" s="2">
        <v>1254</v>
      </c>
      <c r="R675" s="13" t="s">
        <v>27</v>
      </c>
      <c r="S675" s="13" t="s">
        <v>27</v>
      </c>
    </row>
    <row r="676" spans="1:19" hidden="1" x14ac:dyDescent="0.3">
      <c r="A676" s="14">
        <v>43917.708333333336</v>
      </c>
      <c r="B676" s="13" t="s">
        <v>23</v>
      </c>
      <c r="C676" s="2">
        <v>4</v>
      </c>
      <c r="D676" s="13" t="s">
        <v>46</v>
      </c>
      <c r="E676" s="2">
        <v>4649933453</v>
      </c>
      <c r="F676" s="2">
        <v>1135662422</v>
      </c>
      <c r="G676" s="2">
        <v>249</v>
      </c>
      <c r="H676" s="2">
        <v>45</v>
      </c>
      <c r="I676" s="2">
        <v>294</v>
      </c>
      <c r="J676" s="2">
        <v>539</v>
      </c>
      <c r="K676" s="2">
        <v>833</v>
      </c>
      <c r="L676" s="2">
        <v>42</v>
      </c>
      <c r="M676" s="2">
        <v>97</v>
      </c>
      <c r="N676" s="2">
        <v>110</v>
      </c>
      <c r="O676" s="2">
        <v>60</v>
      </c>
      <c r="P676" s="2">
        <v>1003</v>
      </c>
      <c r="Q676" s="2">
        <v>8520</v>
      </c>
      <c r="R676" s="13" t="s">
        <v>27</v>
      </c>
      <c r="S676" s="13" t="s">
        <v>27</v>
      </c>
    </row>
    <row r="677" spans="1:19" hidden="1" x14ac:dyDescent="0.3">
      <c r="A677" s="14">
        <v>43917.708333333336</v>
      </c>
      <c r="B677" s="13" t="s">
        <v>23</v>
      </c>
      <c r="C677" s="2">
        <v>18</v>
      </c>
      <c r="D677" s="13" t="s">
        <v>47</v>
      </c>
      <c r="E677" s="2">
        <v>3890597598</v>
      </c>
      <c r="F677" s="2">
        <v>1659440194</v>
      </c>
      <c r="G677" s="2">
        <v>103</v>
      </c>
      <c r="H677" s="2">
        <v>22</v>
      </c>
      <c r="I677" s="2">
        <v>125</v>
      </c>
      <c r="J677" s="2">
        <v>344</v>
      </c>
      <c r="K677" s="2">
        <v>469</v>
      </c>
      <c r="L677" s="2">
        <v>97</v>
      </c>
      <c r="M677" s="2">
        <v>101</v>
      </c>
      <c r="N677" s="2">
        <v>7</v>
      </c>
      <c r="O677" s="2">
        <v>18</v>
      </c>
      <c r="P677" s="2">
        <v>494</v>
      </c>
      <c r="Q677" s="2">
        <v>6901</v>
      </c>
      <c r="R677" s="13" t="s">
        <v>27</v>
      </c>
      <c r="S677" s="13" t="s">
        <v>27</v>
      </c>
    </row>
    <row r="678" spans="1:19" hidden="1" x14ac:dyDescent="0.3">
      <c r="A678" s="14">
        <v>43917.708333333336</v>
      </c>
      <c r="B678" s="13" t="s">
        <v>23</v>
      </c>
      <c r="C678" s="2">
        <v>15</v>
      </c>
      <c r="D678" s="13" t="s">
        <v>48</v>
      </c>
      <c r="E678" s="2">
        <v>4083956555</v>
      </c>
      <c r="F678" s="2">
        <v>1425084984</v>
      </c>
      <c r="G678" s="2">
        <v>456</v>
      </c>
      <c r="H678" s="2">
        <v>113</v>
      </c>
      <c r="I678" s="2">
        <v>569</v>
      </c>
      <c r="J678" s="2">
        <v>723</v>
      </c>
      <c r="K678" s="2">
        <v>1292</v>
      </c>
      <c r="L678" s="2">
        <v>123</v>
      </c>
      <c r="M678" s="2">
        <v>144</v>
      </c>
      <c r="N678" s="2">
        <v>64</v>
      </c>
      <c r="O678" s="2">
        <v>98</v>
      </c>
      <c r="P678" s="2">
        <v>1454</v>
      </c>
      <c r="Q678" s="2">
        <v>9613</v>
      </c>
      <c r="R678" s="13" t="s">
        <v>27</v>
      </c>
      <c r="S678" s="13" t="s">
        <v>27</v>
      </c>
    </row>
    <row r="679" spans="1:19" hidden="1" x14ac:dyDescent="0.3">
      <c r="A679" s="14">
        <v>43917.708333333336</v>
      </c>
      <c r="B679" s="13" t="s">
        <v>23</v>
      </c>
      <c r="C679" s="2">
        <v>8</v>
      </c>
      <c r="D679" s="13" t="s">
        <v>98</v>
      </c>
      <c r="E679" s="2">
        <v>4449436681</v>
      </c>
      <c r="F679" s="2">
        <v>113417208</v>
      </c>
      <c r="G679" s="2">
        <v>3461</v>
      </c>
      <c r="H679" s="2">
        <v>308</v>
      </c>
      <c r="I679" s="2">
        <v>3769</v>
      </c>
      <c r="J679" s="2">
        <v>5592</v>
      </c>
      <c r="K679" s="2">
        <v>9361</v>
      </c>
      <c r="L679" s="2">
        <v>511</v>
      </c>
      <c r="M679" s="2">
        <v>772</v>
      </c>
      <c r="N679" s="2">
        <v>960</v>
      </c>
      <c r="O679" s="2">
        <v>1267</v>
      </c>
      <c r="P679" s="2">
        <v>11588</v>
      </c>
      <c r="Q679" s="2">
        <v>47798</v>
      </c>
      <c r="R679" s="13" t="s">
        <v>27</v>
      </c>
      <c r="S679" s="13" t="s">
        <v>27</v>
      </c>
    </row>
    <row r="680" spans="1:19" hidden="1" x14ac:dyDescent="0.3">
      <c r="A680" s="14">
        <v>43917.708333333336</v>
      </c>
      <c r="B680" s="13" t="s">
        <v>23</v>
      </c>
      <c r="C680" s="2">
        <v>6</v>
      </c>
      <c r="D680" s="13" t="s">
        <v>49</v>
      </c>
      <c r="E680" s="2">
        <v>456494354</v>
      </c>
      <c r="F680" s="2">
        <v>1376813649</v>
      </c>
      <c r="G680" s="2">
        <v>222</v>
      </c>
      <c r="H680" s="2">
        <v>57</v>
      </c>
      <c r="I680" s="2">
        <v>279</v>
      </c>
      <c r="J680" s="2">
        <v>748</v>
      </c>
      <c r="K680" s="2">
        <v>1027</v>
      </c>
      <c r="L680" s="2">
        <v>73</v>
      </c>
      <c r="M680" s="2">
        <v>94</v>
      </c>
      <c r="N680" s="2">
        <v>214</v>
      </c>
      <c r="O680" s="2">
        <v>76</v>
      </c>
      <c r="P680" s="2">
        <v>1317</v>
      </c>
      <c r="Q680" s="2">
        <v>11841</v>
      </c>
      <c r="R680" s="13" t="s">
        <v>27</v>
      </c>
      <c r="S680" s="13" t="s">
        <v>27</v>
      </c>
    </row>
    <row r="681" spans="1:19" hidden="1" x14ac:dyDescent="0.3">
      <c r="A681" s="14">
        <v>43917.708333333336</v>
      </c>
      <c r="B681" s="13" t="s">
        <v>23</v>
      </c>
      <c r="C681" s="2">
        <v>12</v>
      </c>
      <c r="D681" s="13" t="s">
        <v>50</v>
      </c>
      <c r="E681" s="2">
        <v>4189277044</v>
      </c>
      <c r="F681" s="2">
        <v>1248366722</v>
      </c>
      <c r="G681" s="2">
        <v>992</v>
      </c>
      <c r="H681" s="2">
        <v>126</v>
      </c>
      <c r="I681" s="2">
        <v>1118</v>
      </c>
      <c r="J681" s="2">
        <v>895</v>
      </c>
      <c r="K681" s="2">
        <v>2013</v>
      </c>
      <c r="L681" s="2">
        <v>178</v>
      </c>
      <c r="M681" s="2">
        <v>199</v>
      </c>
      <c r="N681" s="2">
        <v>164</v>
      </c>
      <c r="O681" s="2">
        <v>118</v>
      </c>
      <c r="P681" s="2">
        <v>2295</v>
      </c>
      <c r="Q681" s="2">
        <v>24106</v>
      </c>
      <c r="R681" s="13" t="s">
        <v>27</v>
      </c>
      <c r="S681" s="13" t="s">
        <v>27</v>
      </c>
    </row>
    <row r="682" spans="1:19" hidden="1" x14ac:dyDescent="0.3">
      <c r="A682" s="14">
        <v>43917.708333333336</v>
      </c>
      <c r="B682" s="13" t="s">
        <v>23</v>
      </c>
      <c r="C682" s="2">
        <v>7</v>
      </c>
      <c r="D682" s="13" t="s">
        <v>51</v>
      </c>
      <c r="E682" s="2">
        <v>4441149315</v>
      </c>
      <c r="F682" s="2">
        <v>89326992</v>
      </c>
      <c r="G682" s="2">
        <v>1023</v>
      </c>
      <c r="H682" s="2">
        <v>157</v>
      </c>
      <c r="I682" s="2">
        <v>1180</v>
      </c>
      <c r="J682" s="2">
        <v>880</v>
      </c>
      <c r="K682" s="2">
        <v>2060</v>
      </c>
      <c r="L682" s="2">
        <v>33</v>
      </c>
      <c r="M682" s="2">
        <v>129</v>
      </c>
      <c r="N682" s="2">
        <v>305</v>
      </c>
      <c r="O682" s="2">
        <v>331</v>
      </c>
      <c r="P682" s="2">
        <v>2696</v>
      </c>
      <c r="Q682" s="2">
        <v>7804</v>
      </c>
      <c r="R682" s="13" t="s">
        <v>27</v>
      </c>
      <c r="S682" s="13" t="s">
        <v>27</v>
      </c>
    </row>
    <row r="683" spans="1:19" x14ac:dyDescent="0.3">
      <c r="A683" s="14">
        <v>43917.708333333336</v>
      </c>
      <c r="B683" s="13" t="s">
        <v>23</v>
      </c>
      <c r="C683" s="2">
        <v>3</v>
      </c>
      <c r="D683" s="13" t="s">
        <v>52</v>
      </c>
      <c r="E683" s="2">
        <v>4546679409</v>
      </c>
      <c r="F683" s="2">
        <v>9190347404</v>
      </c>
      <c r="G683" s="2">
        <v>11137</v>
      </c>
      <c r="H683" s="2">
        <v>1292</v>
      </c>
      <c r="I683" s="2">
        <v>12429</v>
      </c>
      <c r="J683" s="2">
        <v>11466</v>
      </c>
      <c r="K683" s="2">
        <v>23895</v>
      </c>
      <c r="L683" s="2">
        <v>1706</v>
      </c>
      <c r="M683" s="2">
        <v>2409</v>
      </c>
      <c r="N683" s="2">
        <v>8001</v>
      </c>
      <c r="O683" s="2">
        <v>5402</v>
      </c>
      <c r="P683" s="2">
        <v>37298</v>
      </c>
      <c r="Q683" s="2">
        <v>95860</v>
      </c>
      <c r="R683" s="13" t="s">
        <v>27</v>
      </c>
      <c r="S683" s="13" t="s">
        <v>27</v>
      </c>
    </row>
    <row r="684" spans="1:19" hidden="1" x14ac:dyDescent="0.3">
      <c r="A684" s="14">
        <v>43917.708333333336</v>
      </c>
      <c r="B684" s="13" t="s">
        <v>23</v>
      </c>
      <c r="C684" s="2">
        <v>11</v>
      </c>
      <c r="D684" s="13" t="s">
        <v>53</v>
      </c>
      <c r="E684" s="2">
        <v>4361675973</v>
      </c>
      <c r="F684" s="2">
        <v>135188753</v>
      </c>
      <c r="G684" s="2">
        <v>979</v>
      </c>
      <c r="H684" s="2">
        <v>162</v>
      </c>
      <c r="I684" s="2">
        <v>1141</v>
      </c>
      <c r="J684" s="2">
        <v>1709</v>
      </c>
      <c r="K684" s="2">
        <v>2850</v>
      </c>
      <c r="L684" s="2">
        <v>55</v>
      </c>
      <c r="M684" s="2">
        <v>82</v>
      </c>
      <c r="N684" s="2">
        <v>10</v>
      </c>
      <c r="O684" s="2">
        <v>336</v>
      </c>
      <c r="P684" s="2">
        <v>3196</v>
      </c>
      <c r="Q684" s="2">
        <v>9060</v>
      </c>
      <c r="R684" s="13" t="s">
        <v>27</v>
      </c>
      <c r="S684" s="13" t="s">
        <v>27</v>
      </c>
    </row>
    <row r="685" spans="1:19" hidden="1" x14ac:dyDescent="0.3">
      <c r="A685" s="14">
        <v>43917.708333333336</v>
      </c>
      <c r="B685" s="13" t="s">
        <v>23</v>
      </c>
      <c r="C685" s="2">
        <v>14</v>
      </c>
      <c r="D685" s="13" t="s">
        <v>54</v>
      </c>
      <c r="E685" s="2">
        <v>4155774754</v>
      </c>
      <c r="F685" s="2">
        <v>1465916051</v>
      </c>
      <c r="G685" s="2">
        <v>26</v>
      </c>
      <c r="H685" s="2">
        <v>9</v>
      </c>
      <c r="I685" s="2">
        <v>35</v>
      </c>
      <c r="J685" s="2">
        <v>51</v>
      </c>
      <c r="K685" s="2">
        <v>86</v>
      </c>
      <c r="L685" s="2">
        <v>5</v>
      </c>
      <c r="M685" s="2">
        <v>6</v>
      </c>
      <c r="N685" s="2">
        <v>14</v>
      </c>
      <c r="O685" s="2">
        <v>9</v>
      </c>
      <c r="P685" s="2">
        <v>109</v>
      </c>
      <c r="Q685" s="2">
        <v>710</v>
      </c>
      <c r="R685" s="13" t="s">
        <v>27</v>
      </c>
      <c r="S685" s="13" t="s">
        <v>27</v>
      </c>
    </row>
    <row r="686" spans="1:19" hidden="1" x14ac:dyDescent="0.3">
      <c r="A686" s="14">
        <v>43917.708333333336</v>
      </c>
      <c r="B686" s="13" t="s">
        <v>23</v>
      </c>
      <c r="C686" s="2">
        <v>1</v>
      </c>
      <c r="D686" s="13" t="s">
        <v>55</v>
      </c>
      <c r="E686" s="2">
        <v>450732745</v>
      </c>
      <c r="F686" s="2">
        <v>7680687483</v>
      </c>
      <c r="G686" s="2">
        <v>2852</v>
      </c>
      <c r="H686" s="2">
        <v>431</v>
      </c>
      <c r="I686" s="2">
        <v>3283</v>
      </c>
      <c r="J686" s="2">
        <v>3064</v>
      </c>
      <c r="K686" s="2">
        <v>6347</v>
      </c>
      <c r="L686" s="2">
        <v>397</v>
      </c>
      <c r="M686" s="2">
        <v>558</v>
      </c>
      <c r="N686" s="2">
        <v>176</v>
      </c>
      <c r="O686" s="2">
        <v>569</v>
      </c>
      <c r="P686" s="2">
        <v>7092</v>
      </c>
      <c r="Q686" s="2">
        <v>19705</v>
      </c>
      <c r="R686" s="13" t="s">
        <v>27</v>
      </c>
      <c r="S686" s="13" t="s">
        <v>27</v>
      </c>
    </row>
    <row r="687" spans="1:19" hidden="1" x14ac:dyDescent="0.3">
      <c r="A687" s="14">
        <v>43917.708333333336</v>
      </c>
      <c r="B687" s="13" t="s">
        <v>23</v>
      </c>
      <c r="C687" s="2">
        <v>16</v>
      </c>
      <c r="D687" s="13" t="s">
        <v>56</v>
      </c>
      <c r="E687" s="2">
        <v>4112559576</v>
      </c>
      <c r="F687" s="2">
        <v>1686736689</v>
      </c>
      <c r="G687" s="2">
        <v>530</v>
      </c>
      <c r="H687" s="2">
        <v>82</v>
      </c>
      <c r="I687" s="2">
        <v>612</v>
      </c>
      <c r="J687" s="2">
        <v>624</v>
      </c>
      <c r="K687" s="2">
        <v>1236</v>
      </c>
      <c r="L687" s="2">
        <v>141</v>
      </c>
      <c r="M687" s="2">
        <v>152</v>
      </c>
      <c r="N687" s="2">
        <v>29</v>
      </c>
      <c r="O687" s="2">
        <v>69</v>
      </c>
      <c r="P687" s="2">
        <v>1334</v>
      </c>
      <c r="Q687" s="2">
        <v>10233</v>
      </c>
      <c r="R687" s="13" t="s">
        <v>27</v>
      </c>
      <c r="S687" s="13" t="s">
        <v>27</v>
      </c>
    </row>
    <row r="688" spans="1:19" hidden="1" x14ac:dyDescent="0.3">
      <c r="A688" s="14">
        <v>43917.708333333336</v>
      </c>
      <c r="B688" s="13" t="s">
        <v>23</v>
      </c>
      <c r="C688" s="2">
        <v>20</v>
      </c>
      <c r="D688" s="13" t="s">
        <v>57</v>
      </c>
      <c r="E688" s="2">
        <v>3921531192</v>
      </c>
      <c r="F688" s="2">
        <v>9110616306</v>
      </c>
      <c r="G688" s="2">
        <v>93</v>
      </c>
      <c r="H688" s="2">
        <v>19</v>
      </c>
      <c r="I688" s="2">
        <v>112</v>
      </c>
      <c r="J688" s="2">
        <v>384</v>
      </c>
      <c r="K688" s="2">
        <v>496</v>
      </c>
      <c r="L688" s="2">
        <v>34</v>
      </c>
      <c r="M688" s="2">
        <v>36</v>
      </c>
      <c r="N688" s="2">
        <v>13</v>
      </c>
      <c r="O688" s="2">
        <v>21</v>
      </c>
      <c r="P688" s="2">
        <v>530</v>
      </c>
      <c r="Q688" s="2">
        <v>3801</v>
      </c>
      <c r="R688" s="13" t="s">
        <v>27</v>
      </c>
      <c r="S688" s="13" t="s">
        <v>27</v>
      </c>
    </row>
    <row r="689" spans="1:19" hidden="1" x14ac:dyDescent="0.3">
      <c r="A689" s="14">
        <v>43917.708333333336</v>
      </c>
      <c r="B689" s="13" t="s">
        <v>23</v>
      </c>
      <c r="C689" s="2">
        <v>19</v>
      </c>
      <c r="D689" s="13" t="s">
        <v>58</v>
      </c>
      <c r="E689" s="2">
        <v>3811569725</v>
      </c>
      <c r="F689" s="2">
        <v>133623567</v>
      </c>
      <c r="G689" s="2">
        <v>425</v>
      </c>
      <c r="H689" s="2">
        <v>75</v>
      </c>
      <c r="I689" s="2">
        <v>500</v>
      </c>
      <c r="J689" s="2">
        <v>658</v>
      </c>
      <c r="K689" s="2">
        <v>1158</v>
      </c>
      <c r="L689" s="2">
        <v>63</v>
      </c>
      <c r="M689" s="2">
        <v>86</v>
      </c>
      <c r="N689" s="2">
        <v>53</v>
      </c>
      <c r="O689" s="2">
        <v>39</v>
      </c>
      <c r="P689" s="2">
        <v>1250</v>
      </c>
      <c r="Q689" s="2">
        <v>11079</v>
      </c>
      <c r="R689" s="13" t="s">
        <v>27</v>
      </c>
      <c r="S689" s="13" t="s">
        <v>27</v>
      </c>
    </row>
    <row r="690" spans="1:19" hidden="1" x14ac:dyDescent="0.3">
      <c r="A690" s="14">
        <v>43917.708333333336</v>
      </c>
      <c r="B690" s="13" t="s">
        <v>23</v>
      </c>
      <c r="C690" s="2">
        <v>9</v>
      </c>
      <c r="D690" s="13" t="s">
        <v>59</v>
      </c>
      <c r="E690" s="2">
        <v>4376923077</v>
      </c>
      <c r="F690" s="2">
        <v>1125588885</v>
      </c>
      <c r="G690" s="2">
        <v>1053</v>
      </c>
      <c r="H690" s="2">
        <v>274</v>
      </c>
      <c r="I690" s="2">
        <v>1327</v>
      </c>
      <c r="J690" s="2">
        <v>1843</v>
      </c>
      <c r="K690" s="2">
        <v>3170</v>
      </c>
      <c r="L690" s="2">
        <v>197</v>
      </c>
      <c r="M690" s="2">
        <v>224</v>
      </c>
      <c r="N690" s="2">
        <v>103</v>
      </c>
      <c r="O690" s="2">
        <v>177</v>
      </c>
      <c r="P690" s="2">
        <v>3450</v>
      </c>
      <c r="Q690" s="2">
        <v>23746</v>
      </c>
      <c r="R690" s="13" t="s">
        <v>27</v>
      </c>
      <c r="S690" s="13" t="s">
        <v>27</v>
      </c>
    </row>
    <row r="691" spans="1:19" hidden="1" x14ac:dyDescent="0.3">
      <c r="A691" s="14">
        <v>43917.708333333336</v>
      </c>
      <c r="B691" s="13" t="s">
        <v>23</v>
      </c>
      <c r="C691" s="2">
        <v>4</v>
      </c>
      <c r="D691" s="13" t="s">
        <v>60</v>
      </c>
      <c r="E691" s="2">
        <v>4606893511</v>
      </c>
      <c r="F691" s="2">
        <v>1112123097</v>
      </c>
      <c r="G691" s="2">
        <v>341</v>
      </c>
      <c r="H691" s="2">
        <v>66</v>
      </c>
      <c r="I691" s="2">
        <v>407</v>
      </c>
      <c r="J691" s="2">
        <v>757</v>
      </c>
      <c r="K691" s="2">
        <v>1164</v>
      </c>
      <c r="L691" s="2">
        <v>70</v>
      </c>
      <c r="M691" s="2">
        <v>94</v>
      </c>
      <c r="N691" s="2">
        <v>125</v>
      </c>
      <c r="O691" s="2">
        <v>102</v>
      </c>
      <c r="P691" s="2">
        <v>1391</v>
      </c>
      <c r="Q691" s="2">
        <v>4923</v>
      </c>
      <c r="R691" s="13" t="s">
        <v>27</v>
      </c>
      <c r="S691" s="13" t="s">
        <v>27</v>
      </c>
    </row>
    <row r="692" spans="1:19" hidden="1" x14ac:dyDescent="0.3">
      <c r="A692" s="14">
        <v>43917.708333333336</v>
      </c>
      <c r="B692" s="13" t="s">
        <v>23</v>
      </c>
      <c r="C692" s="2">
        <v>10</v>
      </c>
      <c r="D692" s="13" t="s">
        <v>61</v>
      </c>
      <c r="E692" s="2">
        <v>4310675841</v>
      </c>
      <c r="F692" s="2">
        <v>1238824698</v>
      </c>
      <c r="G692" s="2">
        <v>149</v>
      </c>
      <c r="H692" s="2">
        <v>46</v>
      </c>
      <c r="I692" s="2">
        <v>195</v>
      </c>
      <c r="J692" s="2">
        <v>629</v>
      </c>
      <c r="K692" s="2">
        <v>824</v>
      </c>
      <c r="L692" s="2">
        <v>54</v>
      </c>
      <c r="M692" s="2">
        <v>82</v>
      </c>
      <c r="N692" s="2">
        <v>39</v>
      </c>
      <c r="O692" s="2">
        <v>21</v>
      </c>
      <c r="P692" s="2">
        <v>884</v>
      </c>
      <c r="Q692" s="2">
        <v>6137</v>
      </c>
      <c r="R692" s="13" t="s">
        <v>27</v>
      </c>
      <c r="S692" s="13" t="s">
        <v>27</v>
      </c>
    </row>
    <row r="693" spans="1:19" hidden="1" x14ac:dyDescent="0.3">
      <c r="A693" s="14">
        <v>43917.708333333336</v>
      </c>
      <c r="B693" s="13" t="s">
        <v>23</v>
      </c>
      <c r="C693" s="2">
        <v>2</v>
      </c>
      <c r="D693" s="13" t="s">
        <v>62</v>
      </c>
      <c r="E693" s="2">
        <v>4573750286</v>
      </c>
      <c r="F693" s="2">
        <v>7320149366</v>
      </c>
      <c r="G693" s="2">
        <v>91</v>
      </c>
      <c r="H693" s="2">
        <v>24</v>
      </c>
      <c r="I693" s="2">
        <v>115</v>
      </c>
      <c r="J693" s="2">
        <v>298</v>
      </c>
      <c r="K693" s="2">
        <v>413</v>
      </c>
      <c r="L693" s="2">
        <v>35</v>
      </c>
      <c r="M693" s="2">
        <v>44</v>
      </c>
      <c r="N693" s="2">
        <v>2</v>
      </c>
      <c r="O693" s="2">
        <v>37</v>
      </c>
      <c r="P693" s="2">
        <v>452</v>
      </c>
      <c r="Q693" s="2">
        <v>1252</v>
      </c>
      <c r="R693" s="13" t="s">
        <v>27</v>
      </c>
      <c r="S693" s="13" t="s">
        <v>27</v>
      </c>
    </row>
    <row r="694" spans="1:19" hidden="1" x14ac:dyDescent="0.3">
      <c r="A694" s="14">
        <v>43917.708333333336</v>
      </c>
      <c r="B694" s="13" t="s">
        <v>23</v>
      </c>
      <c r="C694" s="2">
        <v>5</v>
      </c>
      <c r="D694" s="13" t="s">
        <v>63</v>
      </c>
      <c r="E694" s="2">
        <v>4543490485</v>
      </c>
      <c r="F694" s="2">
        <v>1233845213</v>
      </c>
      <c r="G694" s="2">
        <v>1536</v>
      </c>
      <c r="H694" s="2">
        <v>338</v>
      </c>
      <c r="I694" s="2">
        <v>1874</v>
      </c>
      <c r="J694" s="2">
        <v>4774</v>
      </c>
      <c r="K694" s="2">
        <v>6648</v>
      </c>
      <c r="L694" s="2">
        <v>508</v>
      </c>
      <c r="M694" s="2">
        <v>562</v>
      </c>
      <c r="N694" s="2">
        <v>536</v>
      </c>
      <c r="O694" s="2">
        <v>313</v>
      </c>
      <c r="P694" s="2">
        <v>7497</v>
      </c>
      <c r="Q694" s="2">
        <v>83627</v>
      </c>
      <c r="R694" s="13" t="s">
        <v>27</v>
      </c>
      <c r="S694" s="13" t="s">
        <v>27</v>
      </c>
    </row>
    <row r="695" spans="1:19" hidden="1" x14ac:dyDescent="0.3">
      <c r="A695" s="14">
        <v>43918.708333333336</v>
      </c>
      <c r="B695" s="13" t="s">
        <v>23</v>
      </c>
      <c r="C695" s="2">
        <v>13</v>
      </c>
      <c r="D695" s="13" t="s">
        <v>44</v>
      </c>
      <c r="E695" s="2">
        <v>4235122196</v>
      </c>
      <c r="F695" s="2">
        <v>1339843823</v>
      </c>
      <c r="G695" s="2">
        <v>311</v>
      </c>
      <c r="H695" s="2">
        <v>70</v>
      </c>
      <c r="I695" s="2">
        <v>381</v>
      </c>
      <c r="J695" s="2">
        <v>646</v>
      </c>
      <c r="K695" s="2">
        <v>1027</v>
      </c>
      <c r="L695" s="2">
        <v>102</v>
      </c>
      <c r="M695" s="2">
        <v>116</v>
      </c>
      <c r="N695" s="2">
        <v>30</v>
      </c>
      <c r="O695" s="2">
        <v>76</v>
      </c>
      <c r="P695" s="2">
        <v>1133</v>
      </c>
      <c r="Q695" s="2">
        <v>7003</v>
      </c>
      <c r="R695" s="13" t="s">
        <v>27</v>
      </c>
      <c r="S695" s="13" t="s">
        <v>27</v>
      </c>
    </row>
    <row r="696" spans="1:19" hidden="1" x14ac:dyDescent="0.3">
      <c r="A696" s="14">
        <v>43918.708333333336</v>
      </c>
      <c r="B696" s="13" t="s">
        <v>23</v>
      </c>
      <c r="C696" s="2">
        <v>17</v>
      </c>
      <c r="D696" s="13" t="s">
        <v>45</v>
      </c>
      <c r="E696" s="2">
        <v>4063947052</v>
      </c>
      <c r="F696" s="2">
        <v>1580514834</v>
      </c>
      <c r="G696" s="2">
        <v>26</v>
      </c>
      <c r="H696" s="2">
        <v>19</v>
      </c>
      <c r="I696" s="2">
        <v>45</v>
      </c>
      <c r="J696" s="2">
        <v>133</v>
      </c>
      <c r="K696" s="2">
        <v>178</v>
      </c>
      <c r="L696" s="2">
        <v>31</v>
      </c>
      <c r="M696" s="2">
        <v>31</v>
      </c>
      <c r="N696" s="2">
        <v>1</v>
      </c>
      <c r="O696" s="2">
        <v>3</v>
      </c>
      <c r="P696" s="2">
        <v>182</v>
      </c>
      <c r="Q696" s="2">
        <v>1421</v>
      </c>
      <c r="R696" s="13" t="s">
        <v>27</v>
      </c>
      <c r="S696" s="13" t="s">
        <v>27</v>
      </c>
    </row>
    <row r="697" spans="1:19" hidden="1" x14ac:dyDescent="0.3">
      <c r="A697" s="14">
        <v>43918.708333333336</v>
      </c>
      <c r="B697" s="13" t="s">
        <v>23</v>
      </c>
      <c r="C697" s="2">
        <v>4</v>
      </c>
      <c r="D697" s="13" t="s">
        <v>46</v>
      </c>
      <c r="E697" s="2">
        <v>4649933453</v>
      </c>
      <c r="F697" s="2">
        <v>1135662422</v>
      </c>
      <c r="G697" s="2">
        <v>225</v>
      </c>
      <c r="H697" s="2">
        <v>51</v>
      </c>
      <c r="I697" s="2">
        <v>276</v>
      </c>
      <c r="J697" s="2">
        <v>653</v>
      </c>
      <c r="K697" s="2">
        <v>929</v>
      </c>
      <c r="L697" s="2">
        <v>96</v>
      </c>
      <c r="M697" s="2">
        <v>106</v>
      </c>
      <c r="N697" s="2">
        <v>116</v>
      </c>
      <c r="O697" s="2">
        <v>64</v>
      </c>
      <c r="P697" s="2">
        <v>1109</v>
      </c>
      <c r="Q697" s="2">
        <v>9168</v>
      </c>
      <c r="R697" s="13" t="s">
        <v>27</v>
      </c>
      <c r="S697" s="13" t="s">
        <v>27</v>
      </c>
    </row>
    <row r="698" spans="1:19" hidden="1" x14ac:dyDescent="0.3">
      <c r="A698" s="14">
        <v>43918.708333333336</v>
      </c>
      <c r="B698" s="13" t="s">
        <v>23</v>
      </c>
      <c r="C698" s="2">
        <v>18</v>
      </c>
      <c r="D698" s="13" t="s">
        <v>47</v>
      </c>
      <c r="E698" s="2">
        <v>3890597598</v>
      </c>
      <c r="F698" s="2">
        <v>1659440194</v>
      </c>
      <c r="G698" s="2">
        <v>107</v>
      </c>
      <c r="H698" s="2">
        <v>22</v>
      </c>
      <c r="I698" s="2">
        <v>129</v>
      </c>
      <c r="J698" s="2">
        <v>394</v>
      </c>
      <c r="K698" s="2">
        <v>523</v>
      </c>
      <c r="L698" s="2">
        <v>54</v>
      </c>
      <c r="M698" s="2">
        <v>61</v>
      </c>
      <c r="N698" s="2">
        <v>11</v>
      </c>
      <c r="O698" s="2">
        <v>21</v>
      </c>
      <c r="P698" s="2">
        <v>555</v>
      </c>
      <c r="Q698" s="2">
        <v>7760</v>
      </c>
      <c r="R698" s="13" t="s">
        <v>27</v>
      </c>
      <c r="S698" s="13" t="s">
        <v>27</v>
      </c>
    </row>
    <row r="699" spans="1:19" hidden="1" x14ac:dyDescent="0.3">
      <c r="A699" s="14">
        <v>43918.708333333336</v>
      </c>
      <c r="B699" s="13" t="s">
        <v>23</v>
      </c>
      <c r="C699" s="2">
        <v>15</v>
      </c>
      <c r="D699" s="13" t="s">
        <v>48</v>
      </c>
      <c r="E699" s="2">
        <v>4083956555</v>
      </c>
      <c r="F699" s="2">
        <v>1425084984</v>
      </c>
      <c r="G699" s="2">
        <v>463</v>
      </c>
      <c r="H699" s="2">
        <v>132</v>
      </c>
      <c r="I699" s="2">
        <v>595</v>
      </c>
      <c r="J699" s="2">
        <v>812</v>
      </c>
      <c r="K699" s="2">
        <v>1407</v>
      </c>
      <c r="L699" s="2">
        <v>115</v>
      </c>
      <c r="M699" s="2">
        <v>138</v>
      </c>
      <c r="N699" s="2">
        <v>76</v>
      </c>
      <c r="O699" s="2">
        <v>109</v>
      </c>
      <c r="P699" s="2">
        <v>1592</v>
      </c>
      <c r="Q699" s="2">
        <v>10616</v>
      </c>
      <c r="R699" s="13" t="s">
        <v>27</v>
      </c>
      <c r="S699" s="13" t="s">
        <v>27</v>
      </c>
    </row>
    <row r="700" spans="1:19" hidden="1" x14ac:dyDescent="0.3">
      <c r="A700" s="14">
        <v>43918.708333333336</v>
      </c>
      <c r="B700" s="13" t="s">
        <v>23</v>
      </c>
      <c r="C700" s="2">
        <v>8</v>
      </c>
      <c r="D700" s="13" t="s">
        <v>98</v>
      </c>
      <c r="E700" s="2">
        <v>4449436681</v>
      </c>
      <c r="F700" s="2">
        <v>113417208</v>
      </c>
      <c r="G700" s="2">
        <v>3695</v>
      </c>
      <c r="H700" s="2">
        <v>316</v>
      </c>
      <c r="I700" s="2">
        <v>4011</v>
      </c>
      <c r="J700" s="2">
        <v>5953</v>
      </c>
      <c r="K700" s="2">
        <v>9964</v>
      </c>
      <c r="L700" s="2">
        <v>603</v>
      </c>
      <c r="M700" s="2">
        <v>795</v>
      </c>
      <c r="N700" s="2">
        <v>1075</v>
      </c>
      <c r="O700" s="2">
        <v>1344</v>
      </c>
      <c r="P700" s="2">
        <v>12383</v>
      </c>
      <c r="Q700" s="2">
        <v>52991</v>
      </c>
      <c r="R700" s="13" t="s">
        <v>27</v>
      </c>
      <c r="S700" s="13" t="s">
        <v>27</v>
      </c>
    </row>
    <row r="701" spans="1:19" hidden="1" x14ac:dyDescent="0.3">
      <c r="A701" s="14">
        <v>43918.708333333336</v>
      </c>
      <c r="B701" s="13" t="s">
        <v>23</v>
      </c>
      <c r="C701" s="2">
        <v>6</v>
      </c>
      <c r="D701" s="13" t="s">
        <v>49</v>
      </c>
      <c r="E701" s="2">
        <v>456494354</v>
      </c>
      <c r="F701" s="2">
        <v>1376813649</v>
      </c>
      <c r="G701" s="2">
        <v>223</v>
      </c>
      <c r="H701" s="2">
        <v>59</v>
      </c>
      <c r="I701" s="2">
        <v>282</v>
      </c>
      <c r="J701" s="2">
        <v>838</v>
      </c>
      <c r="K701" s="2">
        <v>1120</v>
      </c>
      <c r="L701" s="2">
        <v>93</v>
      </c>
      <c r="M701" s="2">
        <v>119</v>
      </c>
      <c r="N701" s="2">
        <v>229</v>
      </c>
      <c r="O701" s="2">
        <v>87</v>
      </c>
      <c r="P701" s="2">
        <v>1436</v>
      </c>
      <c r="Q701" s="2">
        <v>12723</v>
      </c>
      <c r="R701" s="13" t="s">
        <v>27</v>
      </c>
      <c r="S701" s="13" t="s">
        <v>27</v>
      </c>
    </row>
    <row r="702" spans="1:19" hidden="1" x14ac:dyDescent="0.3">
      <c r="A702" s="14">
        <v>43918.708333333336</v>
      </c>
      <c r="B702" s="13" t="s">
        <v>23</v>
      </c>
      <c r="C702" s="2">
        <v>12</v>
      </c>
      <c r="D702" s="13" t="s">
        <v>50</v>
      </c>
      <c r="E702" s="2">
        <v>4189277044</v>
      </c>
      <c r="F702" s="2">
        <v>1248366722</v>
      </c>
      <c r="G702" s="2">
        <v>985</v>
      </c>
      <c r="H702" s="2">
        <v>133</v>
      </c>
      <c r="I702" s="2">
        <v>1118</v>
      </c>
      <c r="J702" s="2">
        <v>1063</v>
      </c>
      <c r="K702" s="2">
        <v>2181</v>
      </c>
      <c r="L702" s="2">
        <v>168</v>
      </c>
      <c r="M702" s="2">
        <v>210</v>
      </c>
      <c r="N702" s="2">
        <v>200</v>
      </c>
      <c r="O702" s="2">
        <v>124</v>
      </c>
      <c r="P702" s="2">
        <v>2505</v>
      </c>
      <c r="Q702" s="2">
        <v>27179</v>
      </c>
      <c r="R702" s="13" t="s">
        <v>27</v>
      </c>
      <c r="S702" s="13" t="s">
        <v>27</v>
      </c>
    </row>
    <row r="703" spans="1:19" hidden="1" x14ac:dyDescent="0.3">
      <c r="A703" s="14">
        <v>43918.708333333336</v>
      </c>
      <c r="B703" s="13" t="s">
        <v>23</v>
      </c>
      <c r="C703" s="2">
        <v>7</v>
      </c>
      <c r="D703" s="13" t="s">
        <v>51</v>
      </c>
      <c r="E703" s="2">
        <v>4441149315</v>
      </c>
      <c r="F703" s="2">
        <v>89326992</v>
      </c>
      <c r="G703" s="2">
        <v>1031</v>
      </c>
      <c r="H703" s="2">
        <v>167</v>
      </c>
      <c r="I703" s="2">
        <v>1198</v>
      </c>
      <c r="J703" s="2">
        <v>888</v>
      </c>
      <c r="K703" s="2">
        <v>2086</v>
      </c>
      <c r="L703" s="2">
        <v>26</v>
      </c>
      <c r="M703" s="2">
        <v>126</v>
      </c>
      <c r="N703" s="2">
        <v>378</v>
      </c>
      <c r="O703" s="2">
        <v>358</v>
      </c>
      <c r="P703" s="2">
        <v>2822</v>
      </c>
      <c r="Q703" s="2">
        <v>8177</v>
      </c>
      <c r="R703" s="13" t="s">
        <v>27</v>
      </c>
      <c r="S703" s="13" t="s">
        <v>27</v>
      </c>
    </row>
    <row r="704" spans="1:19" x14ac:dyDescent="0.3">
      <c r="A704" s="14">
        <v>43918.708333333336</v>
      </c>
      <c r="B704" s="13" t="s">
        <v>23</v>
      </c>
      <c r="C704" s="2">
        <v>3</v>
      </c>
      <c r="D704" s="13" t="s">
        <v>52</v>
      </c>
      <c r="E704" s="2">
        <v>4546679409</v>
      </c>
      <c r="F704" s="2">
        <v>9190347404</v>
      </c>
      <c r="G704" s="2">
        <v>11152</v>
      </c>
      <c r="H704" s="2">
        <v>1319</v>
      </c>
      <c r="I704" s="2">
        <v>12471</v>
      </c>
      <c r="J704" s="2">
        <v>12038</v>
      </c>
      <c r="K704" s="2">
        <v>24509</v>
      </c>
      <c r="L704" s="2">
        <v>614</v>
      </c>
      <c r="M704" s="2">
        <v>2117</v>
      </c>
      <c r="N704" s="2">
        <v>8962</v>
      </c>
      <c r="O704" s="2">
        <v>5944</v>
      </c>
      <c r="P704" s="2">
        <v>39415</v>
      </c>
      <c r="Q704" s="2">
        <v>102503</v>
      </c>
      <c r="R704" s="13" t="s">
        <v>27</v>
      </c>
      <c r="S704" s="13" t="s">
        <v>27</v>
      </c>
    </row>
    <row r="705" spans="1:19" hidden="1" x14ac:dyDescent="0.3">
      <c r="A705" s="14">
        <v>43918.708333333336</v>
      </c>
      <c r="B705" s="13" t="s">
        <v>23</v>
      </c>
      <c r="C705" s="2">
        <v>11</v>
      </c>
      <c r="D705" s="13" t="s">
        <v>53</v>
      </c>
      <c r="E705" s="2">
        <v>4361675973</v>
      </c>
      <c r="F705" s="2">
        <v>135188753</v>
      </c>
      <c r="G705" s="2">
        <v>987</v>
      </c>
      <c r="H705" s="2">
        <v>166</v>
      </c>
      <c r="I705" s="2">
        <v>1153</v>
      </c>
      <c r="J705" s="2">
        <v>1846</v>
      </c>
      <c r="K705" s="2">
        <v>2999</v>
      </c>
      <c r="L705" s="2">
        <v>149</v>
      </c>
      <c r="M705" s="2">
        <v>177</v>
      </c>
      <c r="N705" s="2">
        <v>10</v>
      </c>
      <c r="O705" s="2">
        <v>364</v>
      </c>
      <c r="P705" s="2">
        <v>3373</v>
      </c>
      <c r="Q705" s="2">
        <v>9884</v>
      </c>
      <c r="R705" s="13" t="s">
        <v>27</v>
      </c>
      <c r="S705" s="13" t="s">
        <v>27</v>
      </c>
    </row>
    <row r="706" spans="1:19" hidden="1" x14ac:dyDescent="0.3">
      <c r="A706" s="14">
        <v>43918.708333333336</v>
      </c>
      <c r="B706" s="13" t="s">
        <v>23</v>
      </c>
      <c r="C706" s="2">
        <v>14</v>
      </c>
      <c r="D706" s="13" t="s">
        <v>54</v>
      </c>
      <c r="E706" s="2">
        <v>4155774754</v>
      </c>
      <c r="F706" s="2">
        <v>1465916051</v>
      </c>
      <c r="G706" s="2">
        <v>26</v>
      </c>
      <c r="H706" s="2">
        <v>9</v>
      </c>
      <c r="I706" s="2">
        <v>35</v>
      </c>
      <c r="J706" s="2">
        <v>63</v>
      </c>
      <c r="K706" s="2">
        <v>98</v>
      </c>
      <c r="L706" s="2">
        <v>12</v>
      </c>
      <c r="M706" s="2">
        <v>14</v>
      </c>
      <c r="N706" s="2">
        <v>16</v>
      </c>
      <c r="O706" s="2">
        <v>9</v>
      </c>
      <c r="P706" s="2">
        <v>123</v>
      </c>
      <c r="Q706" s="2">
        <v>807</v>
      </c>
      <c r="R706" s="13" t="s">
        <v>27</v>
      </c>
      <c r="S706" s="13" t="s">
        <v>27</v>
      </c>
    </row>
    <row r="707" spans="1:19" hidden="1" x14ac:dyDescent="0.3">
      <c r="A707" s="14">
        <v>43918.708333333336</v>
      </c>
      <c r="B707" s="13" t="s">
        <v>23</v>
      </c>
      <c r="C707" s="2">
        <v>1</v>
      </c>
      <c r="D707" s="13" t="s">
        <v>55</v>
      </c>
      <c r="E707" s="2">
        <v>450732745</v>
      </c>
      <c r="F707" s="2">
        <v>7680687483</v>
      </c>
      <c r="G707" s="2">
        <v>3094</v>
      </c>
      <c r="H707" s="2">
        <v>439</v>
      </c>
      <c r="I707" s="2">
        <v>3533</v>
      </c>
      <c r="J707" s="2">
        <v>3318</v>
      </c>
      <c r="K707" s="2">
        <v>6851</v>
      </c>
      <c r="L707" s="2">
        <v>504</v>
      </c>
      <c r="M707" s="2">
        <v>579</v>
      </c>
      <c r="N707" s="2">
        <v>203</v>
      </c>
      <c r="O707" s="2">
        <v>617</v>
      </c>
      <c r="P707" s="2">
        <v>7671</v>
      </c>
      <c r="Q707" s="2">
        <v>21511</v>
      </c>
      <c r="R707" s="13" t="s">
        <v>27</v>
      </c>
      <c r="S707" s="13" t="s">
        <v>27</v>
      </c>
    </row>
    <row r="708" spans="1:19" hidden="1" x14ac:dyDescent="0.3">
      <c r="A708" s="14">
        <v>43918.708333333336</v>
      </c>
      <c r="B708" s="13" t="s">
        <v>23</v>
      </c>
      <c r="C708" s="2">
        <v>16</v>
      </c>
      <c r="D708" s="13" t="s">
        <v>56</v>
      </c>
      <c r="E708" s="2">
        <v>4112559576</v>
      </c>
      <c r="F708" s="2">
        <v>1686736689</v>
      </c>
      <c r="G708" s="2">
        <v>563</v>
      </c>
      <c r="H708" s="2">
        <v>98</v>
      </c>
      <c r="I708" s="2">
        <v>661</v>
      </c>
      <c r="J708" s="2">
        <v>697</v>
      </c>
      <c r="K708" s="2">
        <v>1358</v>
      </c>
      <c r="L708" s="2">
        <v>122</v>
      </c>
      <c r="M708" s="2">
        <v>124</v>
      </c>
      <c r="N708" s="2">
        <v>29</v>
      </c>
      <c r="O708" s="2">
        <v>71</v>
      </c>
      <c r="P708" s="2">
        <v>1458</v>
      </c>
      <c r="Q708" s="2">
        <v>11500</v>
      </c>
      <c r="R708" s="13" t="s">
        <v>27</v>
      </c>
      <c r="S708" s="13" t="s">
        <v>27</v>
      </c>
    </row>
    <row r="709" spans="1:19" hidden="1" x14ac:dyDescent="0.3">
      <c r="A709" s="14">
        <v>43918.708333333336</v>
      </c>
      <c r="B709" s="13" t="s">
        <v>23</v>
      </c>
      <c r="C709" s="2">
        <v>20</v>
      </c>
      <c r="D709" s="13" t="s">
        <v>57</v>
      </c>
      <c r="E709" s="2">
        <v>3921531192</v>
      </c>
      <c r="F709" s="2">
        <v>9110616306</v>
      </c>
      <c r="G709" s="2">
        <v>95</v>
      </c>
      <c r="H709" s="2">
        <v>22</v>
      </c>
      <c r="I709" s="2">
        <v>117</v>
      </c>
      <c r="J709" s="2">
        <v>452</v>
      </c>
      <c r="K709" s="2">
        <v>569</v>
      </c>
      <c r="L709" s="2">
        <v>73</v>
      </c>
      <c r="M709" s="2">
        <v>94</v>
      </c>
      <c r="N709" s="2">
        <v>29</v>
      </c>
      <c r="O709" s="2">
        <v>26</v>
      </c>
      <c r="P709" s="2">
        <v>624</v>
      </c>
      <c r="Q709" s="2">
        <v>4225</v>
      </c>
      <c r="R709" s="13" t="s">
        <v>27</v>
      </c>
      <c r="S709" s="13" t="s">
        <v>27</v>
      </c>
    </row>
    <row r="710" spans="1:19" hidden="1" x14ac:dyDescent="0.3">
      <c r="A710" s="14">
        <v>43918.708333333336</v>
      </c>
      <c r="B710" s="13" t="s">
        <v>23</v>
      </c>
      <c r="C710" s="2">
        <v>19</v>
      </c>
      <c r="D710" s="13" t="s">
        <v>58</v>
      </c>
      <c r="E710" s="2">
        <v>3811569725</v>
      </c>
      <c r="F710" s="2">
        <v>133623567</v>
      </c>
      <c r="G710" s="2">
        <v>441</v>
      </c>
      <c r="H710" s="2">
        <v>71</v>
      </c>
      <c r="I710" s="2">
        <v>512</v>
      </c>
      <c r="J710" s="2">
        <v>730</v>
      </c>
      <c r="K710" s="2">
        <v>1242</v>
      </c>
      <c r="L710" s="2">
        <v>84</v>
      </c>
      <c r="M710" s="2">
        <v>109</v>
      </c>
      <c r="N710" s="2">
        <v>60</v>
      </c>
      <c r="O710" s="2">
        <v>57</v>
      </c>
      <c r="P710" s="2">
        <v>1359</v>
      </c>
      <c r="Q710" s="2">
        <v>13096</v>
      </c>
      <c r="R710" s="13" t="s">
        <v>27</v>
      </c>
      <c r="S710" s="13" t="s">
        <v>27</v>
      </c>
    </row>
    <row r="711" spans="1:19" hidden="1" x14ac:dyDescent="0.3">
      <c r="A711" s="14">
        <v>43918.708333333336</v>
      </c>
      <c r="B711" s="13" t="s">
        <v>23</v>
      </c>
      <c r="C711" s="2">
        <v>9</v>
      </c>
      <c r="D711" s="13" t="s">
        <v>59</v>
      </c>
      <c r="E711" s="2">
        <v>4376923077</v>
      </c>
      <c r="F711" s="2">
        <v>1125588885</v>
      </c>
      <c r="G711" s="2">
        <v>1093</v>
      </c>
      <c r="H711" s="2">
        <v>277</v>
      </c>
      <c r="I711" s="2">
        <v>1370</v>
      </c>
      <c r="J711" s="2">
        <v>2141</v>
      </c>
      <c r="K711" s="2">
        <v>3511</v>
      </c>
      <c r="L711" s="2">
        <v>341</v>
      </c>
      <c r="M711" s="2">
        <v>367</v>
      </c>
      <c r="N711" s="2">
        <v>108</v>
      </c>
      <c r="O711" s="2">
        <v>198</v>
      </c>
      <c r="P711" s="2">
        <v>3817</v>
      </c>
      <c r="Q711" s="2">
        <v>25613</v>
      </c>
      <c r="R711" s="13" t="s">
        <v>27</v>
      </c>
      <c r="S711" s="13" t="s">
        <v>27</v>
      </c>
    </row>
    <row r="712" spans="1:19" hidden="1" x14ac:dyDescent="0.3">
      <c r="A712" s="14">
        <v>43918.708333333336</v>
      </c>
      <c r="B712" s="13" t="s">
        <v>23</v>
      </c>
      <c r="C712" s="2">
        <v>4</v>
      </c>
      <c r="D712" s="13" t="s">
        <v>60</v>
      </c>
      <c r="E712" s="2">
        <v>4606893511</v>
      </c>
      <c r="F712" s="2">
        <v>1112123097</v>
      </c>
      <c r="G712" s="2">
        <v>351</v>
      </c>
      <c r="H712" s="2">
        <v>72</v>
      </c>
      <c r="I712" s="2">
        <v>423</v>
      </c>
      <c r="J712" s="2">
        <v>811</v>
      </c>
      <c r="K712" s="2">
        <v>1234</v>
      </c>
      <c r="L712" s="2">
        <v>70</v>
      </c>
      <c r="M712" s="2">
        <v>114</v>
      </c>
      <c r="N712" s="2">
        <v>151</v>
      </c>
      <c r="O712" s="2">
        <v>120</v>
      </c>
      <c r="P712" s="2">
        <v>1505</v>
      </c>
      <c r="Q712" s="2">
        <v>5561</v>
      </c>
      <c r="R712" s="13" t="s">
        <v>27</v>
      </c>
      <c r="S712" s="13" t="s">
        <v>27</v>
      </c>
    </row>
    <row r="713" spans="1:19" hidden="1" x14ac:dyDescent="0.3">
      <c r="A713" s="14">
        <v>43918.708333333336</v>
      </c>
      <c r="B713" s="13" t="s">
        <v>23</v>
      </c>
      <c r="C713" s="2">
        <v>10</v>
      </c>
      <c r="D713" s="13" t="s">
        <v>61</v>
      </c>
      <c r="E713" s="2">
        <v>4310675841</v>
      </c>
      <c r="F713" s="2">
        <v>1238824698</v>
      </c>
      <c r="G713" s="2">
        <v>159</v>
      </c>
      <c r="H713" s="2">
        <v>44</v>
      </c>
      <c r="I713" s="2">
        <v>203</v>
      </c>
      <c r="J713" s="2">
        <v>695</v>
      </c>
      <c r="K713" s="2">
        <v>898</v>
      </c>
      <c r="L713" s="2">
        <v>74</v>
      </c>
      <c r="M713" s="2">
        <v>85</v>
      </c>
      <c r="N713" s="2">
        <v>43</v>
      </c>
      <c r="O713" s="2">
        <v>28</v>
      </c>
      <c r="P713" s="2">
        <v>969</v>
      </c>
      <c r="Q713" s="2">
        <v>7028</v>
      </c>
      <c r="R713" s="13" t="s">
        <v>27</v>
      </c>
      <c r="S713" s="13" t="s">
        <v>27</v>
      </c>
    </row>
    <row r="714" spans="1:19" hidden="1" x14ac:dyDescent="0.3">
      <c r="A714" s="14">
        <v>43918.708333333336</v>
      </c>
      <c r="B714" s="13" t="s">
        <v>23</v>
      </c>
      <c r="C714" s="2">
        <v>2</v>
      </c>
      <c r="D714" s="13" t="s">
        <v>62</v>
      </c>
      <c r="E714" s="2">
        <v>4573750286</v>
      </c>
      <c r="F714" s="2">
        <v>7320149366</v>
      </c>
      <c r="G714" s="2">
        <v>90</v>
      </c>
      <c r="H714" s="2">
        <v>26</v>
      </c>
      <c r="I714" s="2">
        <v>116</v>
      </c>
      <c r="J714" s="2">
        <v>352</v>
      </c>
      <c r="K714" s="2">
        <v>468</v>
      </c>
      <c r="L714" s="2">
        <v>55</v>
      </c>
      <c r="M714" s="2">
        <v>59</v>
      </c>
      <c r="N714" s="2">
        <v>2</v>
      </c>
      <c r="O714" s="2">
        <v>41</v>
      </c>
      <c r="P714" s="2">
        <v>511</v>
      </c>
      <c r="Q714" s="2">
        <v>1380</v>
      </c>
      <c r="R714" s="13" t="s">
        <v>27</v>
      </c>
      <c r="S714" s="13" t="s">
        <v>27</v>
      </c>
    </row>
    <row r="715" spans="1:19" hidden="1" x14ac:dyDescent="0.3">
      <c r="A715" s="14">
        <v>43918.708333333336</v>
      </c>
      <c r="B715" s="13" t="s">
        <v>23</v>
      </c>
      <c r="C715" s="2">
        <v>5</v>
      </c>
      <c r="D715" s="13" t="s">
        <v>63</v>
      </c>
      <c r="E715" s="2">
        <v>4543490485</v>
      </c>
      <c r="F715" s="2">
        <v>1233845213</v>
      </c>
      <c r="G715" s="2">
        <v>1559</v>
      </c>
      <c r="H715" s="2">
        <v>344</v>
      </c>
      <c r="I715" s="2">
        <v>1903</v>
      </c>
      <c r="J715" s="2">
        <v>5010</v>
      </c>
      <c r="K715" s="2">
        <v>6913</v>
      </c>
      <c r="L715" s="2">
        <v>265</v>
      </c>
      <c r="M715" s="2">
        <v>433</v>
      </c>
      <c r="N715" s="2">
        <v>655</v>
      </c>
      <c r="O715" s="2">
        <v>362</v>
      </c>
      <c r="P715" s="2">
        <v>7930</v>
      </c>
      <c r="Q715" s="2">
        <v>89380</v>
      </c>
      <c r="R715" s="13" t="s">
        <v>27</v>
      </c>
      <c r="S715" s="13" t="s">
        <v>27</v>
      </c>
    </row>
    <row r="716" spans="1:19" hidden="1" x14ac:dyDescent="0.3">
      <c r="A716" s="14">
        <v>43919.708333333336</v>
      </c>
      <c r="B716" s="13" t="s">
        <v>23</v>
      </c>
      <c r="C716" s="2">
        <v>13</v>
      </c>
      <c r="D716" s="13" t="s">
        <v>44</v>
      </c>
      <c r="E716" s="2">
        <v>4235122196</v>
      </c>
      <c r="F716" s="2">
        <v>1339843823</v>
      </c>
      <c r="G716" s="2">
        <v>329</v>
      </c>
      <c r="H716" s="2">
        <v>68</v>
      </c>
      <c r="I716" s="2">
        <v>397</v>
      </c>
      <c r="J716" s="2">
        <v>772</v>
      </c>
      <c r="K716" s="2">
        <v>1169</v>
      </c>
      <c r="L716" s="2">
        <v>142</v>
      </c>
      <c r="M716" s="2">
        <v>160</v>
      </c>
      <c r="N716" s="2">
        <v>36</v>
      </c>
      <c r="O716" s="2">
        <v>88</v>
      </c>
      <c r="P716" s="2">
        <v>1293</v>
      </c>
      <c r="Q716" s="2">
        <v>7730</v>
      </c>
      <c r="R716" s="13" t="s">
        <v>27</v>
      </c>
      <c r="S716" s="13" t="s">
        <v>27</v>
      </c>
    </row>
    <row r="717" spans="1:19" hidden="1" x14ac:dyDescent="0.3">
      <c r="A717" s="14">
        <v>43919.708333333336</v>
      </c>
      <c r="B717" s="13" t="s">
        <v>23</v>
      </c>
      <c r="C717" s="2">
        <v>17</v>
      </c>
      <c r="D717" s="13" t="s">
        <v>45</v>
      </c>
      <c r="E717" s="2">
        <v>4063947052</v>
      </c>
      <c r="F717" s="2">
        <v>1580514834</v>
      </c>
      <c r="G717" s="2">
        <v>32</v>
      </c>
      <c r="H717" s="2">
        <v>18</v>
      </c>
      <c r="I717" s="2">
        <v>50</v>
      </c>
      <c r="J717" s="2">
        <v>147</v>
      </c>
      <c r="K717" s="2">
        <v>197</v>
      </c>
      <c r="L717" s="2">
        <v>19</v>
      </c>
      <c r="M717" s="2">
        <v>20</v>
      </c>
      <c r="N717" s="2">
        <v>1</v>
      </c>
      <c r="O717" s="2">
        <v>4</v>
      </c>
      <c r="P717" s="2">
        <v>202</v>
      </c>
      <c r="Q717" s="2">
        <v>1585</v>
      </c>
      <c r="R717" s="13" t="s">
        <v>27</v>
      </c>
      <c r="S717" s="13" t="s">
        <v>27</v>
      </c>
    </row>
    <row r="718" spans="1:19" hidden="1" x14ac:dyDescent="0.3">
      <c r="A718" s="14">
        <v>43919.708333333336</v>
      </c>
      <c r="B718" s="13" t="s">
        <v>23</v>
      </c>
      <c r="C718" s="2">
        <v>4</v>
      </c>
      <c r="D718" s="13" t="s">
        <v>46</v>
      </c>
      <c r="E718" s="2">
        <v>4649933453</v>
      </c>
      <c r="F718" s="2">
        <v>1135662422</v>
      </c>
      <c r="G718" s="2">
        <v>234</v>
      </c>
      <c r="H718" s="2">
        <v>56</v>
      </c>
      <c r="I718" s="2">
        <v>290</v>
      </c>
      <c r="J718" s="2">
        <v>744</v>
      </c>
      <c r="K718" s="2">
        <v>1034</v>
      </c>
      <c r="L718" s="2">
        <v>105</v>
      </c>
      <c r="M718" s="2">
        <v>105</v>
      </c>
      <c r="N718" s="2">
        <v>116</v>
      </c>
      <c r="O718" s="2">
        <v>64</v>
      </c>
      <c r="P718" s="2">
        <v>1214</v>
      </c>
      <c r="Q718" s="2">
        <v>10137</v>
      </c>
      <c r="R718" s="13" t="s">
        <v>27</v>
      </c>
      <c r="S718" s="13" t="s">
        <v>27</v>
      </c>
    </row>
    <row r="719" spans="1:19" hidden="1" x14ac:dyDescent="0.3">
      <c r="A719" s="14">
        <v>43919.708333333336</v>
      </c>
      <c r="B719" s="13" t="s">
        <v>23</v>
      </c>
      <c r="C719" s="2">
        <v>18</v>
      </c>
      <c r="D719" s="13" t="s">
        <v>47</v>
      </c>
      <c r="E719" s="2">
        <v>3890597598</v>
      </c>
      <c r="F719" s="2">
        <v>1659440194</v>
      </c>
      <c r="G719" s="2">
        <v>124</v>
      </c>
      <c r="H719" s="2">
        <v>19</v>
      </c>
      <c r="I719" s="2">
        <v>143</v>
      </c>
      <c r="J719" s="2">
        <v>434</v>
      </c>
      <c r="K719" s="2">
        <v>577</v>
      </c>
      <c r="L719" s="2">
        <v>54</v>
      </c>
      <c r="M719" s="2">
        <v>59</v>
      </c>
      <c r="N719" s="2">
        <v>12</v>
      </c>
      <c r="O719" s="2">
        <v>25</v>
      </c>
      <c r="P719" s="2">
        <v>614</v>
      </c>
      <c r="Q719" s="2">
        <v>8485</v>
      </c>
      <c r="R719" s="13" t="s">
        <v>27</v>
      </c>
      <c r="S719" s="13" t="s">
        <v>27</v>
      </c>
    </row>
    <row r="720" spans="1:19" hidden="1" x14ac:dyDescent="0.3">
      <c r="A720" s="14">
        <v>43919.708333333336</v>
      </c>
      <c r="B720" s="13" t="s">
        <v>23</v>
      </c>
      <c r="C720" s="2">
        <v>15</v>
      </c>
      <c r="D720" s="13" t="s">
        <v>48</v>
      </c>
      <c r="E720" s="2">
        <v>4083956555</v>
      </c>
      <c r="F720" s="2">
        <v>1425084984</v>
      </c>
      <c r="G720" s="2">
        <v>476</v>
      </c>
      <c r="H720" s="2">
        <v>135</v>
      </c>
      <c r="I720" s="2">
        <v>611</v>
      </c>
      <c r="J720" s="2">
        <v>945</v>
      </c>
      <c r="K720" s="2">
        <v>1556</v>
      </c>
      <c r="L720" s="2">
        <v>149</v>
      </c>
      <c r="M720" s="2">
        <v>167</v>
      </c>
      <c r="N720" s="2">
        <v>86</v>
      </c>
      <c r="O720" s="2">
        <v>117</v>
      </c>
      <c r="P720" s="2">
        <v>1759</v>
      </c>
      <c r="Q720" s="2">
        <v>11805</v>
      </c>
      <c r="R720" s="13" t="s">
        <v>27</v>
      </c>
      <c r="S720" s="13" t="s">
        <v>27</v>
      </c>
    </row>
    <row r="721" spans="1:19" hidden="1" x14ac:dyDescent="0.3">
      <c r="A721" s="14">
        <v>43919.708333333336</v>
      </c>
      <c r="B721" s="13" t="s">
        <v>23</v>
      </c>
      <c r="C721" s="2">
        <v>8</v>
      </c>
      <c r="D721" s="13" t="s">
        <v>98</v>
      </c>
      <c r="E721" s="2">
        <v>4449436681</v>
      </c>
      <c r="F721" s="2">
        <v>113417208</v>
      </c>
      <c r="G721" s="2">
        <v>3769</v>
      </c>
      <c r="H721" s="2">
        <v>333</v>
      </c>
      <c r="I721" s="2">
        <v>4102</v>
      </c>
      <c r="J721" s="2">
        <v>6433</v>
      </c>
      <c r="K721" s="2">
        <v>10535</v>
      </c>
      <c r="L721" s="2">
        <v>571</v>
      </c>
      <c r="M721" s="2">
        <v>736</v>
      </c>
      <c r="N721" s="2">
        <v>1141</v>
      </c>
      <c r="O721" s="2">
        <v>1443</v>
      </c>
      <c r="P721" s="2">
        <v>13119</v>
      </c>
      <c r="Q721" s="2">
        <v>52991</v>
      </c>
      <c r="R721" s="13" t="s">
        <v>99</v>
      </c>
      <c r="S721" s="13" t="s">
        <v>100</v>
      </c>
    </row>
    <row r="722" spans="1:19" hidden="1" x14ac:dyDescent="0.3">
      <c r="A722" s="14">
        <v>43919.708333333336</v>
      </c>
      <c r="B722" s="13" t="s">
        <v>23</v>
      </c>
      <c r="C722" s="2">
        <v>6</v>
      </c>
      <c r="D722" s="13" t="s">
        <v>49</v>
      </c>
      <c r="E722" s="2">
        <v>456494354</v>
      </c>
      <c r="F722" s="2">
        <v>1376813649</v>
      </c>
      <c r="G722" s="2">
        <v>236</v>
      </c>
      <c r="H722" s="2">
        <v>60</v>
      </c>
      <c r="I722" s="2">
        <v>296</v>
      </c>
      <c r="J722" s="2">
        <v>845</v>
      </c>
      <c r="K722" s="2">
        <v>1141</v>
      </c>
      <c r="L722" s="2">
        <v>21</v>
      </c>
      <c r="M722" s="2">
        <v>44</v>
      </c>
      <c r="N722" s="2">
        <v>241</v>
      </c>
      <c r="O722" s="2">
        <v>98</v>
      </c>
      <c r="P722" s="2">
        <v>1480</v>
      </c>
      <c r="Q722" s="2">
        <v>13397</v>
      </c>
      <c r="R722" s="13" t="s">
        <v>27</v>
      </c>
      <c r="S722" s="13" t="s">
        <v>27</v>
      </c>
    </row>
    <row r="723" spans="1:19" hidden="1" x14ac:dyDescent="0.3">
      <c r="A723" s="14">
        <v>43919.708333333336</v>
      </c>
      <c r="B723" s="13" t="s">
        <v>23</v>
      </c>
      <c r="C723" s="2">
        <v>12</v>
      </c>
      <c r="D723" s="13" t="s">
        <v>50</v>
      </c>
      <c r="E723" s="2">
        <v>4189277044</v>
      </c>
      <c r="F723" s="2">
        <v>1248366722</v>
      </c>
      <c r="G723" s="2">
        <v>1062</v>
      </c>
      <c r="H723" s="2">
        <v>133</v>
      </c>
      <c r="I723" s="2">
        <v>1195</v>
      </c>
      <c r="J723" s="2">
        <v>1167</v>
      </c>
      <c r="K723" s="2">
        <v>2362</v>
      </c>
      <c r="L723" s="2">
        <v>181</v>
      </c>
      <c r="M723" s="2">
        <v>201</v>
      </c>
      <c r="N723" s="2">
        <v>208</v>
      </c>
      <c r="O723" s="2">
        <v>136</v>
      </c>
      <c r="P723" s="2">
        <v>2706</v>
      </c>
      <c r="Q723" s="2">
        <v>27744</v>
      </c>
      <c r="R723" s="13" t="s">
        <v>27</v>
      </c>
      <c r="S723" s="13" t="s">
        <v>27</v>
      </c>
    </row>
    <row r="724" spans="1:19" hidden="1" x14ac:dyDescent="0.3">
      <c r="A724" s="14">
        <v>43919.708333333336</v>
      </c>
      <c r="B724" s="13" t="s">
        <v>23</v>
      </c>
      <c r="C724" s="2">
        <v>7</v>
      </c>
      <c r="D724" s="13" t="s">
        <v>51</v>
      </c>
      <c r="E724" s="2">
        <v>4441149315</v>
      </c>
      <c r="F724" s="2">
        <v>89326992</v>
      </c>
      <c r="G724" s="2">
        <v>1077</v>
      </c>
      <c r="H724" s="2">
        <v>166</v>
      </c>
      <c r="I724" s="2">
        <v>1243</v>
      </c>
      <c r="J724" s="2">
        <v>1036</v>
      </c>
      <c r="K724" s="2">
        <v>2279</v>
      </c>
      <c r="L724" s="2">
        <v>193</v>
      </c>
      <c r="M724" s="2">
        <v>254</v>
      </c>
      <c r="N724" s="2">
        <v>420</v>
      </c>
      <c r="O724" s="2">
        <v>377</v>
      </c>
      <c r="P724" s="2">
        <v>3076</v>
      </c>
      <c r="Q724" s="2">
        <v>9100</v>
      </c>
      <c r="R724" s="13" t="s">
        <v>27</v>
      </c>
      <c r="S724" s="13" t="s">
        <v>27</v>
      </c>
    </row>
    <row r="725" spans="1:19" x14ac:dyDescent="0.3">
      <c r="A725" s="14">
        <v>43919.708333333336</v>
      </c>
      <c r="B725" s="13" t="s">
        <v>23</v>
      </c>
      <c r="C725" s="2">
        <v>3</v>
      </c>
      <c r="D725" s="13" t="s">
        <v>52</v>
      </c>
      <c r="E725" s="2">
        <v>4546679409</v>
      </c>
      <c r="F725" s="2">
        <v>9190347404</v>
      </c>
      <c r="G725" s="2">
        <v>11613</v>
      </c>
      <c r="H725" s="2">
        <v>1328</v>
      </c>
      <c r="I725" s="2">
        <v>12941</v>
      </c>
      <c r="J725" s="2">
        <v>12451</v>
      </c>
      <c r="K725" s="2">
        <v>25392</v>
      </c>
      <c r="L725" s="2">
        <v>883</v>
      </c>
      <c r="M725" s="2">
        <v>1592</v>
      </c>
      <c r="N725" s="2">
        <v>9255</v>
      </c>
      <c r="O725" s="2">
        <v>6360</v>
      </c>
      <c r="P725" s="2">
        <v>41007</v>
      </c>
      <c r="Q725" s="2">
        <v>107398</v>
      </c>
      <c r="R725" s="13" t="s">
        <v>27</v>
      </c>
      <c r="S725" s="13" t="s">
        <v>27</v>
      </c>
    </row>
    <row r="726" spans="1:19" hidden="1" x14ac:dyDescent="0.3">
      <c r="A726" s="14">
        <v>43919.708333333336</v>
      </c>
      <c r="B726" s="13" t="s">
        <v>23</v>
      </c>
      <c r="C726" s="2">
        <v>11</v>
      </c>
      <c r="D726" s="13" t="s">
        <v>53</v>
      </c>
      <c r="E726" s="2">
        <v>4361675973</v>
      </c>
      <c r="F726" s="2">
        <v>135188753</v>
      </c>
      <c r="G726" s="2">
        <v>1000</v>
      </c>
      <c r="H726" s="2">
        <v>168</v>
      </c>
      <c r="I726" s="2">
        <v>1168</v>
      </c>
      <c r="J726" s="2">
        <v>1992</v>
      </c>
      <c r="K726" s="2">
        <v>3160</v>
      </c>
      <c r="L726" s="2">
        <v>161</v>
      </c>
      <c r="M726" s="2">
        <v>185</v>
      </c>
      <c r="N726" s="2">
        <v>12</v>
      </c>
      <c r="O726" s="2">
        <v>386</v>
      </c>
      <c r="P726" s="2">
        <v>3558</v>
      </c>
      <c r="Q726" s="2">
        <v>10431</v>
      </c>
      <c r="R726" s="13" t="s">
        <v>27</v>
      </c>
      <c r="S726" s="13" t="s">
        <v>27</v>
      </c>
    </row>
    <row r="727" spans="1:19" hidden="1" x14ac:dyDescent="0.3">
      <c r="A727" s="14">
        <v>43919.708333333336</v>
      </c>
      <c r="B727" s="13" t="s">
        <v>23</v>
      </c>
      <c r="C727" s="2">
        <v>14</v>
      </c>
      <c r="D727" s="13" t="s">
        <v>54</v>
      </c>
      <c r="E727" s="2">
        <v>4155774754</v>
      </c>
      <c r="F727" s="2">
        <v>1465916051</v>
      </c>
      <c r="G727" s="2">
        <v>25</v>
      </c>
      <c r="H727" s="2">
        <v>9</v>
      </c>
      <c r="I727" s="2">
        <v>34</v>
      </c>
      <c r="J727" s="2">
        <v>66</v>
      </c>
      <c r="K727" s="2">
        <v>100</v>
      </c>
      <c r="L727" s="2">
        <v>2</v>
      </c>
      <c r="M727" s="2">
        <v>4</v>
      </c>
      <c r="N727" s="2">
        <v>18</v>
      </c>
      <c r="O727" s="2">
        <v>9</v>
      </c>
      <c r="P727" s="2">
        <v>127</v>
      </c>
      <c r="Q727" s="2">
        <v>918</v>
      </c>
      <c r="R727" s="13" t="s">
        <v>27</v>
      </c>
      <c r="S727" s="13" t="s">
        <v>27</v>
      </c>
    </row>
    <row r="728" spans="1:19" hidden="1" x14ac:dyDescent="0.3">
      <c r="A728" s="14">
        <v>43919.708333333336</v>
      </c>
      <c r="B728" s="13" t="s">
        <v>23</v>
      </c>
      <c r="C728" s="2">
        <v>1</v>
      </c>
      <c r="D728" s="13" t="s">
        <v>55</v>
      </c>
      <c r="E728" s="2">
        <v>450732745</v>
      </c>
      <c r="F728" s="2">
        <v>7680687483</v>
      </c>
      <c r="G728" s="2">
        <v>2985</v>
      </c>
      <c r="H728" s="2">
        <v>443</v>
      </c>
      <c r="I728" s="2">
        <v>3428</v>
      </c>
      <c r="J728" s="2">
        <v>3840</v>
      </c>
      <c r="K728" s="2">
        <v>7268</v>
      </c>
      <c r="L728" s="2">
        <v>417</v>
      </c>
      <c r="M728" s="2">
        <v>535</v>
      </c>
      <c r="N728" s="2">
        <v>254</v>
      </c>
      <c r="O728" s="2">
        <v>684</v>
      </c>
      <c r="P728" s="2">
        <v>8206</v>
      </c>
      <c r="Q728" s="2">
        <v>24058</v>
      </c>
      <c r="R728" s="13" t="s">
        <v>27</v>
      </c>
      <c r="S728" s="13" t="s">
        <v>27</v>
      </c>
    </row>
    <row r="729" spans="1:19" hidden="1" x14ac:dyDescent="0.3">
      <c r="A729" s="14">
        <v>43919.708333333336</v>
      </c>
      <c r="B729" s="13" t="s">
        <v>23</v>
      </c>
      <c r="C729" s="2">
        <v>16</v>
      </c>
      <c r="D729" s="13" t="s">
        <v>56</v>
      </c>
      <c r="E729" s="2">
        <v>4112559576</v>
      </c>
      <c r="F729" s="2">
        <v>1686736689</v>
      </c>
      <c r="G729" s="2">
        <v>559</v>
      </c>
      <c r="H729" s="2">
        <v>99</v>
      </c>
      <c r="I729" s="2">
        <v>658</v>
      </c>
      <c r="J729" s="2">
        <v>774</v>
      </c>
      <c r="K729" s="2">
        <v>1432</v>
      </c>
      <c r="L729" s="2">
        <v>74</v>
      </c>
      <c r="M729" s="2">
        <v>91</v>
      </c>
      <c r="N729" s="2">
        <v>31</v>
      </c>
      <c r="O729" s="2">
        <v>86</v>
      </c>
      <c r="P729" s="2">
        <v>1549</v>
      </c>
      <c r="Q729" s="2">
        <v>12361</v>
      </c>
      <c r="R729" s="13" t="s">
        <v>27</v>
      </c>
      <c r="S729" s="13" t="s">
        <v>27</v>
      </c>
    </row>
    <row r="730" spans="1:19" hidden="1" x14ac:dyDescent="0.3">
      <c r="A730" s="14">
        <v>43919.708333333336</v>
      </c>
      <c r="B730" s="13" t="s">
        <v>23</v>
      </c>
      <c r="C730" s="2">
        <v>20</v>
      </c>
      <c r="D730" s="13" t="s">
        <v>57</v>
      </c>
      <c r="E730" s="2">
        <v>3921531192</v>
      </c>
      <c r="F730" s="2">
        <v>9110616306</v>
      </c>
      <c r="G730" s="2">
        <v>105</v>
      </c>
      <c r="H730" s="2">
        <v>23</v>
      </c>
      <c r="I730" s="2">
        <v>128</v>
      </c>
      <c r="J730" s="2">
        <v>454</v>
      </c>
      <c r="K730" s="2">
        <v>582</v>
      </c>
      <c r="L730" s="2">
        <v>13</v>
      </c>
      <c r="M730" s="2">
        <v>14</v>
      </c>
      <c r="N730" s="2">
        <v>29</v>
      </c>
      <c r="O730" s="2">
        <v>27</v>
      </c>
      <c r="P730" s="2">
        <v>638</v>
      </c>
      <c r="Q730" s="2">
        <v>4598</v>
      </c>
      <c r="R730" s="13" t="s">
        <v>27</v>
      </c>
      <c r="S730" s="13" t="s">
        <v>27</v>
      </c>
    </row>
    <row r="731" spans="1:19" hidden="1" x14ac:dyDescent="0.3">
      <c r="A731" s="14">
        <v>43919.708333333336</v>
      </c>
      <c r="B731" s="13" t="s">
        <v>23</v>
      </c>
      <c r="C731" s="2">
        <v>19</v>
      </c>
      <c r="D731" s="13" t="s">
        <v>58</v>
      </c>
      <c r="E731" s="2">
        <v>3811569725</v>
      </c>
      <c r="F731" s="2">
        <v>133623567</v>
      </c>
      <c r="G731" s="2">
        <v>451</v>
      </c>
      <c r="H731" s="2">
        <v>71</v>
      </c>
      <c r="I731" s="2">
        <v>522</v>
      </c>
      <c r="J731" s="2">
        <v>808</v>
      </c>
      <c r="K731" s="2">
        <v>1330</v>
      </c>
      <c r="L731" s="2">
        <v>88</v>
      </c>
      <c r="M731" s="2">
        <v>101</v>
      </c>
      <c r="N731" s="2">
        <v>65</v>
      </c>
      <c r="O731" s="2">
        <v>65</v>
      </c>
      <c r="P731" s="2">
        <v>1460</v>
      </c>
      <c r="Q731" s="2">
        <v>13814</v>
      </c>
      <c r="R731" s="13" t="s">
        <v>27</v>
      </c>
      <c r="S731" s="13" t="s">
        <v>27</v>
      </c>
    </row>
    <row r="732" spans="1:19" hidden="1" x14ac:dyDescent="0.3">
      <c r="A732" s="14">
        <v>43919.708333333336</v>
      </c>
      <c r="B732" s="13" t="s">
        <v>23</v>
      </c>
      <c r="C732" s="2">
        <v>9</v>
      </c>
      <c r="D732" s="13" t="s">
        <v>59</v>
      </c>
      <c r="E732" s="2">
        <v>4376923077</v>
      </c>
      <c r="F732" s="2">
        <v>1125588885</v>
      </c>
      <c r="G732" s="2">
        <v>1111</v>
      </c>
      <c r="H732" s="2">
        <v>275</v>
      </c>
      <c r="I732" s="2">
        <v>1386</v>
      </c>
      <c r="J732" s="2">
        <v>2400</v>
      </c>
      <c r="K732" s="2">
        <v>3786</v>
      </c>
      <c r="L732" s="2">
        <v>275</v>
      </c>
      <c r="M732" s="2">
        <v>305</v>
      </c>
      <c r="N732" s="2">
        <v>121</v>
      </c>
      <c r="O732" s="2">
        <v>215</v>
      </c>
      <c r="P732" s="2">
        <v>4122</v>
      </c>
      <c r="Q732" s="2">
        <v>27579</v>
      </c>
      <c r="R732" s="13" t="s">
        <v>27</v>
      </c>
      <c r="S732" s="13" t="s">
        <v>27</v>
      </c>
    </row>
    <row r="733" spans="1:19" hidden="1" x14ac:dyDescent="0.3">
      <c r="A733" s="14">
        <v>43919.708333333336</v>
      </c>
      <c r="B733" s="13" t="s">
        <v>23</v>
      </c>
      <c r="C733" s="2">
        <v>4</v>
      </c>
      <c r="D733" s="13" t="s">
        <v>60</v>
      </c>
      <c r="E733" s="2">
        <v>4606893511</v>
      </c>
      <c r="F733" s="2">
        <v>1112123097</v>
      </c>
      <c r="G733" s="2">
        <v>356</v>
      </c>
      <c r="H733" s="2">
        <v>75</v>
      </c>
      <c r="I733" s="2">
        <v>431</v>
      </c>
      <c r="J733" s="2">
        <v>862</v>
      </c>
      <c r="K733" s="2">
        <v>1293</v>
      </c>
      <c r="L733" s="2">
        <v>59</v>
      </c>
      <c r="M733" s="2">
        <v>89</v>
      </c>
      <c r="N733" s="2">
        <v>172</v>
      </c>
      <c r="O733" s="2">
        <v>129</v>
      </c>
      <c r="P733" s="2">
        <v>1594</v>
      </c>
      <c r="Q733" s="2">
        <v>5950</v>
      </c>
      <c r="R733" s="13" t="s">
        <v>27</v>
      </c>
      <c r="S733" s="13" t="s">
        <v>27</v>
      </c>
    </row>
    <row r="734" spans="1:19" hidden="1" x14ac:dyDescent="0.3">
      <c r="A734" s="14">
        <v>43919.708333333336</v>
      </c>
      <c r="B734" s="13" t="s">
        <v>23</v>
      </c>
      <c r="C734" s="2">
        <v>10</v>
      </c>
      <c r="D734" s="13" t="s">
        <v>61</v>
      </c>
      <c r="E734" s="2">
        <v>4310675841</v>
      </c>
      <c r="F734" s="2">
        <v>1238824698</v>
      </c>
      <c r="G734" s="2">
        <v>166</v>
      </c>
      <c r="H734" s="2">
        <v>46</v>
      </c>
      <c r="I734" s="2">
        <v>212</v>
      </c>
      <c r="J734" s="2">
        <v>685</v>
      </c>
      <c r="K734" s="2">
        <v>897</v>
      </c>
      <c r="L734" s="2">
        <v>-1</v>
      </c>
      <c r="M734" s="2">
        <v>54</v>
      </c>
      <c r="N734" s="2">
        <v>95</v>
      </c>
      <c r="O734" s="2">
        <v>31</v>
      </c>
      <c r="P734" s="2">
        <v>1023</v>
      </c>
      <c r="Q734" s="2">
        <v>7685</v>
      </c>
      <c r="R734" s="13" t="s">
        <v>27</v>
      </c>
      <c r="S734" s="13" t="s">
        <v>27</v>
      </c>
    </row>
    <row r="735" spans="1:19" hidden="1" x14ac:dyDescent="0.3">
      <c r="A735" s="14">
        <v>43919.708333333336</v>
      </c>
      <c r="B735" s="13" t="s">
        <v>23</v>
      </c>
      <c r="C735" s="2">
        <v>2</v>
      </c>
      <c r="D735" s="13" t="s">
        <v>62</v>
      </c>
      <c r="E735" s="2">
        <v>4573750286</v>
      </c>
      <c r="F735" s="2">
        <v>7320149366</v>
      </c>
      <c r="G735" s="2">
        <v>90</v>
      </c>
      <c r="H735" s="2">
        <v>26</v>
      </c>
      <c r="I735" s="2">
        <v>116</v>
      </c>
      <c r="J735" s="2">
        <v>423</v>
      </c>
      <c r="K735" s="2">
        <v>539</v>
      </c>
      <c r="L735" s="2">
        <v>71</v>
      </c>
      <c r="M735" s="2">
        <v>73</v>
      </c>
      <c r="N735" s="2">
        <v>2</v>
      </c>
      <c r="O735" s="2">
        <v>43</v>
      </c>
      <c r="P735" s="2">
        <v>584</v>
      </c>
      <c r="Q735" s="2">
        <v>1480</v>
      </c>
      <c r="R735" s="13" t="s">
        <v>27</v>
      </c>
      <c r="S735" s="13" t="s">
        <v>27</v>
      </c>
    </row>
    <row r="736" spans="1:19" hidden="1" x14ac:dyDescent="0.3">
      <c r="A736" s="14">
        <v>43919.708333333336</v>
      </c>
      <c r="B736" s="13" t="s">
        <v>23</v>
      </c>
      <c r="C736" s="2">
        <v>5</v>
      </c>
      <c r="D736" s="13" t="s">
        <v>63</v>
      </c>
      <c r="E736" s="2">
        <v>4543490485</v>
      </c>
      <c r="F736" s="2">
        <v>1233845213</v>
      </c>
      <c r="G736" s="2">
        <v>1586</v>
      </c>
      <c r="H736" s="2">
        <v>355</v>
      </c>
      <c r="I736" s="2">
        <v>1941</v>
      </c>
      <c r="J736" s="2">
        <v>5310</v>
      </c>
      <c r="K736" s="2">
        <v>7251</v>
      </c>
      <c r="L736" s="2">
        <v>338</v>
      </c>
      <c r="M736" s="2">
        <v>428</v>
      </c>
      <c r="N736" s="2">
        <v>715</v>
      </c>
      <c r="O736" s="2">
        <v>392</v>
      </c>
      <c r="P736" s="2">
        <v>8358</v>
      </c>
      <c r="Q736" s="2">
        <v>94784</v>
      </c>
      <c r="R736" s="13" t="s">
        <v>27</v>
      </c>
      <c r="S736" s="13" t="s">
        <v>27</v>
      </c>
    </row>
    <row r="737" spans="1:19" hidden="1" x14ac:dyDescent="0.3">
      <c r="A737" s="14">
        <v>43920.708333333336</v>
      </c>
      <c r="B737" s="13" t="s">
        <v>23</v>
      </c>
      <c r="C737" s="2">
        <v>13</v>
      </c>
      <c r="D737" s="13" t="s">
        <v>44</v>
      </c>
      <c r="E737" s="2">
        <v>4235122196</v>
      </c>
      <c r="F737" s="2">
        <v>1339843823</v>
      </c>
      <c r="G737" s="2">
        <v>322</v>
      </c>
      <c r="H737" s="2">
        <v>69</v>
      </c>
      <c r="I737" s="2">
        <v>391</v>
      </c>
      <c r="J737" s="2">
        <v>778</v>
      </c>
      <c r="K737" s="2">
        <v>1169</v>
      </c>
      <c r="L737" s="2">
        <v>0</v>
      </c>
      <c r="M737" s="2">
        <v>52</v>
      </c>
      <c r="N737" s="2">
        <v>74</v>
      </c>
      <c r="O737" s="2">
        <v>102</v>
      </c>
      <c r="P737" s="2">
        <v>1345</v>
      </c>
      <c r="Q737" s="2">
        <v>7948</v>
      </c>
      <c r="R737" s="13" t="s">
        <v>27</v>
      </c>
      <c r="S737" s="13" t="s">
        <v>27</v>
      </c>
    </row>
    <row r="738" spans="1:19" hidden="1" x14ac:dyDescent="0.3">
      <c r="A738" s="14">
        <v>43920.708333333336</v>
      </c>
      <c r="B738" s="13" t="s">
        <v>23</v>
      </c>
      <c r="C738" s="2">
        <v>17</v>
      </c>
      <c r="D738" s="13" t="s">
        <v>45</v>
      </c>
      <c r="E738" s="2">
        <v>4063947052</v>
      </c>
      <c r="F738" s="2">
        <v>1580514834</v>
      </c>
      <c r="G738" s="2">
        <v>36</v>
      </c>
      <c r="H738" s="2">
        <v>18</v>
      </c>
      <c r="I738" s="2">
        <v>54</v>
      </c>
      <c r="J738" s="2">
        <v>154</v>
      </c>
      <c r="K738" s="2">
        <v>208</v>
      </c>
      <c r="L738" s="2">
        <v>11</v>
      </c>
      <c r="M738" s="2">
        <v>12</v>
      </c>
      <c r="N738" s="2">
        <v>1</v>
      </c>
      <c r="O738" s="2">
        <v>5</v>
      </c>
      <c r="P738" s="2">
        <v>214</v>
      </c>
      <c r="Q738" s="2">
        <v>1833</v>
      </c>
      <c r="R738" s="13" t="s">
        <v>27</v>
      </c>
      <c r="S738" s="13" t="s">
        <v>27</v>
      </c>
    </row>
    <row r="739" spans="1:19" hidden="1" x14ac:dyDescent="0.3">
      <c r="A739" s="14">
        <v>43920.708333333336</v>
      </c>
      <c r="B739" s="13" t="s">
        <v>23</v>
      </c>
      <c r="C739" s="2">
        <v>4</v>
      </c>
      <c r="D739" s="13" t="s">
        <v>46</v>
      </c>
      <c r="E739" s="2">
        <v>4649933453</v>
      </c>
      <c r="F739" s="2">
        <v>1135662422</v>
      </c>
      <c r="G739" s="2">
        <v>231</v>
      </c>
      <c r="H739" s="2">
        <v>62</v>
      </c>
      <c r="I739" s="2">
        <v>293</v>
      </c>
      <c r="J739" s="2">
        <v>805</v>
      </c>
      <c r="K739" s="2">
        <v>1098</v>
      </c>
      <c r="L739" s="2">
        <v>64</v>
      </c>
      <c r="M739" s="2">
        <v>111</v>
      </c>
      <c r="N739" s="2">
        <v>153</v>
      </c>
      <c r="O739" s="2">
        <v>74</v>
      </c>
      <c r="P739" s="2">
        <v>1325</v>
      </c>
      <c r="Q739" s="2">
        <v>10640</v>
      </c>
      <c r="R739" s="13" t="s">
        <v>27</v>
      </c>
      <c r="S739" s="13" t="s">
        <v>27</v>
      </c>
    </row>
    <row r="740" spans="1:19" hidden="1" x14ac:dyDescent="0.3">
      <c r="A740" s="14">
        <v>43920.708333333336</v>
      </c>
      <c r="B740" s="13" t="s">
        <v>23</v>
      </c>
      <c r="C740" s="2">
        <v>18</v>
      </c>
      <c r="D740" s="13" t="s">
        <v>47</v>
      </c>
      <c r="E740" s="2">
        <v>3890597598</v>
      </c>
      <c r="F740" s="2">
        <v>1659440194</v>
      </c>
      <c r="G740" s="2">
        <v>130</v>
      </c>
      <c r="H740" s="2">
        <v>18</v>
      </c>
      <c r="I740" s="2">
        <v>148</v>
      </c>
      <c r="J740" s="2">
        <v>454</v>
      </c>
      <c r="K740" s="2">
        <v>602</v>
      </c>
      <c r="L740" s="2">
        <v>25</v>
      </c>
      <c r="M740" s="2">
        <v>33</v>
      </c>
      <c r="N740" s="2">
        <v>14</v>
      </c>
      <c r="O740" s="2">
        <v>31</v>
      </c>
      <c r="P740" s="2">
        <v>647</v>
      </c>
      <c r="Q740" s="2">
        <v>9013</v>
      </c>
      <c r="R740" s="13" t="s">
        <v>27</v>
      </c>
      <c r="S740" s="13" t="s">
        <v>27</v>
      </c>
    </row>
    <row r="741" spans="1:19" hidden="1" x14ac:dyDescent="0.3">
      <c r="A741" s="14">
        <v>43920.708333333336</v>
      </c>
      <c r="B741" s="13" t="s">
        <v>23</v>
      </c>
      <c r="C741" s="2">
        <v>15</v>
      </c>
      <c r="D741" s="13" t="s">
        <v>48</v>
      </c>
      <c r="E741" s="2">
        <v>4083956555</v>
      </c>
      <c r="F741" s="2">
        <v>1425084984</v>
      </c>
      <c r="G741" s="2">
        <v>468</v>
      </c>
      <c r="H741" s="2">
        <v>126</v>
      </c>
      <c r="I741" s="2">
        <v>594</v>
      </c>
      <c r="J741" s="2">
        <v>1145</v>
      </c>
      <c r="K741" s="2">
        <v>1739</v>
      </c>
      <c r="L741" s="2">
        <v>183</v>
      </c>
      <c r="M741" s="2">
        <v>193</v>
      </c>
      <c r="N741" s="2">
        <v>88</v>
      </c>
      <c r="O741" s="2">
        <v>125</v>
      </c>
      <c r="P741" s="2">
        <v>1952</v>
      </c>
      <c r="Q741" s="2">
        <v>12969</v>
      </c>
      <c r="R741" s="13" t="s">
        <v>27</v>
      </c>
      <c r="S741" s="13" t="s">
        <v>27</v>
      </c>
    </row>
    <row r="742" spans="1:19" hidden="1" x14ac:dyDescent="0.3">
      <c r="A742" s="14">
        <v>43920.708333333336</v>
      </c>
      <c r="B742" s="13" t="s">
        <v>23</v>
      </c>
      <c r="C742" s="2">
        <v>8</v>
      </c>
      <c r="D742" s="13" t="s">
        <v>98</v>
      </c>
      <c r="E742" s="2">
        <v>4449436681</v>
      </c>
      <c r="F742" s="2">
        <v>113417208</v>
      </c>
      <c r="G742" s="2">
        <v>3779</v>
      </c>
      <c r="H742" s="2">
        <v>351</v>
      </c>
      <c r="I742" s="2">
        <v>4130</v>
      </c>
      <c r="J742" s="2">
        <v>6636</v>
      </c>
      <c r="K742" s="2">
        <v>10766</v>
      </c>
      <c r="L742" s="2">
        <v>231</v>
      </c>
      <c r="M742" s="2">
        <v>412</v>
      </c>
      <c r="N742" s="2">
        <v>1227</v>
      </c>
      <c r="O742" s="2">
        <v>1538</v>
      </c>
      <c r="P742" s="2">
        <v>13531</v>
      </c>
      <c r="Q742" s="2">
        <v>50990</v>
      </c>
      <c r="R742" s="13" t="s">
        <v>27</v>
      </c>
      <c r="S742" s="13" t="s">
        <v>27</v>
      </c>
    </row>
    <row r="743" spans="1:19" hidden="1" x14ac:dyDescent="0.3">
      <c r="A743" s="14">
        <v>43920.708333333336</v>
      </c>
      <c r="B743" s="13" t="s">
        <v>23</v>
      </c>
      <c r="C743" s="2">
        <v>6</v>
      </c>
      <c r="D743" s="13" t="s">
        <v>49</v>
      </c>
      <c r="E743" s="2">
        <v>456494354</v>
      </c>
      <c r="F743" s="2">
        <v>1376813649</v>
      </c>
      <c r="G743" s="2">
        <v>229</v>
      </c>
      <c r="H743" s="2">
        <v>60</v>
      </c>
      <c r="I743" s="2">
        <v>289</v>
      </c>
      <c r="J743" s="2">
        <v>820</v>
      </c>
      <c r="K743" s="2">
        <v>1109</v>
      </c>
      <c r="L743" s="2">
        <v>-32</v>
      </c>
      <c r="M743" s="2">
        <v>21</v>
      </c>
      <c r="N743" s="2">
        <v>285</v>
      </c>
      <c r="O743" s="2">
        <v>107</v>
      </c>
      <c r="P743" s="2">
        <v>1501</v>
      </c>
      <c r="Q743" s="2">
        <v>14003</v>
      </c>
      <c r="R743" s="13" t="s">
        <v>27</v>
      </c>
      <c r="S743" s="13" t="s">
        <v>27</v>
      </c>
    </row>
    <row r="744" spans="1:19" hidden="1" x14ac:dyDescent="0.3">
      <c r="A744" s="14">
        <v>43920.708333333336</v>
      </c>
      <c r="B744" s="13" t="s">
        <v>23</v>
      </c>
      <c r="C744" s="2">
        <v>12</v>
      </c>
      <c r="D744" s="13" t="s">
        <v>50</v>
      </c>
      <c r="E744" s="2">
        <v>4189277044</v>
      </c>
      <c r="F744" s="2">
        <v>1248366722</v>
      </c>
      <c r="G744" s="2">
        <v>1079</v>
      </c>
      <c r="H744" s="2">
        <v>154</v>
      </c>
      <c r="I744" s="2">
        <v>1233</v>
      </c>
      <c r="J744" s="2">
        <v>1264</v>
      </c>
      <c r="K744" s="2">
        <v>2497</v>
      </c>
      <c r="L744" s="2">
        <v>135</v>
      </c>
      <c r="M744" s="2">
        <v>208</v>
      </c>
      <c r="N744" s="2">
        <v>267</v>
      </c>
      <c r="O744" s="2">
        <v>150</v>
      </c>
      <c r="P744" s="2">
        <v>2914</v>
      </c>
      <c r="Q744" s="2">
        <v>32846</v>
      </c>
      <c r="R744" s="13" t="s">
        <v>27</v>
      </c>
      <c r="S744" s="13" t="s">
        <v>27</v>
      </c>
    </row>
    <row r="745" spans="1:19" hidden="1" x14ac:dyDescent="0.3">
      <c r="A745" s="14">
        <v>43920.708333333336</v>
      </c>
      <c r="B745" s="13" t="s">
        <v>23</v>
      </c>
      <c r="C745" s="2">
        <v>7</v>
      </c>
      <c r="D745" s="13" t="s">
        <v>51</v>
      </c>
      <c r="E745" s="2">
        <v>4441149315</v>
      </c>
      <c r="F745" s="2">
        <v>89326992</v>
      </c>
      <c r="G745" s="2">
        <v>1142</v>
      </c>
      <c r="H745" s="2">
        <v>175</v>
      </c>
      <c r="I745" s="2">
        <v>1317</v>
      </c>
      <c r="J745" s="2">
        <v>1066</v>
      </c>
      <c r="K745" s="2">
        <v>2383</v>
      </c>
      <c r="L745" s="2">
        <v>104</v>
      </c>
      <c r="M745" s="2">
        <v>141</v>
      </c>
      <c r="N745" s="2">
        <v>437</v>
      </c>
      <c r="O745" s="2">
        <v>397</v>
      </c>
      <c r="P745" s="2">
        <v>3217</v>
      </c>
      <c r="Q745" s="2">
        <v>9677</v>
      </c>
      <c r="R745" s="13" t="s">
        <v>27</v>
      </c>
      <c r="S745" s="13" t="s">
        <v>27</v>
      </c>
    </row>
    <row r="746" spans="1:19" x14ac:dyDescent="0.3">
      <c r="A746" s="14">
        <v>43920.708333333336</v>
      </c>
      <c r="B746" s="13" t="s">
        <v>23</v>
      </c>
      <c r="C746" s="2">
        <v>3</v>
      </c>
      <c r="D746" s="13" t="s">
        <v>52</v>
      </c>
      <c r="E746" s="2">
        <v>4546679409</v>
      </c>
      <c r="F746" s="2">
        <v>9190347404</v>
      </c>
      <c r="G746" s="2">
        <v>11815</v>
      </c>
      <c r="H746" s="2">
        <v>1330</v>
      </c>
      <c r="I746" s="2">
        <v>13145</v>
      </c>
      <c r="J746" s="2">
        <v>11861</v>
      </c>
      <c r="K746" s="2">
        <v>25006</v>
      </c>
      <c r="L746" s="2">
        <v>-386</v>
      </c>
      <c r="M746" s="2">
        <v>1154</v>
      </c>
      <c r="N746" s="2">
        <v>10337</v>
      </c>
      <c r="O746" s="2">
        <v>6818</v>
      </c>
      <c r="P746" s="2">
        <v>42161</v>
      </c>
      <c r="Q746" s="2">
        <v>111057</v>
      </c>
      <c r="R746" s="13" t="s">
        <v>27</v>
      </c>
      <c r="S746" s="13" t="s">
        <v>27</v>
      </c>
    </row>
    <row r="747" spans="1:19" hidden="1" x14ac:dyDescent="0.3">
      <c r="A747" s="14">
        <v>43920.708333333336</v>
      </c>
      <c r="B747" s="13" t="s">
        <v>23</v>
      </c>
      <c r="C747" s="2">
        <v>11</v>
      </c>
      <c r="D747" s="13" t="s">
        <v>53</v>
      </c>
      <c r="E747" s="2">
        <v>4361675973</v>
      </c>
      <c r="F747" s="2">
        <v>135188753</v>
      </c>
      <c r="G747" s="2">
        <v>998</v>
      </c>
      <c r="H747" s="2">
        <v>167</v>
      </c>
      <c r="I747" s="2">
        <v>1165</v>
      </c>
      <c r="J747" s="2">
        <v>2086</v>
      </c>
      <c r="K747" s="2">
        <v>3251</v>
      </c>
      <c r="L747" s="2">
        <v>91</v>
      </c>
      <c r="M747" s="2">
        <v>126</v>
      </c>
      <c r="N747" s="2">
        <v>16</v>
      </c>
      <c r="O747" s="2">
        <v>417</v>
      </c>
      <c r="P747" s="2">
        <v>3684</v>
      </c>
      <c r="Q747" s="2">
        <v>10979</v>
      </c>
      <c r="R747" s="13" t="s">
        <v>27</v>
      </c>
      <c r="S747" s="13" t="s">
        <v>27</v>
      </c>
    </row>
    <row r="748" spans="1:19" hidden="1" x14ac:dyDescent="0.3">
      <c r="A748" s="14">
        <v>43920.708333333336</v>
      </c>
      <c r="B748" s="13" t="s">
        <v>23</v>
      </c>
      <c r="C748" s="2">
        <v>14</v>
      </c>
      <c r="D748" s="13" t="s">
        <v>54</v>
      </c>
      <c r="E748" s="2">
        <v>4155774754</v>
      </c>
      <c r="F748" s="2">
        <v>1465916051</v>
      </c>
      <c r="G748" s="2">
        <v>27</v>
      </c>
      <c r="H748" s="2">
        <v>8</v>
      </c>
      <c r="I748" s="2">
        <v>35</v>
      </c>
      <c r="J748" s="2">
        <v>72</v>
      </c>
      <c r="K748" s="2">
        <v>107</v>
      </c>
      <c r="L748" s="2">
        <v>7</v>
      </c>
      <c r="M748" s="2">
        <v>7</v>
      </c>
      <c r="N748" s="2">
        <v>18</v>
      </c>
      <c r="O748" s="2">
        <v>9</v>
      </c>
      <c r="P748" s="2">
        <v>134</v>
      </c>
      <c r="Q748" s="2">
        <v>955</v>
      </c>
      <c r="R748" s="13" t="s">
        <v>27</v>
      </c>
      <c r="S748" s="13" t="s">
        <v>27</v>
      </c>
    </row>
    <row r="749" spans="1:19" hidden="1" x14ac:dyDescent="0.3">
      <c r="A749" s="14">
        <v>43920.708333333336</v>
      </c>
      <c r="B749" s="13" t="s">
        <v>23</v>
      </c>
      <c r="C749" s="2">
        <v>1</v>
      </c>
      <c r="D749" s="13" t="s">
        <v>55</v>
      </c>
      <c r="E749" s="2">
        <v>450732745</v>
      </c>
      <c r="F749" s="2">
        <v>7680687483</v>
      </c>
      <c r="G749" s="2">
        <v>2985</v>
      </c>
      <c r="H749" s="2">
        <v>452</v>
      </c>
      <c r="I749" s="2">
        <v>3437</v>
      </c>
      <c r="J749" s="2">
        <v>4218</v>
      </c>
      <c r="K749" s="2">
        <v>7655</v>
      </c>
      <c r="L749" s="2">
        <v>387</v>
      </c>
      <c r="M749" s="2">
        <v>506</v>
      </c>
      <c r="N749" s="2">
        <v>308</v>
      </c>
      <c r="O749" s="2">
        <v>749</v>
      </c>
      <c r="P749" s="2">
        <v>8712</v>
      </c>
      <c r="Q749" s="2">
        <v>25478</v>
      </c>
      <c r="R749" s="13" t="s">
        <v>27</v>
      </c>
      <c r="S749" s="13" t="s">
        <v>27</v>
      </c>
    </row>
    <row r="750" spans="1:19" hidden="1" x14ac:dyDescent="0.3">
      <c r="A750" s="14">
        <v>43920.708333333336</v>
      </c>
      <c r="B750" s="13" t="s">
        <v>23</v>
      </c>
      <c r="C750" s="2">
        <v>16</v>
      </c>
      <c r="D750" s="13" t="s">
        <v>56</v>
      </c>
      <c r="E750" s="2">
        <v>4112559576</v>
      </c>
      <c r="F750" s="2">
        <v>1686736689</v>
      </c>
      <c r="G750" s="2">
        <v>590</v>
      </c>
      <c r="H750" s="2">
        <v>106</v>
      </c>
      <c r="I750" s="2">
        <v>696</v>
      </c>
      <c r="J750" s="2">
        <v>889</v>
      </c>
      <c r="K750" s="2">
        <v>1585</v>
      </c>
      <c r="L750" s="2">
        <v>153</v>
      </c>
      <c r="M750" s="2">
        <v>163</v>
      </c>
      <c r="N750" s="2">
        <v>36</v>
      </c>
      <c r="O750" s="2">
        <v>91</v>
      </c>
      <c r="P750" s="2">
        <v>1712</v>
      </c>
      <c r="Q750" s="2">
        <v>13117</v>
      </c>
      <c r="R750" s="13" t="s">
        <v>27</v>
      </c>
      <c r="S750" s="13" t="s">
        <v>27</v>
      </c>
    </row>
    <row r="751" spans="1:19" hidden="1" x14ac:dyDescent="0.3">
      <c r="A751" s="14">
        <v>43920.708333333336</v>
      </c>
      <c r="B751" s="13" t="s">
        <v>23</v>
      </c>
      <c r="C751" s="2">
        <v>20</v>
      </c>
      <c r="D751" s="13" t="s">
        <v>57</v>
      </c>
      <c r="E751" s="2">
        <v>3921531192</v>
      </c>
      <c r="F751" s="2">
        <v>9110616306</v>
      </c>
      <c r="G751" s="2">
        <v>113</v>
      </c>
      <c r="H751" s="2">
        <v>24</v>
      </c>
      <c r="I751" s="2">
        <v>137</v>
      </c>
      <c r="J751" s="2">
        <v>485</v>
      </c>
      <c r="K751" s="2">
        <v>622</v>
      </c>
      <c r="L751" s="2">
        <v>40</v>
      </c>
      <c r="M751" s="2">
        <v>44</v>
      </c>
      <c r="N751" s="2">
        <v>32</v>
      </c>
      <c r="O751" s="2">
        <v>28</v>
      </c>
      <c r="P751" s="2">
        <v>682</v>
      </c>
      <c r="Q751" s="2">
        <v>4993</v>
      </c>
      <c r="R751" s="13" t="s">
        <v>27</v>
      </c>
      <c r="S751" s="13" t="s">
        <v>27</v>
      </c>
    </row>
    <row r="752" spans="1:19" hidden="1" x14ac:dyDescent="0.3">
      <c r="A752" s="14">
        <v>43920.708333333336</v>
      </c>
      <c r="B752" s="13" t="s">
        <v>23</v>
      </c>
      <c r="C752" s="2">
        <v>19</v>
      </c>
      <c r="D752" s="13" t="s">
        <v>58</v>
      </c>
      <c r="E752" s="2">
        <v>3811569725</v>
      </c>
      <c r="F752" s="2">
        <v>133623567</v>
      </c>
      <c r="G752" s="2">
        <v>484</v>
      </c>
      <c r="H752" s="2">
        <v>75</v>
      </c>
      <c r="I752" s="2">
        <v>559</v>
      </c>
      <c r="J752" s="2">
        <v>849</v>
      </c>
      <c r="K752" s="2">
        <v>1408</v>
      </c>
      <c r="L752" s="2">
        <v>78</v>
      </c>
      <c r="M752" s="2">
        <v>95</v>
      </c>
      <c r="N752" s="2">
        <v>71</v>
      </c>
      <c r="O752" s="2">
        <v>76</v>
      </c>
      <c r="P752" s="2">
        <v>1555</v>
      </c>
      <c r="Q752" s="2">
        <v>14758</v>
      </c>
      <c r="R752" s="13" t="s">
        <v>27</v>
      </c>
      <c r="S752" s="13" t="s">
        <v>27</v>
      </c>
    </row>
    <row r="753" spans="1:19" hidden="1" x14ac:dyDescent="0.3">
      <c r="A753" s="14">
        <v>43920.708333333336</v>
      </c>
      <c r="B753" s="13" t="s">
        <v>23</v>
      </c>
      <c r="C753" s="2">
        <v>9</v>
      </c>
      <c r="D753" s="13" t="s">
        <v>59</v>
      </c>
      <c r="E753" s="2">
        <v>4376923077</v>
      </c>
      <c r="F753" s="2">
        <v>1125588885</v>
      </c>
      <c r="G753" s="2">
        <v>1116</v>
      </c>
      <c r="H753" s="2">
        <v>279</v>
      </c>
      <c r="I753" s="2">
        <v>1395</v>
      </c>
      <c r="J753" s="2">
        <v>2655</v>
      </c>
      <c r="K753" s="2">
        <v>4050</v>
      </c>
      <c r="L753" s="2">
        <v>264</v>
      </c>
      <c r="M753" s="2">
        <v>290</v>
      </c>
      <c r="N753" s="2">
        <v>131</v>
      </c>
      <c r="O753" s="2">
        <v>231</v>
      </c>
      <c r="P753" s="2">
        <v>4412</v>
      </c>
      <c r="Q753" s="2">
        <v>30099</v>
      </c>
      <c r="R753" s="13" t="s">
        <v>27</v>
      </c>
      <c r="S753" s="13" t="s">
        <v>27</v>
      </c>
    </row>
    <row r="754" spans="1:19" hidden="1" x14ac:dyDescent="0.3">
      <c r="A754" s="14">
        <v>43920.708333333336</v>
      </c>
      <c r="B754" s="13" t="s">
        <v>23</v>
      </c>
      <c r="C754" s="2">
        <v>4</v>
      </c>
      <c r="D754" s="13" t="s">
        <v>60</v>
      </c>
      <c r="E754" s="2">
        <v>4606893511</v>
      </c>
      <c r="F754" s="2">
        <v>1112123097</v>
      </c>
      <c r="G754" s="2">
        <v>353</v>
      </c>
      <c r="H754" s="2">
        <v>78</v>
      </c>
      <c r="I754" s="2">
        <v>431</v>
      </c>
      <c r="J754" s="2">
        <v>926</v>
      </c>
      <c r="K754" s="2">
        <v>1357</v>
      </c>
      <c r="L754" s="2">
        <v>64</v>
      </c>
      <c r="M754" s="2">
        <v>88</v>
      </c>
      <c r="N754" s="2">
        <v>178</v>
      </c>
      <c r="O754" s="2">
        <v>147</v>
      </c>
      <c r="P754" s="2">
        <v>1682</v>
      </c>
      <c r="Q754" s="2">
        <v>6377</v>
      </c>
      <c r="R754" s="13" t="s">
        <v>27</v>
      </c>
      <c r="S754" s="13" t="s">
        <v>27</v>
      </c>
    </row>
    <row r="755" spans="1:19" hidden="1" x14ac:dyDescent="0.3">
      <c r="A755" s="14">
        <v>43920.708333333336</v>
      </c>
      <c r="B755" s="13" t="s">
        <v>23</v>
      </c>
      <c r="C755" s="2">
        <v>10</v>
      </c>
      <c r="D755" s="13" t="s">
        <v>61</v>
      </c>
      <c r="E755" s="2">
        <v>4310675841</v>
      </c>
      <c r="F755" s="2">
        <v>1238824698</v>
      </c>
      <c r="G755" s="2">
        <v>173</v>
      </c>
      <c r="H755" s="2">
        <v>47</v>
      </c>
      <c r="I755" s="2">
        <v>220</v>
      </c>
      <c r="J755" s="2">
        <v>614</v>
      </c>
      <c r="K755" s="2">
        <v>834</v>
      </c>
      <c r="L755" s="2">
        <v>-63</v>
      </c>
      <c r="M755" s="2">
        <v>28</v>
      </c>
      <c r="N755" s="2">
        <v>184</v>
      </c>
      <c r="O755" s="2">
        <v>33</v>
      </c>
      <c r="P755" s="2">
        <v>1051</v>
      </c>
      <c r="Q755" s="2">
        <v>8150</v>
      </c>
      <c r="R755" s="13" t="s">
        <v>27</v>
      </c>
      <c r="S755" s="13" t="s">
        <v>27</v>
      </c>
    </row>
    <row r="756" spans="1:19" hidden="1" x14ac:dyDescent="0.3">
      <c r="A756" s="14">
        <v>43920.708333333336</v>
      </c>
      <c r="B756" s="13" t="s">
        <v>23</v>
      </c>
      <c r="C756" s="2">
        <v>2</v>
      </c>
      <c r="D756" s="13" t="s">
        <v>62</v>
      </c>
      <c r="E756" s="2">
        <v>4573750286</v>
      </c>
      <c r="F756" s="2">
        <v>7320149366</v>
      </c>
      <c r="G756" s="2">
        <v>92</v>
      </c>
      <c r="H756" s="2">
        <v>26</v>
      </c>
      <c r="I756" s="2">
        <v>118</v>
      </c>
      <c r="J756" s="2">
        <v>400</v>
      </c>
      <c r="K756" s="2">
        <v>518</v>
      </c>
      <c r="L756" s="2">
        <v>-21</v>
      </c>
      <c r="M756" s="2">
        <v>0</v>
      </c>
      <c r="N756" s="2">
        <v>16</v>
      </c>
      <c r="O756" s="2">
        <v>50</v>
      </c>
      <c r="P756" s="2">
        <v>584</v>
      </c>
      <c r="Q756" s="2">
        <v>1536</v>
      </c>
      <c r="R756" s="13" t="s">
        <v>27</v>
      </c>
      <c r="S756" s="13" t="s">
        <v>27</v>
      </c>
    </row>
    <row r="757" spans="1:19" hidden="1" x14ac:dyDescent="0.3">
      <c r="A757" s="14">
        <v>43920.708333333336</v>
      </c>
      <c r="B757" s="13" t="s">
        <v>23</v>
      </c>
      <c r="C757" s="2">
        <v>5</v>
      </c>
      <c r="D757" s="13" t="s">
        <v>63</v>
      </c>
      <c r="E757" s="2">
        <v>4543490485</v>
      </c>
      <c r="F757" s="2">
        <v>1233845213</v>
      </c>
      <c r="G757" s="2">
        <v>1633</v>
      </c>
      <c r="H757" s="2">
        <v>356</v>
      </c>
      <c r="I757" s="2">
        <v>1989</v>
      </c>
      <c r="J757" s="2">
        <v>5575</v>
      </c>
      <c r="K757" s="2">
        <v>7564</v>
      </c>
      <c r="L757" s="2">
        <v>313</v>
      </c>
      <c r="M757" s="2">
        <v>366</v>
      </c>
      <c r="N757" s="2">
        <v>747</v>
      </c>
      <c r="O757" s="2">
        <v>413</v>
      </c>
      <c r="P757" s="2">
        <v>8724</v>
      </c>
      <c r="Q757" s="2">
        <v>99941</v>
      </c>
      <c r="R757" s="13" t="s">
        <v>27</v>
      </c>
      <c r="S757" s="13" t="s">
        <v>27</v>
      </c>
    </row>
    <row r="758" spans="1:19" hidden="1" x14ac:dyDescent="0.3">
      <c r="A758" s="14">
        <v>43921.708333333336</v>
      </c>
      <c r="B758" s="13" t="s">
        <v>23</v>
      </c>
      <c r="C758" s="2">
        <v>13</v>
      </c>
      <c r="D758" s="13" t="s">
        <v>44</v>
      </c>
      <c r="E758" s="2">
        <v>4235122196</v>
      </c>
      <c r="F758" s="2">
        <v>1339843823</v>
      </c>
      <c r="G758" s="2">
        <v>335</v>
      </c>
      <c r="H758" s="2">
        <v>73</v>
      </c>
      <c r="I758" s="2">
        <v>408</v>
      </c>
      <c r="J758" s="2">
        <v>783</v>
      </c>
      <c r="K758" s="2">
        <v>1191</v>
      </c>
      <c r="L758" s="2">
        <v>22</v>
      </c>
      <c r="M758" s="2">
        <v>56</v>
      </c>
      <c r="N758" s="2">
        <v>95</v>
      </c>
      <c r="O758" s="2">
        <v>115</v>
      </c>
      <c r="P758" s="2">
        <v>1401</v>
      </c>
      <c r="Q758" s="2">
        <v>8758</v>
      </c>
      <c r="R758" s="13" t="s">
        <v>27</v>
      </c>
      <c r="S758" s="13" t="s">
        <v>27</v>
      </c>
    </row>
    <row r="759" spans="1:19" hidden="1" x14ac:dyDescent="0.3">
      <c r="A759" s="14">
        <v>43921.708333333336</v>
      </c>
      <c r="B759" s="13" t="s">
        <v>23</v>
      </c>
      <c r="C759" s="2">
        <v>17</v>
      </c>
      <c r="D759" s="13" t="s">
        <v>45</v>
      </c>
      <c r="E759" s="2">
        <v>4063947052</v>
      </c>
      <c r="F759" s="2">
        <v>1580514834</v>
      </c>
      <c r="G759" s="2">
        <v>37</v>
      </c>
      <c r="H759" s="2">
        <v>17</v>
      </c>
      <c r="I759" s="2">
        <v>54</v>
      </c>
      <c r="J759" s="2">
        <v>162</v>
      </c>
      <c r="K759" s="2">
        <v>216</v>
      </c>
      <c r="L759" s="2">
        <v>8</v>
      </c>
      <c r="M759" s="2">
        <v>12</v>
      </c>
      <c r="N759" s="2">
        <v>3</v>
      </c>
      <c r="O759" s="2">
        <v>7</v>
      </c>
      <c r="P759" s="2">
        <v>226</v>
      </c>
      <c r="Q759" s="2">
        <v>2043</v>
      </c>
      <c r="R759" s="13" t="s">
        <v>27</v>
      </c>
      <c r="S759" s="13" t="s">
        <v>27</v>
      </c>
    </row>
    <row r="760" spans="1:19" hidden="1" x14ac:dyDescent="0.3">
      <c r="A760" s="14">
        <v>43921.708333333336</v>
      </c>
      <c r="B760" s="13" t="s">
        <v>23</v>
      </c>
      <c r="C760" s="2">
        <v>4</v>
      </c>
      <c r="D760" s="13" t="s">
        <v>46</v>
      </c>
      <c r="E760" s="2">
        <v>4649933453</v>
      </c>
      <c r="F760" s="2">
        <v>1135662422</v>
      </c>
      <c r="G760" s="2">
        <v>249</v>
      </c>
      <c r="H760" s="2">
        <v>62</v>
      </c>
      <c r="I760" s="2">
        <v>311</v>
      </c>
      <c r="J760" s="2">
        <v>831</v>
      </c>
      <c r="K760" s="2">
        <v>1142</v>
      </c>
      <c r="L760" s="2">
        <v>44</v>
      </c>
      <c r="M760" s="2">
        <v>46</v>
      </c>
      <c r="N760" s="2">
        <v>153</v>
      </c>
      <c r="O760" s="2">
        <v>76</v>
      </c>
      <c r="P760" s="2">
        <v>1371</v>
      </c>
      <c r="Q760" s="2">
        <v>11275</v>
      </c>
      <c r="R760" s="13" t="s">
        <v>27</v>
      </c>
      <c r="S760" s="13" t="s">
        <v>27</v>
      </c>
    </row>
    <row r="761" spans="1:19" hidden="1" x14ac:dyDescent="0.3">
      <c r="A761" s="14">
        <v>43921.708333333336</v>
      </c>
      <c r="B761" s="13" t="s">
        <v>23</v>
      </c>
      <c r="C761" s="2">
        <v>18</v>
      </c>
      <c r="D761" s="13" t="s">
        <v>47</v>
      </c>
      <c r="E761" s="2">
        <v>3890597598</v>
      </c>
      <c r="F761" s="2">
        <v>1659440194</v>
      </c>
      <c r="G761" s="2">
        <v>132</v>
      </c>
      <c r="H761" s="2">
        <v>17</v>
      </c>
      <c r="I761" s="2">
        <v>149</v>
      </c>
      <c r="J761" s="2">
        <v>457</v>
      </c>
      <c r="K761" s="2">
        <v>606</v>
      </c>
      <c r="L761" s="2">
        <v>4</v>
      </c>
      <c r="M761" s="2">
        <v>12</v>
      </c>
      <c r="N761" s="2">
        <v>17</v>
      </c>
      <c r="O761" s="2">
        <v>36</v>
      </c>
      <c r="P761" s="2">
        <v>659</v>
      </c>
      <c r="Q761" s="2">
        <v>9327</v>
      </c>
      <c r="R761" s="13" t="s">
        <v>27</v>
      </c>
      <c r="S761" s="13" t="s">
        <v>27</v>
      </c>
    </row>
    <row r="762" spans="1:19" hidden="1" x14ac:dyDescent="0.3">
      <c r="A762" s="14">
        <v>43921.708333333336</v>
      </c>
      <c r="B762" s="13" t="s">
        <v>23</v>
      </c>
      <c r="C762" s="2">
        <v>15</v>
      </c>
      <c r="D762" s="13" t="s">
        <v>48</v>
      </c>
      <c r="E762" s="2">
        <v>4083956555</v>
      </c>
      <c r="F762" s="2">
        <v>1425084984</v>
      </c>
      <c r="G762" s="2">
        <v>501</v>
      </c>
      <c r="H762" s="2">
        <v>133</v>
      </c>
      <c r="I762" s="2">
        <v>634</v>
      </c>
      <c r="J762" s="2">
        <v>1237</v>
      </c>
      <c r="K762" s="2">
        <v>1871</v>
      </c>
      <c r="L762" s="2">
        <v>132</v>
      </c>
      <c r="M762" s="2">
        <v>140</v>
      </c>
      <c r="N762" s="2">
        <v>88</v>
      </c>
      <c r="O762" s="2">
        <v>133</v>
      </c>
      <c r="P762" s="2">
        <v>2092</v>
      </c>
      <c r="Q762" s="2">
        <v>14403</v>
      </c>
      <c r="R762" s="13" t="s">
        <v>27</v>
      </c>
      <c r="S762" s="13" t="s">
        <v>27</v>
      </c>
    </row>
    <row r="763" spans="1:19" hidden="1" x14ac:dyDescent="0.3">
      <c r="A763" s="14">
        <v>43921.708333333336</v>
      </c>
      <c r="B763" s="13" t="s">
        <v>23</v>
      </c>
      <c r="C763" s="2">
        <v>8</v>
      </c>
      <c r="D763" s="13" t="s">
        <v>98</v>
      </c>
      <c r="E763" s="2">
        <v>4449436681</v>
      </c>
      <c r="F763" s="2">
        <v>113417208</v>
      </c>
      <c r="G763" s="2">
        <v>3765</v>
      </c>
      <c r="H763" s="2">
        <v>353</v>
      </c>
      <c r="I763" s="2">
        <v>4118</v>
      </c>
      <c r="J763" s="2">
        <v>6835</v>
      </c>
      <c r="K763" s="2">
        <v>10953</v>
      </c>
      <c r="L763" s="2">
        <v>187</v>
      </c>
      <c r="M763" s="2">
        <v>543</v>
      </c>
      <c r="N763" s="2">
        <v>1477</v>
      </c>
      <c r="O763" s="2">
        <v>1644</v>
      </c>
      <c r="P763" s="2">
        <v>14074</v>
      </c>
      <c r="Q763" s="2">
        <v>54532</v>
      </c>
      <c r="R763" s="13" t="s">
        <v>27</v>
      </c>
      <c r="S763" s="13" t="s">
        <v>27</v>
      </c>
    </row>
    <row r="764" spans="1:19" hidden="1" x14ac:dyDescent="0.3">
      <c r="A764" s="14">
        <v>43921.708333333336</v>
      </c>
      <c r="B764" s="13" t="s">
        <v>23</v>
      </c>
      <c r="C764" s="2">
        <v>6</v>
      </c>
      <c r="D764" s="13" t="s">
        <v>49</v>
      </c>
      <c r="E764" s="2">
        <v>456494354</v>
      </c>
      <c r="F764" s="2">
        <v>1376813649</v>
      </c>
      <c r="G764" s="2">
        <v>215</v>
      </c>
      <c r="H764" s="2">
        <v>60</v>
      </c>
      <c r="I764" s="2">
        <v>275</v>
      </c>
      <c r="J764" s="2">
        <v>885</v>
      </c>
      <c r="K764" s="2">
        <v>1160</v>
      </c>
      <c r="L764" s="2">
        <v>51</v>
      </c>
      <c r="M764" s="2">
        <v>92</v>
      </c>
      <c r="N764" s="2">
        <v>320</v>
      </c>
      <c r="O764" s="2">
        <v>113</v>
      </c>
      <c r="P764" s="2">
        <v>1593</v>
      </c>
      <c r="Q764" s="2">
        <v>14899</v>
      </c>
      <c r="R764" s="13" t="s">
        <v>27</v>
      </c>
      <c r="S764" s="13" t="s">
        <v>27</v>
      </c>
    </row>
    <row r="765" spans="1:19" hidden="1" x14ac:dyDescent="0.3">
      <c r="A765" s="14">
        <v>43921.708333333336</v>
      </c>
      <c r="B765" s="13" t="s">
        <v>23</v>
      </c>
      <c r="C765" s="2">
        <v>12</v>
      </c>
      <c r="D765" s="13" t="s">
        <v>50</v>
      </c>
      <c r="E765" s="2">
        <v>4189277044</v>
      </c>
      <c r="F765" s="2">
        <v>1248366722</v>
      </c>
      <c r="G765" s="2">
        <v>1127</v>
      </c>
      <c r="H765" s="2">
        <v>173</v>
      </c>
      <c r="I765" s="2">
        <v>1300</v>
      </c>
      <c r="J765" s="2">
        <v>1342</v>
      </c>
      <c r="K765" s="2">
        <v>2642</v>
      </c>
      <c r="L765" s="2">
        <v>145</v>
      </c>
      <c r="M765" s="2">
        <v>181</v>
      </c>
      <c r="N765" s="2">
        <v>291</v>
      </c>
      <c r="O765" s="2">
        <v>162</v>
      </c>
      <c r="P765" s="2">
        <v>3095</v>
      </c>
      <c r="Q765" s="2">
        <v>34677</v>
      </c>
      <c r="R765" s="13" t="s">
        <v>27</v>
      </c>
      <c r="S765" s="13" t="s">
        <v>27</v>
      </c>
    </row>
    <row r="766" spans="1:19" hidden="1" x14ac:dyDescent="0.3">
      <c r="A766" s="14">
        <v>43921.708333333336</v>
      </c>
      <c r="B766" s="13" t="s">
        <v>23</v>
      </c>
      <c r="C766" s="2">
        <v>7</v>
      </c>
      <c r="D766" s="13" t="s">
        <v>51</v>
      </c>
      <c r="E766" s="2">
        <v>4441149315</v>
      </c>
      <c r="F766" s="2">
        <v>89326992</v>
      </c>
      <c r="G766" s="2">
        <v>1153</v>
      </c>
      <c r="H766" s="2">
        <v>179</v>
      </c>
      <c r="I766" s="2">
        <v>1332</v>
      </c>
      <c r="J766" s="2">
        <v>1176</v>
      </c>
      <c r="K766" s="2">
        <v>2508</v>
      </c>
      <c r="L766" s="2">
        <v>125</v>
      </c>
      <c r="M766" s="2">
        <v>199</v>
      </c>
      <c r="N766" s="2">
        <v>480</v>
      </c>
      <c r="O766" s="2">
        <v>428</v>
      </c>
      <c r="P766" s="2">
        <v>3416</v>
      </c>
      <c r="Q766" s="2">
        <v>10376</v>
      </c>
      <c r="R766" s="13" t="s">
        <v>27</v>
      </c>
      <c r="S766" s="13" t="s">
        <v>27</v>
      </c>
    </row>
    <row r="767" spans="1:19" x14ac:dyDescent="0.3">
      <c r="A767" s="14">
        <v>43921.708333333336</v>
      </c>
      <c r="B767" s="13" t="s">
        <v>23</v>
      </c>
      <c r="C767" s="2">
        <v>3</v>
      </c>
      <c r="D767" s="13" t="s">
        <v>52</v>
      </c>
      <c r="E767" s="2">
        <v>4546679409</v>
      </c>
      <c r="F767" s="2">
        <v>9190347404</v>
      </c>
      <c r="G767" s="2">
        <v>11883</v>
      </c>
      <c r="H767" s="2">
        <v>1324</v>
      </c>
      <c r="I767" s="2">
        <v>13207</v>
      </c>
      <c r="J767" s="2">
        <v>11917</v>
      </c>
      <c r="K767" s="2">
        <v>25124</v>
      </c>
      <c r="L767" s="2">
        <v>118</v>
      </c>
      <c r="M767" s="2">
        <v>1047</v>
      </c>
      <c r="N767" s="2">
        <v>10885</v>
      </c>
      <c r="O767" s="2">
        <v>7199</v>
      </c>
      <c r="P767" s="2">
        <v>43208</v>
      </c>
      <c r="Q767" s="2">
        <v>114640</v>
      </c>
      <c r="R767" s="13" t="s">
        <v>27</v>
      </c>
      <c r="S767" s="13" t="s">
        <v>27</v>
      </c>
    </row>
    <row r="768" spans="1:19" hidden="1" x14ac:dyDescent="0.3">
      <c r="A768" s="14">
        <v>43921.708333333336</v>
      </c>
      <c r="B768" s="13" t="s">
        <v>23</v>
      </c>
      <c r="C768" s="2">
        <v>11</v>
      </c>
      <c r="D768" s="13" t="s">
        <v>53</v>
      </c>
      <c r="E768" s="2">
        <v>4361675973</v>
      </c>
      <c r="F768" s="2">
        <v>135188753</v>
      </c>
      <c r="G768" s="2">
        <v>946</v>
      </c>
      <c r="H768" s="2">
        <v>169</v>
      </c>
      <c r="I768" s="2">
        <v>1115</v>
      </c>
      <c r="J768" s="2">
        <v>2237</v>
      </c>
      <c r="K768" s="2">
        <v>3352</v>
      </c>
      <c r="L768" s="2">
        <v>101</v>
      </c>
      <c r="M768" s="2">
        <v>141</v>
      </c>
      <c r="N768" s="2">
        <v>21</v>
      </c>
      <c r="O768" s="2">
        <v>452</v>
      </c>
      <c r="P768" s="2">
        <v>3825</v>
      </c>
      <c r="Q768" s="2">
        <v>11724</v>
      </c>
      <c r="R768" s="13" t="s">
        <v>27</v>
      </c>
      <c r="S768" s="13" t="s">
        <v>27</v>
      </c>
    </row>
    <row r="769" spans="1:19" hidden="1" x14ac:dyDescent="0.3">
      <c r="A769" s="14">
        <v>43921.708333333336</v>
      </c>
      <c r="B769" s="13" t="s">
        <v>23</v>
      </c>
      <c r="C769" s="2">
        <v>14</v>
      </c>
      <c r="D769" s="13" t="s">
        <v>54</v>
      </c>
      <c r="E769" s="2">
        <v>4155774754</v>
      </c>
      <c r="F769" s="2">
        <v>1465916051</v>
      </c>
      <c r="G769" s="2">
        <v>29</v>
      </c>
      <c r="H769" s="2">
        <v>8</v>
      </c>
      <c r="I769" s="2">
        <v>37</v>
      </c>
      <c r="J769" s="2">
        <v>80</v>
      </c>
      <c r="K769" s="2">
        <v>117</v>
      </c>
      <c r="L769" s="2">
        <v>10</v>
      </c>
      <c r="M769" s="2">
        <v>10</v>
      </c>
      <c r="N769" s="2">
        <v>18</v>
      </c>
      <c r="O769" s="2">
        <v>9</v>
      </c>
      <c r="P769" s="2">
        <v>144</v>
      </c>
      <c r="Q769" s="2">
        <v>1049</v>
      </c>
      <c r="R769" s="13" t="s">
        <v>27</v>
      </c>
      <c r="S769" s="13" t="s">
        <v>27</v>
      </c>
    </row>
    <row r="770" spans="1:19" hidden="1" x14ac:dyDescent="0.3">
      <c r="A770" s="14">
        <v>43921.708333333336</v>
      </c>
      <c r="B770" s="13" t="s">
        <v>23</v>
      </c>
      <c r="C770" s="2">
        <v>1</v>
      </c>
      <c r="D770" s="13" t="s">
        <v>55</v>
      </c>
      <c r="E770" s="2">
        <v>450732745</v>
      </c>
      <c r="F770" s="2">
        <v>7680687483</v>
      </c>
      <c r="G770" s="2">
        <v>3174</v>
      </c>
      <c r="H770" s="2">
        <v>452</v>
      </c>
      <c r="I770" s="2">
        <v>3626</v>
      </c>
      <c r="J770" s="2">
        <v>4456</v>
      </c>
      <c r="K770" s="2">
        <v>8082</v>
      </c>
      <c r="L770" s="2">
        <v>427</v>
      </c>
      <c r="M770" s="2">
        <v>589</v>
      </c>
      <c r="N770" s="2">
        <v>365</v>
      </c>
      <c r="O770" s="2">
        <v>854</v>
      </c>
      <c r="P770" s="2">
        <v>9301</v>
      </c>
      <c r="Q770" s="2">
        <v>27658</v>
      </c>
      <c r="R770" s="13" t="s">
        <v>27</v>
      </c>
      <c r="S770" s="13" t="s">
        <v>27</v>
      </c>
    </row>
    <row r="771" spans="1:19" hidden="1" x14ac:dyDescent="0.3">
      <c r="A771" s="14">
        <v>43921.708333333336</v>
      </c>
      <c r="B771" s="13" t="s">
        <v>23</v>
      </c>
      <c r="C771" s="2">
        <v>16</v>
      </c>
      <c r="D771" s="13" t="s">
        <v>56</v>
      </c>
      <c r="E771" s="2">
        <v>4112559576</v>
      </c>
      <c r="F771" s="2">
        <v>1686736689</v>
      </c>
      <c r="G771" s="2">
        <v>609</v>
      </c>
      <c r="H771" s="2">
        <v>105</v>
      </c>
      <c r="I771" s="2">
        <v>714</v>
      </c>
      <c r="J771" s="2">
        <v>940</v>
      </c>
      <c r="K771" s="2">
        <v>1654</v>
      </c>
      <c r="L771" s="2">
        <v>69</v>
      </c>
      <c r="M771" s="2">
        <v>91</v>
      </c>
      <c r="N771" s="2">
        <v>39</v>
      </c>
      <c r="O771" s="2">
        <v>110</v>
      </c>
      <c r="P771" s="2">
        <v>1803</v>
      </c>
      <c r="Q771" s="2">
        <v>14073</v>
      </c>
      <c r="R771" s="13" t="s">
        <v>27</v>
      </c>
      <c r="S771" s="13" t="s">
        <v>27</v>
      </c>
    </row>
    <row r="772" spans="1:19" hidden="1" x14ac:dyDescent="0.3">
      <c r="A772" s="14">
        <v>43921.708333333336</v>
      </c>
      <c r="B772" s="13" t="s">
        <v>23</v>
      </c>
      <c r="C772" s="2">
        <v>20</v>
      </c>
      <c r="D772" s="13" t="s">
        <v>57</v>
      </c>
      <c r="E772" s="2">
        <v>3921531192</v>
      </c>
      <c r="F772" s="2">
        <v>9110616306</v>
      </c>
      <c r="G772" s="2">
        <v>113</v>
      </c>
      <c r="H772" s="2">
        <v>28</v>
      </c>
      <c r="I772" s="2">
        <v>141</v>
      </c>
      <c r="J772" s="2">
        <v>516</v>
      </c>
      <c r="K772" s="2">
        <v>657</v>
      </c>
      <c r="L772" s="2">
        <v>35</v>
      </c>
      <c r="M772" s="2">
        <v>40</v>
      </c>
      <c r="N772" s="2">
        <v>34</v>
      </c>
      <c r="O772" s="2">
        <v>31</v>
      </c>
      <c r="P772" s="2">
        <v>722</v>
      </c>
      <c r="Q772" s="2">
        <v>5257</v>
      </c>
      <c r="R772" s="13" t="s">
        <v>27</v>
      </c>
      <c r="S772" s="13" t="s">
        <v>27</v>
      </c>
    </row>
    <row r="773" spans="1:19" hidden="1" x14ac:dyDescent="0.3">
      <c r="A773" s="14">
        <v>43921.708333333336</v>
      </c>
      <c r="B773" s="13" t="s">
        <v>23</v>
      </c>
      <c r="C773" s="2">
        <v>19</v>
      </c>
      <c r="D773" s="13" t="s">
        <v>58</v>
      </c>
      <c r="E773" s="2">
        <v>3811569725</v>
      </c>
      <c r="F773" s="2">
        <v>133623567</v>
      </c>
      <c r="G773" s="2">
        <v>503</v>
      </c>
      <c r="H773" s="2">
        <v>72</v>
      </c>
      <c r="I773" s="2">
        <v>575</v>
      </c>
      <c r="J773" s="2">
        <v>917</v>
      </c>
      <c r="K773" s="2">
        <v>1492</v>
      </c>
      <c r="L773" s="2">
        <v>84</v>
      </c>
      <c r="M773" s="2">
        <v>92</v>
      </c>
      <c r="N773" s="2">
        <v>74</v>
      </c>
      <c r="O773" s="2">
        <v>81</v>
      </c>
      <c r="P773" s="2">
        <v>1647</v>
      </c>
      <c r="Q773" s="2">
        <v>15634</v>
      </c>
      <c r="R773" s="13" t="s">
        <v>27</v>
      </c>
      <c r="S773" s="13" t="s">
        <v>27</v>
      </c>
    </row>
    <row r="774" spans="1:19" hidden="1" x14ac:dyDescent="0.3">
      <c r="A774" s="14">
        <v>43921.708333333336</v>
      </c>
      <c r="B774" s="13" t="s">
        <v>23</v>
      </c>
      <c r="C774" s="2">
        <v>9</v>
      </c>
      <c r="D774" s="13" t="s">
        <v>59</v>
      </c>
      <c r="E774" s="2">
        <v>4376923077</v>
      </c>
      <c r="F774" s="2">
        <v>1125588885</v>
      </c>
      <c r="G774" s="2">
        <v>1120</v>
      </c>
      <c r="H774" s="2">
        <v>293</v>
      </c>
      <c r="I774" s="2">
        <v>1413</v>
      </c>
      <c r="J774" s="2">
        <v>2813</v>
      </c>
      <c r="K774" s="2">
        <v>4226</v>
      </c>
      <c r="L774" s="2">
        <v>176</v>
      </c>
      <c r="M774" s="2">
        <v>196</v>
      </c>
      <c r="N774" s="2">
        <v>138</v>
      </c>
      <c r="O774" s="2">
        <v>244</v>
      </c>
      <c r="P774" s="2">
        <v>4608</v>
      </c>
      <c r="Q774" s="2">
        <v>33165</v>
      </c>
      <c r="R774" s="13" t="s">
        <v>27</v>
      </c>
      <c r="S774" s="13" t="s">
        <v>27</v>
      </c>
    </row>
    <row r="775" spans="1:19" hidden="1" x14ac:dyDescent="0.3">
      <c r="A775" s="14">
        <v>43921.708333333336</v>
      </c>
      <c r="B775" s="13" t="s">
        <v>23</v>
      </c>
      <c r="C775" s="2">
        <v>4</v>
      </c>
      <c r="D775" s="13" t="s">
        <v>60</v>
      </c>
      <c r="E775" s="2">
        <v>4606893511</v>
      </c>
      <c r="F775" s="2">
        <v>1112123097</v>
      </c>
      <c r="G775" s="2">
        <v>354</v>
      </c>
      <c r="H775" s="2">
        <v>80</v>
      </c>
      <c r="I775" s="2">
        <v>434</v>
      </c>
      <c r="J775" s="2">
        <v>955</v>
      </c>
      <c r="K775" s="2">
        <v>1389</v>
      </c>
      <c r="L775" s="2">
        <v>32</v>
      </c>
      <c r="M775" s="2">
        <v>64</v>
      </c>
      <c r="N775" s="2">
        <v>193</v>
      </c>
      <c r="O775" s="2">
        <v>164</v>
      </c>
      <c r="P775" s="2">
        <v>1746</v>
      </c>
      <c r="Q775" s="2">
        <v>6973</v>
      </c>
      <c r="R775" s="13" t="s">
        <v>27</v>
      </c>
      <c r="S775" s="13" t="s">
        <v>27</v>
      </c>
    </row>
    <row r="776" spans="1:19" hidden="1" x14ac:dyDescent="0.3">
      <c r="A776" s="14">
        <v>43921.708333333336</v>
      </c>
      <c r="B776" s="13" t="s">
        <v>23</v>
      </c>
      <c r="C776" s="2">
        <v>10</v>
      </c>
      <c r="D776" s="13" t="s">
        <v>61</v>
      </c>
      <c r="E776" s="2">
        <v>4310675841</v>
      </c>
      <c r="F776" s="2">
        <v>1238824698</v>
      </c>
      <c r="G776" s="2">
        <v>176</v>
      </c>
      <c r="H776" s="2">
        <v>43</v>
      </c>
      <c r="I776" s="2">
        <v>219</v>
      </c>
      <c r="J776" s="2">
        <v>632</v>
      </c>
      <c r="K776" s="2">
        <v>851</v>
      </c>
      <c r="L776" s="2">
        <v>17</v>
      </c>
      <c r="M776" s="2">
        <v>27</v>
      </c>
      <c r="N776" s="2">
        <v>190</v>
      </c>
      <c r="O776" s="2">
        <v>37</v>
      </c>
      <c r="P776" s="2">
        <v>1078</v>
      </c>
      <c r="Q776" s="2">
        <v>8685</v>
      </c>
      <c r="R776" s="13" t="s">
        <v>27</v>
      </c>
      <c r="S776" s="13" t="s">
        <v>27</v>
      </c>
    </row>
    <row r="777" spans="1:19" hidden="1" x14ac:dyDescent="0.3">
      <c r="A777" s="14">
        <v>43921.708333333336</v>
      </c>
      <c r="B777" s="13" t="s">
        <v>23</v>
      </c>
      <c r="C777" s="2">
        <v>2</v>
      </c>
      <c r="D777" s="13" t="s">
        <v>62</v>
      </c>
      <c r="E777" s="2">
        <v>4573750286</v>
      </c>
      <c r="F777" s="2">
        <v>7320149366</v>
      </c>
      <c r="G777" s="2">
        <v>91</v>
      </c>
      <c r="H777" s="2">
        <v>26</v>
      </c>
      <c r="I777" s="2">
        <v>117</v>
      </c>
      <c r="J777" s="2">
        <v>435</v>
      </c>
      <c r="K777" s="2">
        <v>552</v>
      </c>
      <c r="L777" s="2">
        <v>34</v>
      </c>
      <c r="M777" s="2">
        <v>44</v>
      </c>
      <c r="N777" s="2">
        <v>20</v>
      </c>
      <c r="O777" s="2">
        <v>56</v>
      </c>
      <c r="P777" s="2">
        <v>628</v>
      </c>
      <c r="Q777" s="2">
        <v>1582</v>
      </c>
      <c r="R777" s="13" t="s">
        <v>27</v>
      </c>
      <c r="S777" s="13" t="s">
        <v>27</v>
      </c>
    </row>
    <row r="778" spans="1:19" hidden="1" x14ac:dyDescent="0.3">
      <c r="A778" s="14">
        <v>43921.708333333336</v>
      </c>
      <c r="B778" s="13" t="s">
        <v>23</v>
      </c>
      <c r="C778" s="2">
        <v>5</v>
      </c>
      <c r="D778" s="13" t="s">
        <v>63</v>
      </c>
      <c r="E778" s="2">
        <v>4543490485</v>
      </c>
      <c r="F778" s="2">
        <v>1233845213</v>
      </c>
      <c r="G778" s="2">
        <v>1680</v>
      </c>
      <c r="H778" s="2">
        <v>356</v>
      </c>
      <c r="I778" s="2">
        <v>2036</v>
      </c>
      <c r="J778" s="2">
        <v>5814</v>
      </c>
      <c r="K778" s="2">
        <v>7850</v>
      </c>
      <c r="L778" s="2">
        <v>286</v>
      </c>
      <c r="M778" s="2">
        <v>431</v>
      </c>
      <c r="N778" s="2">
        <v>828</v>
      </c>
      <c r="O778" s="2">
        <v>477</v>
      </c>
      <c r="P778" s="2">
        <v>9155</v>
      </c>
      <c r="Q778" s="2">
        <v>106238</v>
      </c>
      <c r="R778" s="13" t="s">
        <v>27</v>
      </c>
      <c r="S778" s="13" t="s">
        <v>27</v>
      </c>
    </row>
    <row r="779" spans="1:19" hidden="1" x14ac:dyDescent="0.3">
      <c r="A779" s="14">
        <v>43922.708333333336</v>
      </c>
      <c r="B779" s="13" t="s">
        <v>23</v>
      </c>
      <c r="C779" s="2">
        <v>13</v>
      </c>
      <c r="D779" s="13" t="s">
        <v>44</v>
      </c>
      <c r="E779" s="2">
        <v>4235122196</v>
      </c>
      <c r="F779" s="2">
        <v>1339843823</v>
      </c>
      <c r="G779" s="2">
        <v>342</v>
      </c>
      <c r="H779" s="2">
        <v>71</v>
      </c>
      <c r="I779" s="2">
        <v>413</v>
      </c>
      <c r="J779" s="2">
        <v>798</v>
      </c>
      <c r="K779" s="2">
        <v>1211</v>
      </c>
      <c r="L779" s="2">
        <v>20</v>
      </c>
      <c r="M779" s="2">
        <v>35</v>
      </c>
      <c r="N779" s="2">
        <v>102</v>
      </c>
      <c r="O779" s="2">
        <v>123</v>
      </c>
      <c r="P779" s="2">
        <v>1436</v>
      </c>
      <c r="Q779" s="2">
        <v>9610</v>
      </c>
      <c r="R779" s="13" t="s">
        <v>27</v>
      </c>
      <c r="S779" s="13" t="s">
        <v>27</v>
      </c>
    </row>
    <row r="780" spans="1:19" hidden="1" x14ac:dyDescent="0.3">
      <c r="A780" s="14">
        <v>43922.708333333336</v>
      </c>
      <c r="B780" s="13" t="s">
        <v>23</v>
      </c>
      <c r="C780" s="2">
        <v>17</v>
      </c>
      <c r="D780" s="13" t="s">
        <v>45</v>
      </c>
      <c r="E780" s="2">
        <v>4063947052</v>
      </c>
      <c r="F780" s="2">
        <v>1580514834</v>
      </c>
      <c r="G780" s="2">
        <v>39</v>
      </c>
      <c r="H780" s="2">
        <v>15</v>
      </c>
      <c r="I780" s="2">
        <v>54</v>
      </c>
      <c r="J780" s="2">
        <v>171</v>
      </c>
      <c r="K780" s="2">
        <v>225</v>
      </c>
      <c r="L780" s="2">
        <v>9</v>
      </c>
      <c r="M780" s="2">
        <v>11</v>
      </c>
      <c r="N780" s="2">
        <v>3</v>
      </c>
      <c r="O780" s="2">
        <v>9</v>
      </c>
      <c r="P780" s="2">
        <v>237</v>
      </c>
      <c r="Q780" s="2">
        <v>2262</v>
      </c>
      <c r="R780" s="13" t="s">
        <v>27</v>
      </c>
      <c r="S780" s="13" t="s">
        <v>27</v>
      </c>
    </row>
    <row r="781" spans="1:19" hidden="1" x14ac:dyDescent="0.3">
      <c r="A781" s="14">
        <v>43922.708333333336</v>
      </c>
      <c r="B781" s="13" t="s">
        <v>23</v>
      </c>
      <c r="C781" s="2">
        <v>4</v>
      </c>
      <c r="D781" s="13" t="s">
        <v>46</v>
      </c>
      <c r="E781" s="2">
        <v>4649933453</v>
      </c>
      <c r="F781" s="2">
        <v>1135662422</v>
      </c>
      <c r="G781" s="2">
        <v>269</v>
      </c>
      <c r="H781" s="2">
        <v>57</v>
      </c>
      <c r="I781" s="2">
        <v>326</v>
      </c>
      <c r="J781" s="2">
        <v>786</v>
      </c>
      <c r="K781" s="2">
        <v>1112</v>
      </c>
      <c r="L781" s="2">
        <v>-30</v>
      </c>
      <c r="M781" s="2">
        <v>47</v>
      </c>
      <c r="N781" s="2">
        <v>190</v>
      </c>
      <c r="O781" s="2">
        <v>116</v>
      </c>
      <c r="P781" s="2">
        <v>1418</v>
      </c>
      <c r="Q781" s="2">
        <v>11951</v>
      </c>
      <c r="R781" s="13" t="s">
        <v>27</v>
      </c>
      <c r="S781" s="13" t="s">
        <v>27</v>
      </c>
    </row>
    <row r="782" spans="1:19" hidden="1" x14ac:dyDescent="0.3">
      <c r="A782" s="14">
        <v>43922.708333333336</v>
      </c>
      <c r="B782" s="13" t="s">
        <v>23</v>
      </c>
      <c r="C782" s="2">
        <v>18</v>
      </c>
      <c r="D782" s="13" t="s">
        <v>47</v>
      </c>
      <c r="E782" s="2">
        <v>3890597598</v>
      </c>
      <c r="F782" s="2">
        <v>1659440194</v>
      </c>
      <c r="G782" s="2">
        <v>144</v>
      </c>
      <c r="H782" s="2">
        <v>16</v>
      </c>
      <c r="I782" s="2">
        <v>160</v>
      </c>
      <c r="J782" s="2">
        <v>450</v>
      </c>
      <c r="K782" s="2">
        <v>610</v>
      </c>
      <c r="L782" s="2">
        <v>4</v>
      </c>
      <c r="M782" s="2">
        <v>10</v>
      </c>
      <c r="N782" s="2">
        <v>21</v>
      </c>
      <c r="O782" s="2">
        <v>38</v>
      </c>
      <c r="P782" s="2">
        <v>669</v>
      </c>
      <c r="Q782" s="2">
        <v>9983</v>
      </c>
      <c r="R782" s="13" t="s">
        <v>27</v>
      </c>
      <c r="S782" s="13" t="s">
        <v>27</v>
      </c>
    </row>
    <row r="783" spans="1:19" hidden="1" x14ac:dyDescent="0.3">
      <c r="A783" s="14">
        <v>43922.708333333336</v>
      </c>
      <c r="B783" s="13" t="s">
        <v>23</v>
      </c>
      <c r="C783" s="2">
        <v>15</v>
      </c>
      <c r="D783" s="13" t="s">
        <v>48</v>
      </c>
      <c r="E783" s="2">
        <v>4083956555</v>
      </c>
      <c r="F783" s="2">
        <v>1425084984</v>
      </c>
      <c r="G783" s="2">
        <v>478</v>
      </c>
      <c r="H783" s="2">
        <v>129</v>
      </c>
      <c r="I783" s="2">
        <v>607</v>
      </c>
      <c r="J783" s="2">
        <v>1369</v>
      </c>
      <c r="K783" s="2">
        <v>1976</v>
      </c>
      <c r="L783" s="2">
        <v>105</v>
      </c>
      <c r="M783" s="2">
        <v>139</v>
      </c>
      <c r="N783" s="2">
        <v>107</v>
      </c>
      <c r="O783" s="2">
        <v>148</v>
      </c>
      <c r="P783" s="2">
        <v>2231</v>
      </c>
      <c r="Q783" s="2">
        <v>15728</v>
      </c>
      <c r="R783" s="13" t="s">
        <v>27</v>
      </c>
      <c r="S783" s="13" t="s">
        <v>27</v>
      </c>
    </row>
    <row r="784" spans="1:19" hidden="1" x14ac:dyDescent="0.3">
      <c r="A784" s="14">
        <v>43922.708333333336</v>
      </c>
      <c r="B784" s="13" t="s">
        <v>23</v>
      </c>
      <c r="C784" s="2">
        <v>8</v>
      </c>
      <c r="D784" s="13" t="s">
        <v>98</v>
      </c>
      <c r="E784" s="2">
        <v>4449436681</v>
      </c>
      <c r="F784" s="2">
        <v>113417208</v>
      </c>
      <c r="G784" s="2">
        <v>3898</v>
      </c>
      <c r="H784" s="2">
        <v>359</v>
      </c>
      <c r="I784" s="2">
        <v>4257</v>
      </c>
      <c r="J784" s="2">
        <v>7232</v>
      </c>
      <c r="K784" s="2">
        <v>11489</v>
      </c>
      <c r="L784" s="2">
        <v>536</v>
      </c>
      <c r="M784" s="2">
        <v>713</v>
      </c>
      <c r="N784" s="2">
        <v>1566</v>
      </c>
      <c r="O784" s="2">
        <v>1732</v>
      </c>
      <c r="P784" s="2">
        <v>14787</v>
      </c>
      <c r="Q784" s="2">
        <v>58457</v>
      </c>
      <c r="R784" s="13" t="s">
        <v>27</v>
      </c>
      <c r="S784" s="13" t="s">
        <v>27</v>
      </c>
    </row>
    <row r="785" spans="1:19" hidden="1" x14ac:dyDescent="0.3">
      <c r="A785" s="14">
        <v>43922.708333333336</v>
      </c>
      <c r="B785" s="13" t="s">
        <v>23</v>
      </c>
      <c r="C785" s="2">
        <v>6</v>
      </c>
      <c r="D785" s="13" t="s">
        <v>49</v>
      </c>
      <c r="E785" s="2">
        <v>456494354</v>
      </c>
      <c r="F785" s="2">
        <v>1376813649</v>
      </c>
      <c r="G785" s="2">
        <v>206</v>
      </c>
      <c r="H785" s="2">
        <v>60</v>
      </c>
      <c r="I785" s="2">
        <v>266</v>
      </c>
      <c r="J785" s="2">
        <v>940</v>
      </c>
      <c r="K785" s="2">
        <v>1206</v>
      </c>
      <c r="L785" s="2">
        <v>46</v>
      </c>
      <c r="M785" s="2">
        <v>92</v>
      </c>
      <c r="N785" s="2">
        <v>357</v>
      </c>
      <c r="O785" s="2">
        <v>122</v>
      </c>
      <c r="P785" s="2">
        <v>1685</v>
      </c>
      <c r="Q785" s="2">
        <v>15987</v>
      </c>
      <c r="R785" s="13" t="s">
        <v>27</v>
      </c>
      <c r="S785" s="13" t="s">
        <v>27</v>
      </c>
    </row>
    <row r="786" spans="1:19" hidden="1" x14ac:dyDescent="0.3">
      <c r="A786" s="14">
        <v>43922.708333333336</v>
      </c>
      <c r="B786" s="13" t="s">
        <v>23</v>
      </c>
      <c r="C786" s="2">
        <v>12</v>
      </c>
      <c r="D786" s="13" t="s">
        <v>50</v>
      </c>
      <c r="E786" s="2">
        <v>4189277044</v>
      </c>
      <c r="F786" s="2">
        <v>1248366722</v>
      </c>
      <c r="G786" s="2">
        <v>1131</v>
      </c>
      <c r="H786" s="2">
        <v>177</v>
      </c>
      <c r="I786" s="2">
        <v>1308</v>
      </c>
      <c r="J786" s="2">
        <v>1450</v>
      </c>
      <c r="K786" s="2">
        <v>2758</v>
      </c>
      <c r="L786" s="2">
        <v>116</v>
      </c>
      <c r="M786" s="2">
        <v>169</v>
      </c>
      <c r="N786" s="2">
        <v>337</v>
      </c>
      <c r="O786" s="2">
        <v>169</v>
      </c>
      <c r="P786" s="2">
        <v>3264</v>
      </c>
      <c r="Q786" s="2">
        <v>35810</v>
      </c>
      <c r="R786" s="13" t="s">
        <v>27</v>
      </c>
      <c r="S786" s="13" t="s">
        <v>27</v>
      </c>
    </row>
    <row r="787" spans="1:19" hidden="1" x14ac:dyDescent="0.3">
      <c r="A787" s="14">
        <v>43922.708333333336</v>
      </c>
      <c r="B787" s="13" t="s">
        <v>23</v>
      </c>
      <c r="C787" s="2">
        <v>7</v>
      </c>
      <c r="D787" s="13" t="s">
        <v>51</v>
      </c>
      <c r="E787" s="2">
        <v>4441149315</v>
      </c>
      <c r="F787" s="2">
        <v>89326992</v>
      </c>
      <c r="G787" s="2">
        <v>1114</v>
      </c>
      <c r="H787" s="2">
        <v>179</v>
      </c>
      <c r="I787" s="2">
        <v>1293</v>
      </c>
      <c r="J787" s="2">
        <v>1352</v>
      </c>
      <c r="K787" s="2">
        <v>2645</v>
      </c>
      <c r="L787" s="2">
        <v>137</v>
      </c>
      <c r="M787" s="2">
        <v>244</v>
      </c>
      <c r="N787" s="2">
        <v>555</v>
      </c>
      <c r="O787" s="2">
        <v>460</v>
      </c>
      <c r="P787" s="2">
        <v>3660</v>
      </c>
      <c r="Q787" s="2">
        <v>11334</v>
      </c>
      <c r="R787" s="13" t="s">
        <v>27</v>
      </c>
      <c r="S787" s="13" t="s">
        <v>27</v>
      </c>
    </row>
    <row r="788" spans="1:19" x14ac:dyDescent="0.3">
      <c r="A788" s="14">
        <v>43922.708333333336</v>
      </c>
      <c r="B788" s="13" t="s">
        <v>23</v>
      </c>
      <c r="C788" s="2">
        <v>3</v>
      </c>
      <c r="D788" s="13" t="s">
        <v>52</v>
      </c>
      <c r="E788" s="2">
        <v>4546679409</v>
      </c>
      <c r="F788" s="2">
        <v>9190347404</v>
      </c>
      <c r="G788" s="2">
        <v>11927</v>
      </c>
      <c r="H788" s="2">
        <v>1342</v>
      </c>
      <c r="I788" s="2">
        <v>13269</v>
      </c>
      <c r="J788" s="2">
        <v>12496</v>
      </c>
      <c r="K788" s="2">
        <v>25765</v>
      </c>
      <c r="L788" s="2">
        <v>641</v>
      </c>
      <c r="M788" s="2">
        <v>1565</v>
      </c>
      <c r="N788" s="2">
        <v>11415</v>
      </c>
      <c r="O788" s="2">
        <v>7593</v>
      </c>
      <c r="P788" s="2">
        <v>44773</v>
      </c>
      <c r="Q788" s="2">
        <v>121449</v>
      </c>
      <c r="R788" s="13" t="s">
        <v>27</v>
      </c>
      <c r="S788" s="13" t="s">
        <v>27</v>
      </c>
    </row>
    <row r="789" spans="1:19" hidden="1" x14ac:dyDescent="0.3">
      <c r="A789" s="14">
        <v>43922.708333333336</v>
      </c>
      <c r="B789" s="13" t="s">
        <v>23</v>
      </c>
      <c r="C789" s="2">
        <v>11</v>
      </c>
      <c r="D789" s="13" t="s">
        <v>53</v>
      </c>
      <c r="E789" s="2">
        <v>4361675973</v>
      </c>
      <c r="F789" s="2">
        <v>135188753</v>
      </c>
      <c r="G789" s="2">
        <v>984</v>
      </c>
      <c r="H789" s="2">
        <v>168</v>
      </c>
      <c r="I789" s="2">
        <v>1152</v>
      </c>
      <c r="J789" s="2">
        <v>2304</v>
      </c>
      <c r="K789" s="2">
        <v>3456</v>
      </c>
      <c r="L789" s="2">
        <v>104</v>
      </c>
      <c r="M789" s="2">
        <v>137</v>
      </c>
      <c r="N789" s="2">
        <v>29</v>
      </c>
      <c r="O789" s="2">
        <v>477</v>
      </c>
      <c r="P789" s="2">
        <v>3962</v>
      </c>
      <c r="Q789" s="2">
        <v>12296</v>
      </c>
      <c r="R789" s="13" t="s">
        <v>27</v>
      </c>
      <c r="S789" s="13" t="s">
        <v>27</v>
      </c>
    </row>
    <row r="790" spans="1:19" hidden="1" x14ac:dyDescent="0.3">
      <c r="A790" s="14">
        <v>43922.708333333336</v>
      </c>
      <c r="B790" s="13" t="s">
        <v>23</v>
      </c>
      <c r="C790" s="2">
        <v>14</v>
      </c>
      <c r="D790" s="13" t="s">
        <v>54</v>
      </c>
      <c r="E790" s="2">
        <v>4155774754</v>
      </c>
      <c r="F790" s="2">
        <v>1465916051</v>
      </c>
      <c r="G790" s="2">
        <v>32</v>
      </c>
      <c r="H790" s="2">
        <v>8</v>
      </c>
      <c r="I790" s="2">
        <v>40</v>
      </c>
      <c r="J790" s="2">
        <v>91</v>
      </c>
      <c r="K790" s="2">
        <v>131</v>
      </c>
      <c r="L790" s="2">
        <v>14</v>
      </c>
      <c r="M790" s="2">
        <v>16</v>
      </c>
      <c r="N790" s="2">
        <v>19</v>
      </c>
      <c r="O790" s="2">
        <v>10</v>
      </c>
      <c r="P790" s="2">
        <v>160</v>
      </c>
      <c r="Q790" s="2">
        <v>1157</v>
      </c>
      <c r="R790" s="13" t="s">
        <v>27</v>
      </c>
      <c r="S790" s="13" t="s">
        <v>27</v>
      </c>
    </row>
    <row r="791" spans="1:19" hidden="1" x14ac:dyDescent="0.3">
      <c r="A791" s="14">
        <v>43922.708333333336</v>
      </c>
      <c r="B791" s="13" t="s">
        <v>23</v>
      </c>
      <c r="C791" s="2">
        <v>1</v>
      </c>
      <c r="D791" s="13" t="s">
        <v>55</v>
      </c>
      <c r="E791" s="2">
        <v>450732745</v>
      </c>
      <c r="F791" s="2">
        <v>7680687483</v>
      </c>
      <c r="G791" s="2">
        <v>3146</v>
      </c>
      <c r="H791" s="2">
        <v>453</v>
      </c>
      <c r="I791" s="2">
        <v>3599</v>
      </c>
      <c r="J791" s="2">
        <v>4871</v>
      </c>
      <c r="K791" s="2">
        <v>8470</v>
      </c>
      <c r="L791" s="2">
        <v>388</v>
      </c>
      <c r="M791" s="2">
        <v>494</v>
      </c>
      <c r="N791" s="2">
        <v>439</v>
      </c>
      <c r="O791" s="2">
        <v>886</v>
      </c>
      <c r="P791" s="2">
        <v>9795</v>
      </c>
      <c r="Q791" s="2">
        <v>30060</v>
      </c>
      <c r="R791" s="13" t="s">
        <v>27</v>
      </c>
      <c r="S791" s="13" t="s">
        <v>27</v>
      </c>
    </row>
    <row r="792" spans="1:19" hidden="1" x14ac:dyDescent="0.3">
      <c r="A792" s="14">
        <v>43922.708333333336</v>
      </c>
      <c r="B792" s="13" t="s">
        <v>23</v>
      </c>
      <c r="C792" s="2">
        <v>16</v>
      </c>
      <c r="D792" s="13" t="s">
        <v>56</v>
      </c>
      <c r="E792" s="2">
        <v>4112559576</v>
      </c>
      <c r="F792" s="2">
        <v>1686736689</v>
      </c>
      <c r="G792" s="2">
        <v>637</v>
      </c>
      <c r="H792" s="2">
        <v>107</v>
      </c>
      <c r="I792" s="2">
        <v>744</v>
      </c>
      <c r="J792" s="2">
        <v>1012</v>
      </c>
      <c r="K792" s="2">
        <v>1756</v>
      </c>
      <c r="L792" s="2">
        <v>102</v>
      </c>
      <c r="M792" s="2">
        <v>143</v>
      </c>
      <c r="N792" s="2">
        <v>61</v>
      </c>
      <c r="O792" s="2">
        <v>129</v>
      </c>
      <c r="P792" s="2">
        <v>1946</v>
      </c>
      <c r="Q792" s="2">
        <v>15209</v>
      </c>
      <c r="R792" s="13" t="s">
        <v>27</v>
      </c>
      <c r="S792" s="13" t="s">
        <v>27</v>
      </c>
    </row>
    <row r="793" spans="1:19" hidden="1" x14ac:dyDescent="0.3">
      <c r="A793" s="14">
        <v>43922.708333333336</v>
      </c>
      <c r="B793" s="13" t="s">
        <v>23</v>
      </c>
      <c r="C793" s="2">
        <v>20</v>
      </c>
      <c r="D793" s="13" t="s">
        <v>57</v>
      </c>
      <c r="E793" s="2">
        <v>3921531192</v>
      </c>
      <c r="F793" s="2">
        <v>9110616306</v>
      </c>
      <c r="G793" s="2">
        <v>119</v>
      </c>
      <c r="H793" s="2">
        <v>27</v>
      </c>
      <c r="I793" s="2">
        <v>146</v>
      </c>
      <c r="J793" s="2">
        <v>529</v>
      </c>
      <c r="K793" s="2">
        <v>675</v>
      </c>
      <c r="L793" s="2">
        <v>18</v>
      </c>
      <c r="M793" s="2">
        <v>23</v>
      </c>
      <c r="N793" s="2">
        <v>36</v>
      </c>
      <c r="O793" s="2">
        <v>34</v>
      </c>
      <c r="P793" s="2">
        <v>745</v>
      </c>
      <c r="Q793" s="2">
        <v>5501</v>
      </c>
      <c r="R793" s="13" t="s">
        <v>27</v>
      </c>
      <c r="S793" s="13" t="s">
        <v>27</v>
      </c>
    </row>
    <row r="794" spans="1:19" hidden="1" x14ac:dyDescent="0.3">
      <c r="A794" s="14">
        <v>43922.708333333336</v>
      </c>
      <c r="B794" s="13" t="s">
        <v>23</v>
      </c>
      <c r="C794" s="2">
        <v>19</v>
      </c>
      <c r="D794" s="13" t="s">
        <v>58</v>
      </c>
      <c r="E794" s="2">
        <v>3811569725</v>
      </c>
      <c r="F794" s="2">
        <v>133623567</v>
      </c>
      <c r="G794" s="2">
        <v>496</v>
      </c>
      <c r="H794" s="2">
        <v>72</v>
      </c>
      <c r="I794" s="2">
        <v>568</v>
      </c>
      <c r="J794" s="2">
        <v>976</v>
      </c>
      <c r="K794" s="2">
        <v>1544</v>
      </c>
      <c r="L794" s="2">
        <v>52</v>
      </c>
      <c r="M794" s="2">
        <v>71</v>
      </c>
      <c r="N794" s="2">
        <v>86</v>
      </c>
      <c r="O794" s="2">
        <v>88</v>
      </c>
      <c r="P794" s="2">
        <v>1718</v>
      </c>
      <c r="Q794" s="2">
        <v>16836</v>
      </c>
      <c r="R794" s="13" t="s">
        <v>27</v>
      </c>
      <c r="S794" s="13" t="s">
        <v>27</v>
      </c>
    </row>
    <row r="795" spans="1:19" hidden="1" x14ac:dyDescent="0.3">
      <c r="A795" s="14">
        <v>43922.708333333336</v>
      </c>
      <c r="B795" s="13" t="s">
        <v>23</v>
      </c>
      <c r="C795" s="2">
        <v>9</v>
      </c>
      <c r="D795" s="13" t="s">
        <v>59</v>
      </c>
      <c r="E795" s="2">
        <v>4376923077</v>
      </c>
      <c r="F795" s="2">
        <v>1125588885</v>
      </c>
      <c r="G795" s="2">
        <v>1120</v>
      </c>
      <c r="H795" s="2">
        <v>297</v>
      </c>
      <c r="I795" s="2">
        <v>1417</v>
      </c>
      <c r="J795" s="2">
        <v>3015</v>
      </c>
      <c r="K795" s="2">
        <v>4432</v>
      </c>
      <c r="L795" s="2">
        <v>206</v>
      </c>
      <c r="M795" s="2">
        <v>259</v>
      </c>
      <c r="N795" s="2">
        <v>182</v>
      </c>
      <c r="O795" s="2">
        <v>253</v>
      </c>
      <c r="P795" s="2">
        <v>4867</v>
      </c>
      <c r="Q795" s="2">
        <v>36575</v>
      </c>
      <c r="R795" s="13" t="s">
        <v>27</v>
      </c>
      <c r="S795" s="13" t="s">
        <v>27</v>
      </c>
    </row>
    <row r="796" spans="1:19" hidden="1" x14ac:dyDescent="0.3">
      <c r="A796" s="14">
        <v>43922.708333333336</v>
      </c>
      <c r="B796" s="13" t="s">
        <v>23</v>
      </c>
      <c r="C796" s="2">
        <v>4</v>
      </c>
      <c r="D796" s="13" t="s">
        <v>60</v>
      </c>
      <c r="E796" s="2">
        <v>4606893511</v>
      </c>
      <c r="F796" s="2">
        <v>1112123097</v>
      </c>
      <c r="G796" s="2">
        <v>345</v>
      </c>
      <c r="H796" s="2">
        <v>76</v>
      </c>
      <c r="I796" s="2">
        <v>421</v>
      </c>
      <c r="J796" s="2">
        <v>1062</v>
      </c>
      <c r="K796" s="2">
        <v>1483</v>
      </c>
      <c r="L796" s="2">
        <v>94</v>
      </c>
      <c r="M796" s="2">
        <v>124</v>
      </c>
      <c r="N796" s="2">
        <v>214</v>
      </c>
      <c r="O796" s="2">
        <v>173</v>
      </c>
      <c r="P796" s="2">
        <v>1870</v>
      </c>
      <c r="Q796" s="2">
        <v>7675</v>
      </c>
      <c r="R796" s="13" t="s">
        <v>27</v>
      </c>
      <c r="S796" s="13" t="s">
        <v>27</v>
      </c>
    </row>
    <row r="797" spans="1:19" hidden="1" x14ac:dyDescent="0.3">
      <c r="A797" s="14">
        <v>43922.708333333336</v>
      </c>
      <c r="B797" s="13" t="s">
        <v>23</v>
      </c>
      <c r="C797" s="2">
        <v>10</v>
      </c>
      <c r="D797" s="13" t="s">
        <v>61</v>
      </c>
      <c r="E797" s="2">
        <v>4310675841</v>
      </c>
      <c r="F797" s="2">
        <v>1238824698</v>
      </c>
      <c r="G797" s="2">
        <v>173</v>
      </c>
      <c r="H797" s="2">
        <v>45</v>
      </c>
      <c r="I797" s="2">
        <v>218</v>
      </c>
      <c r="J797" s="2">
        <v>646</v>
      </c>
      <c r="K797" s="2">
        <v>864</v>
      </c>
      <c r="L797" s="2">
        <v>13</v>
      </c>
      <c r="M797" s="2">
        <v>17</v>
      </c>
      <c r="N797" s="2">
        <v>194</v>
      </c>
      <c r="O797" s="2">
        <v>37</v>
      </c>
      <c r="P797" s="2">
        <v>1095</v>
      </c>
      <c r="Q797" s="2">
        <v>9080</v>
      </c>
      <c r="R797" s="13" t="s">
        <v>27</v>
      </c>
      <c r="S797" s="13" t="s">
        <v>27</v>
      </c>
    </row>
    <row r="798" spans="1:19" hidden="1" x14ac:dyDescent="0.3">
      <c r="A798" s="14">
        <v>43922.708333333336</v>
      </c>
      <c r="B798" s="13" t="s">
        <v>23</v>
      </c>
      <c r="C798" s="2">
        <v>2</v>
      </c>
      <c r="D798" s="13" t="s">
        <v>62</v>
      </c>
      <c r="E798" s="2">
        <v>4573750286</v>
      </c>
      <c r="F798" s="2">
        <v>7320149366</v>
      </c>
      <c r="G798" s="2">
        <v>85</v>
      </c>
      <c r="H798" s="2">
        <v>27</v>
      </c>
      <c r="I798" s="2">
        <v>112</v>
      </c>
      <c r="J798" s="2">
        <v>428</v>
      </c>
      <c r="K798" s="2">
        <v>540</v>
      </c>
      <c r="L798" s="2">
        <v>-12</v>
      </c>
      <c r="M798" s="2">
        <v>3</v>
      </c>
      <c r="N798" s="2">
        <v>32</v>
      </c>
      <c r="O798" s="2">
        <v>59</v>
      </c>
      <c r="P798" s="2">
        <v>631</v>
      </c>
      <c r="Q798" s="2">
        <v>1717</v>
      </c>
      <c r="R798" s="13" t="s">
        <v>27</v>
      </c>
      <c r="S798" s="13" t="s">
        <v>27</v>
      </c>
    </row>
    <row r="799" spans="1:19" hidden="1" x14ac:dyDescent="0.3">
      <c r="A799" s="14">
        <v>43922.708333333336</v>
      </c>
      <c r="B799" s="13" t="s">
        <v>23</v>
      </c>
      <c r="C799" s="2">
        <v>5</v>
      </c>
      <c r="D799" s="13" t="s">
        <v>63</v>
      </c>
      <c r="E799" s="2">
        <v>4543490485</v>
      </c>
      <c r="F799" s="2">
        <v>1233845213</v>
      </c>
      <c r="G799" s="2">
        <v>1718</v>
      </c>
      <c r="H799" s="2">
        <v>350</v>
      </c>
      <c r="I799" s="2">
        <v>2068</v>
      </c>
      <c r="J799" s="2">
        <v>6156</v>
      </c>
      <c r="K799" s="2">
        <v>8224</v>
      </c>
      <c r="L799" s="2">
        <v>374</v>
      </c>
      <c r="M799" s="2">
        <v>470</v>
      </c>
      <c r="N799" s="2">
        <v>902</v>
      </c>
      <c r="O799" s="2">
        <v>499</v>
      </c>
      <c r="P799" s="2">
        <v>9625</v>
      </c>
      <c r="Q799" s="2">
        <v>112746</v>
      </c>
      <c r="R799" s="13" t="s">
        <v>27</v>
      </c>
      <c r="S799" s="13" t="s">
        <v>27</v>
      </c>
    </row>
    <row r="800" spans="1:19" hidden="1" x14ac:dyDescent="0.3">
      <c r="A800" s="14">
        <v>43923.708333333336</v>
      </c>
      <c r="B800" s="13" t="s">
        <v>23</v>
      </c>
      <c r="C800" s="2">
        <v>13</v>
      </c>
      <c r="D800" s="13" t="s">
        <v>44</v>
      </c>
      <c r="E800" s="2">
        <v>4235122196</v>
      </c>
      <c r="F800" s="2">
        <v>1339843823</v>
      </c>
      <c r="G800" s="2">
        <v>341</v>
      </c>
      <c r="H800" s="2">
        <v>75</v>
      </c>
      <c r="I800" s="2">
        <v>416</v>
      </c>
      <c r="J800" s="2">
        <v>835</v>
      </c>
      <c r="K800" s="2">
        <v>1251</v>
      </c>
      <c r="L800" s="2">
        <v>40</v>
      </c>
      <c r="M800" s="2">
        <v>61</v>
      </c>
      <c r="N800" s="2">
        <v>113</v>
      </c>
      <c r="O800" s="2">
        <v>133</v>
      </c>
      <c r="P800" s="2">
        <v>1497</v>
      </c>
      <c r="Q800" s="2">
        <v>10647</v>
      </c>
      <c r="R800" s="13" t="s">
        <v>27</v>
      </c>
      <c r="S800" s="13" t="s">
        <v>27</v>
      </c>
    </row>
    <row r="801" spans="1:19" hidden="1" x14ac:dyDescent="0.3">
      <c r="A801" s="14">
        <v>43923.708333333336</v>
      </c>
      <c r="B801" s="13" t="s">
        <v>23</v>
      </c>
      <c r="C801" s="2">
        <v>17</v>
      </c>
      <c r="D801" s="13" t="s">
        <v>45</v>
      </c>
      <c r="E801" s="2">
        <v>4063947052</v>
      </c>
      <c r="F801" s="2">
        <v>1580514834</v>
      </c>
      <c r="G801" s="2">
        <v>38</v>
      </c>
      <c r="H801" s="2">
        <v>19</v>
      </c>
      <c r="I801" s="2">
        <v>57</v>
      </c>
      <c r="J801" s="2">
        <v>176</v>
      </c>
      <c r="K801" s="2">
        <v>233</v>
      </c>
      <c r="L801" s="2">
        <v>8</v>
      </c>
      <c r="M801" s="2">
        <v>9</v>
      </c>
      <c r="N801" s="2">
        <v>3</v>
      </c>
      <c r="O801" s="2">
        <v>10</v>
      </c>
      <c r="P801" s="2">
        <v>246</v>
      </c>
      <c r="Q801" s="2">
        <v>2427</v>
      </c>
      <c r="R801" s="13" t="s">
        <v>27</v>
      </c>
      <c r="S801" s="13" t="s">
        <v>27</v>
      </c>
    </row>
    <row r="802" spans="1:19" hidden="1" x14ac:dyDescent="0.3">
      <c r="A802" s="14">
        <v>43923.708333333336</v>
      </c>
      <c r="B802" s="13" t="s">
        <v>23</v>
      </c>
      <c r="C802" s="2">
        <v>4</v>
      </c>
      <c r="D802" s="13" t="s">
        <v>46</v>
      </c>
      <c r="E802" s="2">
        <v>4649933453</v>
      </c>
      <c r="F802" s="2">
        <v>1135662422</v>
      </c>
      <c r="G802" s="2">
        <v>279</v>
      </c>
      <c r="H802" s="2">
        <v>60</v>
      </c>
      <c r="I802" s="2">
        <v>339</v>
      </c>
      <c r="J802" s="2">
        <v>821</v>
      </c>
      <c r="K802" s="2">
        <v>1160</v>
      </c>
      <c r="L802" s="2">
        <v>48</v>
      </c>
      <c r="M802" s="2">
        <v>61</v>
      </c>
      <c r="N802" s="2">
        <v>190</v>
      </c>
      <c r="O802" s="2">
        <v>129</v>
      </c>
      <c r="P802" s="2">
        <v>1479</v>
      </c>
      <c r="Q802" s="2">
        <v>12677</v>
      </c>
      <c r="R802" s="13" t="s">
        <v>27</v>
      </c>
      <c r="S802" s="13" t="s">
        <v>27</v>
      </c>
    </row>
    <row r="803" spans="1:19" hidden="1" x14ac:dyDescent="0.3">
      <c r="A803" s="14">
        <v>43923.708333333336</v>
      </c>
      <c r="B803" s="13" t="s">
        <v>23</v>
      </c>
      <c r="C803" s="2">
        <v>18</v>
      </c>
      <c r="D803" s="13" t="s">
        <v>47</v>
      </c>
      <c r="E803" s="2">
        <v>3890597598</v>
      </c>
      <c r="F803" s="2">
        <v>1659440194</v>
      </c>
      <c r="G803" s="2">
        <v>163</v>
      </c>
      <c r="H803" s="2">
        <v>19</v>
      </c>
      <c r="I803" s="2">
        <v>182</v>
      </c>
      <c r="J803" s="2">
        <v>445</v>
      </c>
      <c r="K803" s="2">
        <v>627</v>
      </c>
      <c r="L803" s="2">
        <v>17</v>
      </c>
      <c r="M803" s="2">
        <v>22</v>
      </c>
      <c r="N803" s="2">
        <v>23</v>
      </c>
      <c r="O803" s="2">
        <v>41</v>
      </c>
      <c r="P803" s="2">
        <v>691</v>
      </c>
      <c r="Q803" s="2">
        <v>10679</v>
      </c>
      <c r="R803" s="13" t="s">
        <v>27</v>
      </c>
      <c r="S803" s="13" t="s">
        <v>27</v>
      </c>
    </row>
    <row r="804" spans="1:19" hidden="1" x14ac:dyDescent="0.3">
      <c r="A804" s="14">
        <v>43923.708333333336</v>
      </c>
      <c r="B804" s="13" t="s">
        <v>23</v>
      </c>
      <c r="C804" s="2">
        <v>15</v>
      </c>
      <c r="D804" s="13" t="s">
        <v>48</v>
      </c>
      <c r="E804" s="2">
        <v>4083956555</v>
      </c>
      <c r="F804" s="2">
        <v>1425084984</v>
      </c>
      <c r="G804" s="2">
        <v>503</v>
      </c>
      <c r="H804" s="2">
        <v>120</v>
      </c>
      <c r="I804" s="2">
        <v>623</v>
      </c>
      <c r="J804" s="2">
        <v>1517</v>
      </c>
      <c r="K804" s="2">
        <v>2140</v>
      </c>
      <c r="L804" s="2">
        <v>164</v>
      </c>
      <c r="M804" s="2">
        <v>225</v>
      </c>
      <c r="N804" s="2">
        <v>149</v>
      </c>
      <c r="O804" s="2">
        <v>167</v>
      </c>
      <c r="P804" s="2">
        <v>2456</v>
      </c>
      <c r="Q804" s="2">
        <v>17404</v>
      </c>
      <c r="R804" s="13" t="s">
        <v>27</v>
      </c>
      <c r="S804" s="13" t="s">
        <v>27</v>
      </c>
    </row>
    <row r="805" spans="1:19" hidden="1" x14ac:dyDescent="0.3">
      <c r="A805" s="14">
        <v>43923.708333333336</v>
      </c>
      <c r="B805" s="13" t="s">
        <v>23</v>
      </c>
      <c r="C805" s="2">
        <v>8</v>
      </c>
      <c r="D805" s="13" t="s">
        <v>98</v>
      </c>
      <c r="E805" s="2">
        <v>4449436681</v>
      </c>
      <c r="F805" s="2">
        <v>113417208</v>
      </c>
      <c r="G805" s="2">
        <v>3944</v>
      </c>
      <c r="H805" s="2">
        <v>366</v>
      </c>
      <c r="I805" s="2">
        <v>4310</v>
      </c>
      <c r="J805" s="2">
        <v>7549</v>
      </c>
      <c r="K805" s="2">
        <v>11859</v>
      </c>
      <c r="L805" s="2">
        <v>370</v>
      </c>
      <c r="M805" s="2">
        <v>546</v>
      </c>
      <c r="N805" s="2">
        <v>1663</v>
      </c>
      <c r="O805" s="2">
        <v>1811</v>
      </c>
      <c r="P805" s="2">
        <v>15333</v>
      </c>
      <c r="Q805" s="2">
        <v>60507</v>
      </c>
      <c r="R805" s="13" t="s">
        <v>27</v>
      </c>
      <c r="S805" s="13" t="s">
        <v>27</v>
      </c>
    </row>
    <row r="806" spans="1:19" hidden="1" x14ac:dyDescent="0.3">
      <c r="A806" s="14">
        <v>43923.708333333336</v>
      </c>
      <c r="B806" s="13" t="s">
        <v>23</v>
      </c>
      <c r="C806" s="2">
        <v>6</v>
      </c>
      <c r="D806" s="13" t="s">
        <v>49</v>
      </c>
      <c r="E806" s="2">
        <v>456494354</v>
      </c>
      <c r="F806" s="2">
        <v>1376813649</v>
      </c>
      <c r="G806" s="2">
        <v>199</v>
      </c>
      <c r="H806" s="2">
        <v>60</v>
      </c>
      <c r="I806" s="2">
        <v>259</v>
      </c>
      <c r="J806" s="2">
        <v>1035</v>
      </c>
      <c r="K806" s="2">
        <v>1294</v>
      </c>
      <c r="L806" s="2">
        <v>88</v>
      </c>
      <c r="M806" s="2">
        <v>114</v>
      </c>
      <c r="N806" s="2">
        <v>376</v>
      </c>
      <c r="O806" s="2">
        <v>129</v>
      </c>
      <c r="P806" s="2">
        <v>1799</v>
      </c>
      <c r="Q806" s="2">
        <v>17121</v>
      </c>
      <c r="R806" s="13" t="s">
        <v>27</v>
      </c>
      <c r="S806" s="13" t="s">
        <v>27</v>
      </c>
    </row>
    <row r="807" spans="1:19" hidden="1" x14ac:dyDescent="0.3">
      <c r="A807" s="14">
        <v>43923.708333333336</v>
      </c>
      <c r="B807" s="13" t="s">
        <v>23</v>
      </c>
      <c r="C807" s="2">
        <v>12</v>
      </c>
      <c r="D807" s="13" t="s">
        <v>50</v>
      </c>
      <c r="E807" s="2">
        <v>4189277044</v>
      </c>
      <c r="F807" s="2">
        <v>1248366722</v>
      </c>
      <c r="G807" s="2">
        <v>1169</v>
      </c>
      <c r="H807" s="2">
        <v>181</v>
      </c>
      <c r="I807" s="2">
        <v>1350</v>
      </c>
      <c r="J807" s="2">
        <v>1529</v>
      </c>
      <c r="K807" s="2">
        <v>2879</v>
      </c>
      <c r="L807" s="2">
        <v>121</v>
      </c>
      <c r="M807" s="2">
        <v>169</v>
      </c>
      <c r="N807" s="2">
        <v>369</v>
      </c>
      <c r="O807" s="2">
        <v>185</v>
      </c>
      <c r="P807" s="2">
        <v>3433</v>
      </c>
      <c r="Q807" s="2">
        <v>41575</v>
      </c>
      <c r="R807" s="13" t="s">
        <v>27</v>
      </c>
      <c r="S807" s="13" t="s">
        <v>27</v>
      </c>
    </row>
    <row r="808" spans="1:19" hidden="1" x14ac:dyDescent="0.3">
      <c r="A808" s="14">
        <v>43923.708333333336</v>
      </c>
      <c r="B808" s="13" t="s">
        <v>23</v>
      </c>
      <c r="C808" s="2">
        <v>7</v>
      </c>
      <c r="D808" s="13" t="s">
        <v>51</v>
      </c>
      <c r="E808" s="2">
        <v>4441149315</v>
      </c>
      <c r="F808" s="2">
        <v>89326992</v>
      </c>
      <c r="G808" s="2">
        <v>1120</v>
      </c>
      <c r="H808" s="2">
        <v>172</v>
      </c>
      <c r="I808" s="2">
        <v>1292</v>
      </c>
      <c r="J808" s="2">
        <v>1368</v>
      </c>
      <c r="K808" s="2">
        <v>2660</v>
      </c>
      <c r="L808" s="2">
        <v>15</v>
      </c>
      <c r="M808" s="2">
        <v>122</v>
      </c>
      <c r="N808" s="2">
        <v>634</v>
      </c>
      <c r="O808" s="2">
        <v>488</v>
      </c>
      <c r="P808" s="2">
        <v>3782</v>
      </c>
      <c r="Q808" s="2">
        <v>12069</v>
      </c>
      <c r="R808" s="13" t="s">
        <v>27</v>
      </c>
      <c r="S808" s="13" t="s">
        <v>27</v>
      </c>
    </row>
    <row r="809" spans="1:19" x14ac:dyDescent="0.3">
      <c r="A809" s="14">
        <v>43923.708333333336</v>
      </c>
      <c r="B809" s="13" t="s">
        <v>23</v>
      </c>
      <c r="C809" s="2">
        <v>3</v>
      </c>
      <c r="D809" s="13" t="s">
        <v>52</v>
      </c>
      <c r="E809" s="2">
        <v>4546679409</v>
      </c>
      <c r="F809" s="2">
        <v>9190347404</v>
      </c>
      <c r="G809" s="2">
        <v>11762</v>
      </c>
      <c r="H809" s="2">
        <v>1351</v>
      </c>
      <c r="I809" s="2">
        <v>13113</v>
      </c>
      <c r="J809" s="2">
        <v>12763</v>
      </c>
      <c r="K809" s="2">
        <v>25876</v>
      </c>
      <c r="L809" s="2">
        <v>111</v>
      </c>
      <c r="M809" s="2">
        <v>1292</v>
      </c>
      <c r="N809" s="2">
        <v>12229</v>
      </c>
      <c r="O809" s="2">
        <v>7960</v>
      </c>
      <c r="P809" s="2">
        <v>46065</v>
      </c>
      <c r="Q809" s="2">
        <v>128286</v>
      </c>
      <c r="R809" s="13" t="s">
        <v>27</v>
      </c>
      <c r="S809" s="13" t="s">
        <v>27</v>
      </c>
    </row>
    <row r="810" spans="1:19" hidden="1" x14ac:dyDescent="0.3">
      <c r="A810" s="14">
        <v>43923.708333333336</v>
      </c>
      <c r="B810" s="13" t="s">
        <v>23</v>
      </c>
      <c r="C810" s="2">
        <v>11</v>
      </c>
      <c r="D810" s="13" t="s">
        <v>53</v>
      </c>
      <c r="E810" s="2">
        <v>4361675973</v>
      </c>
      <c r="F810" s="2">
        <v>135188753</v>
      </c>
      <c r="G810" s="2">
        <v>986</v>
      </c>
      <c r="H810" s="2">
        <v>164</v>
      </c>
      <c r="I810" s="2">
        <v>1150</v>
      </c>
      <c r="J810" s="2">
        <v>2405</v>
      </c>
      <c r="K810" s="2">
        <v>3555</v>
      </c>
      <c r="L810" s="2">
        <v>99</v>
      </c>
      <c r="M810" s="2">
        <v>136</v>
      </c>
      <c r="N810" s="2">
        <v>40</v>
      </c>
      <c r="O810" s="2">
        <v>503</v>
      </c>
      <c r="P810" s="2">
        <v>4098</v>
      </c>
      <c r="Q810" s="2">
        <v>12943</v>
      </c>
      <c r="R810" s="13" t="s">
        <v>27</v>
      </c>
      <c r="S810" s="13" t="s">
        <v>27</v>
      </c>
    </row>
    <row r="811" spans="1:19" hidden="1" x14ac:dyDescent="0.3">
      <c r="A811" s="14">
        <v>43923.708333333336</v>
      </c>
      <c r="B811" s="13" t="s">
        <v>23</v>
      </c>
      <c r="C811" s="2">
        <v>14</v>
      </c>
      <c r="D811" s="13" t="s">
        <v>54</v>
      </c>
      <c r="E811" s="2">
        <v>4155774754</v>
      </c>
      <c r="F811" s="2">
        <v>1465916051</v>
      </c>
      <c r="G811" s="2">
        <v>30</v>
      </c>
      <c r="H811" s="2">
        <v>8</v>
      </c>
      <c r="I811" s="2">
        <v>38</v>
      </c>
      <c r="J811" s="2">
        <v>95</v>
      </c>
      <c r="K811" s="2">
        <v>133</v>
      </c>
      <c r="L811" s="2">
        <v>2</v>
      </c>
      <c r="M811" s="2">
        <v>5</v>
      </c>
      <c r="N811" s="2">
        <v>21</v>
      </c>
      <c r="O811" s="2">
        <v>11</v>
      </c>
      <c r="P811" s="2">
        <v>165</v>
      </c>
      <c r="Q811" s="2">
        <v>1229</v>
      </c>
      <c r="R811" s="13" t="s">
        <v>27</v>
      </c>
      <c r="S811" s="13" t="s">
        <v>27</v>
      </c>
    </row>
    <row r="812" spans="1:19" hidden="1" x14ac:dyDescent="0.3">
      <c r="A812" s="14">
        <v>43923.708333333336</v>
      </c>
      <c r="B812" s="13" t="s">
        <v>23</v>
      </c>
      <c r="C812" s="2">
        <v>1</v>
      </c>
      <c r="D812" s="13" t="s">
        <v>55</v>
      </c>
      <c r="E812" s="2">
        <v>450732745</v>
      </c>
      <c r="F812" s="2">
        <v>7680687483</v>
      </c>
      <c r="G812" s="2">
        <v>3341</v>
      </c>
      <c r="H812" s="2">
        <v>453</v>
      </c>
      <c r="I812" s="2">
        <v>3794</v>
      </c>
      <c r="J812" s="2">
        <v>5005</v>
      </c>
      <c r="K812" s="2">
        <v>8799</v>
      </c>
      <c r="L812" s="2">
        <v>329</v>
      </c>
      <c r="M812" s="2">
        <v>558</v>
      </c>
      <c r="N812" s="2">
        <v>571</v>
      </c>
      <c r="O812" s="2">
        <v>983</v>
      </c>
      <c r="P812" s="2">
        <v>10353</v>
      </c>
      <c r="Q812" s="2">
        <v>32100</v>
      </c>
      <c r="R812" s="13" t="s">
        <v>27</v>
      </c>
      <c r="S812" s="13" t="s">
        <v>27</v>
      </c>
    </row>
    <row r="813" spans="1:19" hidden="1" x14ac:dyDescent="0.3">
      <c r="A813" s="14">
        <v>43923.708333333336</v>
      </c>
      <c r="B813" s="13" t="s">
        <v>23</v>
      </c>
      <c r="C813" s="2">
        <v>16</v>
      </c>
      <c r="D813" s="13" t="s">
        <v>56</v>
      </c>
      <c r="E813" s="2">
        <v>4112559576</v>
      </c>
      <c r="F813" s="2">
        <v>1686736689</v>
      </c>
      <c r="G813" s="2">
        <v>645</v>
      </c>
      <c r="H813" s="2">
        <v>118</v>
      </c>
      <c r="I813" s="2">
        <v>763</v>
      </c>
      <c r="J813" s="2">
        <v>1101</v>
      </c>
      <c r="K813" s="2">
        <v>1864</v>
      </c>
      <c r="L813" s="2">
        <v>108</v>
      </c>
      <c r="M813" s="2">
        <v>131</v>
      </c>
      <c r="N813" s="2">
        <v>69</v>
      </c>
      <c r="O813" s="2">
        <v>144</v>
      </c>
      <c r="P813" s="2">
        <v>2077</v>
      </c>
      <c r="Q813" s="2">
        <v>16554</v>
      </c>
      <c r="R813" s="13" t="s">
        <v>27</v>
      </c>
      <c r="S813" s="13" t="s">
        <v>27</v>
      </c>
    </row>
    <row r="814" spans="1:19" hidden="1" x14ac:dyDescent="0.3">
      <c r="A814" s="14">
        <v>43923.708333333336</v>
      </c>
      <c r="B814" s="13" t="s">
        <v>23</v>
      </c>
      <c r="C814" s="2">
        <v>20</v>
      </c>
      <c r="D814" s="13" t="s">
        <v>57</v>
      </c>
      <c r="E814" s="2">
        <v>3921531192</v>
      </c>
      <c r="F814" s="2">
        <v>9110616306</v>
      </c>
      <c r="G814" s="2">
        <v>117</v>
      </c>
      <c r="H814" s="2">
        <v>24</v>
      </c>
      <c r="I814" s="2">
        <v>141</v>
      </c>
      <c r="J814" s="2">
        <v>577</v>
      </c>
      <c r="K814" s="2">
        <v>718</v>
      </c>
      <c r="L814" s="2">
        <v>43</v>
      </c>
      <c r="M814" s="2">
        <v>49</v>
      </c>
      <c r="N814" s="2">
        <v>36</v>
      </c>
      <c r="O814" s="2">
        <v>40</v>
      </c>
      <c r="P814" s="2">
        <v>794</v>
      </c>
      <c r="Q814" s="2">
        <v>5970</v>
      </c>
      <c r="R814" s="13" t="s">
        <v>27</v>
      </c>
      <c r="S814" s="13" t="s">
        <v>27</v>
      </c>
    </row>
    <row r="815" spans="1:19" hidden="1" x14ac:dyDescent="0.3">
      <c r="A815" s="14">
        <v>43923.708333333336</v>
      </c>
      <c r="B815" s="13" t="s">
        <v>23</v>
      </c>
      <c r="C815" s="2">
        <v>19</v>
      </c>
      <c r="D815" s="13" t="s">
        <v>58</v>
      </c>
      <c r="E815" s="2">
        <v>3811569725</v>
      </c>
      <c r="F815" s="2">
        <v>133623567</v>
      </c>
      <c r="G815" s="2">
        <v>503</v>
      </c>
      <c r="H815" s="2">
        <v>73</v>
      </c>
      <c r="I815" s="2">
        <v>576</v>
      </c>
      <c r="J815" s="2">
        <v>1030</v>
      </c>
      <c r="K815" s="2">
        <v>1606</v>
      </c>
      <c r="L815" s="2">
        <v>62</v>
      </c>
      <c r="M815" s="2">
        <v>73</v>
      </c>
      <c r="N815" s="2">
        <v>92</v>
      </c>
      <c r="O815" s="2">
        <v>93</v>
      </c>
      <c r="P815" s="2">
        <v>1791</v>
      </c>
      <c r="Q815" s="2">
        <v>17833</v>
      </c>
      <c r="R815" s="13" t="s">
        <v>27</v>
      </c>
      <c r="S815" s="13" t="s">
        <v>27</v>
      </c>
    </row>
    <row r="816" spans="1:19" hidden="1" x14ac:dyDescent="0.3">
      <c r="A816" s="14">
        <v>43923.708333333336</v>
      </c>
      <c r="B816" s="13" t="s">
        <v>23</v>
      </c>
      <c r="C816" s="2">
        <v>9</v>
      </c>
      <c r="D816" s="13" t="s">
        <v>59</v>
      </c>
      <c r="E816" s="2">
        <v>4376923077</v>
      </c>
      <c r="F816" s="2">
        <v>1125588885</v>
      </c>
      <c r="G816" s="2">
        <v>1135</v>
      </c>
      <c r="H816" s="2">
        <v>295</v>
      </c>
      <c r="I816" s="2">
        <v>1430</v>
      </c>
      <c r="J816" s="2">
        <v>3359</v>
      </c>
      <c r="K816" s="2">
        <v>4789</v>
      </c>
      <c r="L816" s="2">
        <v>357</v>
      </c>
      <c r="M816" s="2">
        <v>406</v>
      </c>
      <c r="N816" s="2">
        <v>216</v>
      </c>
      <c r="O816" s="2">
        <v>268</v>
      </c>
      <c r="P816" s="2">
        <v>5273</v>
      </c>
      <c r="Q816" s="2">
        <v>40724</v>
      </c>
      <c r="R816" s="13" t="s">
        <v>27</v>
      </c>
      <c r="S816" s="13" t="s">
        <v>27</v>
      </c>
    </row>
    <row r="817" spans="1:19" hidden="1" x14ac:dyDescent="0.3">
      <c r="A817" s="14">
        <v>43923.708333333336</v>
      </c>
      <c r="B817" s="13" t="s">
        <v>23</v>
      </c>
      <c r="C817" s="2">
        <v>4</v>
      </c>
      <c r="D817" s="13" t="s">
        <v>60</v>
      </c>
      <c r="E817" s="2">
        <v>4606893511</v>
      </c>
      <c r="F817" s="2">
        <v>1112123097</v>
      </c>
      <c r="G817" s="2">
        <v>339</v>
      </c>
      <c r="H817" s="2">
        <v>78</v>
      </c>
      <c r="I817" s="2">
        <v>417</v>
      </c>
      <c r="J817" s="2">
        <v>1170</v>
      </c>
      <c r="K817" s="2">
        <v>1587</v>
      </c>
      <c r="L817" s="2">
        <v>104</v>
      </c>
      <c r="M817" s="2">
        <v>133</v>
      </c>
      <c r="N817" s="2">
        <v>229</v>
      </c>
      <c r="O817" s="2">
        <v>187</v>
      </c>
      <c r="P817" s="2">
        <v>2003</v>
      </c>
      <c r="Q817" s="2">
        <v>8496</v>
      </c>
      <c r="R817" s="13" t="s">
        <v>27</v>
      </c>
      <c r="S817" s="13" t="s">
        <v>27</v>
      </c>
    </row>
    <row r="818" spans="1:19" hidden="1" x14ac:dyDescent="0.3">
      <c r="A818" s="14">
        <v>43923.708333333336</v>
      </c>
      <c r="B818" s="13" t="s">
        <v>23</v>
      </c>
      <c r="C818" s="2">
        <v>10</v>
      </c>
      <c r="D818" s="13" t="s">
        <v>61</v>
      </c>
      <c r="E818" s="2">
        <v>4310675841</v>
      </c>
      <c r="F818" s="2">
        <v>1238824698</v>
      </c>
      <c r="G818" s="2">
        <v>171</v>
      </c>
      <c r="H818" s="2">
        <v>47</v>
      </c>
      <c r="I818" s="2">
        <v>218</v>
      </c>
      <c r="J818" s="2">
        <v>667</v>
      </c>
      <c r="K818" s="2">
        <v>885</v>
      </c>
      <c r="L818" s="2">
        <v>21</v>
      </c>
      <c r="M818" s="2">
        <v>33</v>
      </c>
      <c r="N818" s="2">
        <v>205</v>
      </c>
      <c r="O818" s="2">
        <v>38</v>
      </c>
      <c r="P818" s="2">
        <v>1128</v>
      </c>
      <c r="Q818" s="2">
        <v>9737</v>
      </c>
      <c r="R818" s="13" t="s">
        <v>27</v>
      </c>
      <c r="S818" s="13" t="s">
        <v>27</v>
      </c>
    </row>
    <row r="819" spans="1:19" hidden="1" x14ac:dyDescent="0.3">
      <c r="A819" s="14">
        <v>43923.708333333336</v>
      </c>
      <c r="B819" s="13" t="s">
        <v>23</v>
      </c>
      <c r="C819" s="2">
        <v>2</v>
      </c>
      <c r="D819" s="13" t="s">
        <v>62</v>
      </c>
      <c r="E819" s="2">
        <v>4573750286</v>
      </c>
      <c r="F819" s="2">
        <v>7320149366</v>
      </c>
      <c r="G819" s="2">
        <v>85</v>
      </c>
      <c r="H819" s="2">
        <v>25</v>
      </c>
      <c r="I819" s="2">
        <v>110</v>
      </c>
      <c r="J819" s="2">
        <v>446</v>
      </c>
      <c r="K819" s="2">
        <v>556</v>
      </c>
      <c r="L819" s="2">
        <v>16</v>
      </c>
      <c r="M819" s="2">
        <v>37</v>
      </c>
      <c r="N819" s="2">
        <v>49</v>
      </c>
      <c r="O819" s="2">
        <v>63</v>
      </c>
      <c r="P819" s="2">
        <v>668</v>
      </c>
      <c r="Q819" s="2">
        <v>1934</v>
      </c>
      <c r="R819" s="13" t="s">
        <v>27</v>
      </c>
      <c r="S819" s="13" t="s">
        <v>27</v>
      </c>
    </row>
    <row r="820" spans="1:19" hidden="1" x14ac:dyDescent="0.3">
      <c r="A820" s="14">
        <v>43923.708333333336</v>
      </c>
      <c r="B820" s="13" t="s">
        <v>23</v>
      </c>
      <c r="C820" s="2">
        <v>5</v>
      </c>
      <c r="D820" s="13" t="s">
        <v>63</v>
      </c>
      <c r="E820" s="2">
        <v>4543490485</v>
      </c>
      <c r="F820" s="2">
        <v>1233845213</v>
      </c>
      <c r="G820" s="2">
        <v>1670</v>
      </c>
      <c r="H820" s="2">
        <v>345</v>
      </c>
      <c r="I820" s="2">
        <v>2015</v>
      </c>
      <c r="J820" s="2">
        <v>6563</v>
      </c>
      <c r="K820" s="2">
        <v>8578</v>
      </c>
      <c r="L820" s="2">
        <v>354</v>
      </c>
      <c r="M820" s="2">
        <v>486</v>
      </c>
      <c r="N820" s="2">
        <v>1001</v>
      </c>
      <c r="O820" s="2">
        <v>532</v>
      </c>
      <c r="P820" s="2">
        <v>10111</v>
      </c>
      <c r="Q820" s="2">
        <v>120320</v>
      </c>
      <c r="R820" s="13" t="s">
        <v>27</v>
      </c>
      <c r="S820" s="13" t="s">
        <v>27</v>
      </c>
    </row>
    <row r="821" spans="1:19" hidden="1" x14ac:dyDescent="0.3">
      <c r="A821" s="14">
        <v>43924.708333333336</v>
      </c>
      <c r="B821" s="13" t="s">
        <v>23</v>
      </c>
      <c r="C821" s="2">
        <v>13</v>
      </c>
      <c r="D821" s="13" t="s">
        <v>44</v>
      </c>
      <c r="E821" s="2">
        <v>4235122196</v>
      </c>
      <c r="F821" s="2">
        <v>1339843823</v>
      </c>
      <c r="G821" s="2">
        <v>361</v>
      </c>
      <c r="H821" s="2">
        <v>76</v>
      </c>
      <c r="I821" s="2">
        <v>437</v>
      </c>
      <c r="J821" s="2">
        <v>864</v>
      </c>
      <c r="K821" s="2">
        <v>1301</v>
      </c>
      <c r="L821" s="2">
        <v>50</v>
      </c>
      <c r="M821" s="2">
        <v>66</v>
      </c>
      <c r="N821" s="2">
        <v>116</v>
      </c>
      <c r="O821" s="2">
        <v>146</v>
      </c>
      <c r="P821" s="2">
        <v>1563</v>
      </c>
      <c r="Q821" s="2">
        <v>11890</v>
      </c>
      <c r="R821" s="13" t="s">
        <v>27</v>
      </c>
      <c r="S821" s="13" t="s">
        <v>27</v>
      </c>
    </row>
    <row r="822" spans="1:19" hidden="1" x14ac:dyDescent="0.3">
      <c r="A822" s="14">
        <v>43924.708333333336</v>
      </c>
      <c r="B822" s="13" t="s">
        <v>23</v>
      </c>
      <c r="C822" s="2">
        <v>17</v>
      </c>
      <c r="D822" s="13" t="s">
        <v>45</v>
      </c>
      <c r="E822" s="2">
        <v>4063947052</v>
      </c>
      <c r="F822" s="2">
        <v>1580514834</v>
      </c>
      <c r="G822" s="2">
        <v>41</v>
      </c>
      <c r="H822" s="2">
        <v>19</v>
      </c>
      <c r="I822" s="2">
        <v>60</v>
      </c>
      <c r="J822" s="2">
        <v>187</v>
      </c>
      <c r="K822" s="2">
        <v>247</v>
      </c>
      <c r="L822" s="2">
        <v>14</v>
      </c>
      <c r="M822" s="2">
        <v>15</v>
      </c>
      <c r="N822" s="2">
        <v>3</v>
      </c>
      <c r="O822" s="2">
        <v>11</v>
      </c>
      <c r="P822" s="2">
        <v>261</v>
      </c>
      <c r="Q822" s="2">
        <v>2622</v>
      </c>
      <c r="R822" s="13" t="s">
        <v>27</v>
      </c>
      <c r="S822" s="13" t="s">
        <v>27</v>
      </c>
    </row>
    <row r="823" spans="1:19" hidden="1" x14ac:dyDescent="0.3">
      <c r="A823" s="14">
        <v>43924.708333333336</v>
      </c>
      <c r="B823" s="13" t="s">
        <v>23</v>
      </c>
      <c r="C823" s="2">
        <v>4</v>
      </c>
      <c r="D823" s="13" t="s">
        <v>46</v>
      </c>
      <c r="E823" s="2">
        <v>4649933453</v>
      </c>
      <c r="F823" s="2">
        <v>1135662422</v>
      </c>
      <c r="G823" s="2">
        <v>291</v>
      </c>
      <c r="H823" s="2">
        <v>60</v>
      </c>
      <c r="I823" s="2">
        <v>351</v>
      </c>
      <c r="J823" s="2">
        <v>858</v>
      </c>
      <c r="K823" s="2">
        <v>1209</v>
      </c>
      <c r="L823" s="2">
        <v>49</v>
      </c>
      <c r="M823" s="2">
        <v>80</v>
      </c>
      <c r="N823" s="2">
        <v>211</v>
      </c>
      <c r="O823" s="2">
        <v>139</v>
      </c>
      <c r="P823" s="2">
        <v>1559</v>
      </c>
      <c r="Q823" s="2">
        <v>13976</v>
      </c>
      <c r="R823" s="13" t="s">
        <v>27</v>
      </c>
      <c r="S823" s="13" t="s">
        <v>27</v>
      </c>
    </row>
    <row r="824" spans="1:19" hidden="1" x14ac:dyDescent="0.3">
      <c r="A824" s="14">
        <v>43924.708333333336</v>
      </c>
      <c r="B824" s="13" t="s">
        <v>23</v>
      </c>
      <c r="C824" s="2">
        <v>18</v>
      </c>
      <c r="D824" s="13" t="s">
        <v>47</v>
      </c>
      <c r="E824" s="2">
        <v>3890597598</v>
      </c>
      <c r="F824" s="2">
        <v>1659440194</v>
      </c>
      <c r="G824" s="2">
        <v>183</v>
      </c>
      <c r="H824" s="2">
        <v>17</v>
      </c>
      <c r="I824" s="2">
        <v>200</v>
      </c>
      <c r="J824" s="2">
        <v>462</v>
      </c>
      <c r="K824" s="2">
        <v>662</v>
      </c>
      <c r="L824" s="2">
        <v>35</v>
      </c>
      <c r="M824" s="2">
        <v>42</v>
      </c>
      <c r="N824" s="2">
        <v>26</v>
      </c>
      <c r="O824" s="2">
        <v>45</v>
      </c>
      <c r="P824" s="2">
        <v>733</v>
      </c>
      <c r="Q824" s="2">
        <v>11608</v>
      </c>
      <c r="R824" s="13" t="s">
        <v>27</v>
      </c>
      <c r="S824" s="13" t="s">
        <v>27</v>
      </c>
    </row>
    <row r="825" spans="1:19" hidden="1" x14ac:dyDescent="0.3">
      <c r="A825" s="14">
        <v>43924.708333333336</v>
      </c>
      <c r="B825" s="13" t="s">
        <v>23</v>
      </c>
      <c r="C825" s="2">
        <v>15</v>
      </c>
      <c r="D825" s="13" t="s">
        <v>48</v>
      </c>
      <c r="E825" s="2">
        <v>4083956555</v>
      </c>
      <c r="F825" s="2">
        <v>1425084984</v>
      </c>
      <c r="G825" s="2">
        <v>532</v>
      </c>
      <c r="H825" s="2">
        <v>115</v>
      </c>
      <c r="I825" s="2">
        <v>647</v>
      </c>
      <c r="J825" s="2">
        <v>1705</v>
      </c>
      <c r="K825" s="2">
        <v>2352</v>
      </c>
      <c r="L825" s="2">
        <v>212</v>
      </c>
      <c r="M825" s="2">
        <v>221</v>
      </c>
      <c r="N825" s="2">
        <v>144</v>
      </c>
      <c r="O825" s="2">
        <v>181</v>
      </c>
      <c r="P825" s="2">
        <v>2677</v>
      </c>
      <c r="Q825" s="2">
        <v>19237</v>
      </c>
      <c r="R825" s="13" t="s">
        <v>27</v>
      </c>
      <c r="S825" s="13" t="s">
        <v>27</v>
      </c>
    </row>
    <row r="826" spans="1:19" hidden="1" x14ac:dyDescent="0.3">
      <c r="A826" s="14">
        <v>43924.708333333336</v>
      </c>
      <c r="B826" s="13" t="s">
        <v>23</v>
      </c>
      <c r="C826" s="2">
        <v>8</v>
      </c>
      <c r="D826" s="13" t="s">
        <v>98</v>
      </c>
      <c r="E826" s="2">
        <v>4449436681</v>
      </c>
      <c r="F826" s="2">
        <v>113417208</v>
      </c>
      <c r="G826" s="2">
        <v>3915</v>
      </c>
      <c r="H826" s="2">
        <v>364</v>
      </c>
      <c r="I826" s="2">
        <v>4279</v>
      </c>
      <c r="J826" s="2">
        <v>7899</v>
      </c>
      <c r="K826" s="2">
        <v>12178</v>
      </c>
      <c r="L826" s="2">
        <v>319</v>
      </c>
      <c r="M826" s="2">
        <v>599</v>
      </c>
      <c r="N826" s="2">
        <v>1852</v>
      </c>
      <c r="O826" s="2">
        <v>1902</v>
      </c>
      <c r="P826" s="2">
        <v>15932</v>
      </c>
      <c r="Q826" s="2">
        <v>63682</v>
      </c>
      <c r="R826" s="13" t="s">
        <v>27</v>
      </c>
      <c r="S826" s="13" t="s">
        <v>27</v>
      </c>
    </row>
    <row r="827" spans="1:19" hidden="1" x14ac:dyDescent="0.3">
      <c r="A827" s="14">
        <v>43924.708333333336</v>
      </c>
      <c r="B827" s="13" t="s">
        <v>23</v>
      </c>
      <c r="C827" s="2">
        <v>6</v>
      </c>
      <c r="D827" s="13" t="s">
        <v>49</v>
      </c>
      <c r="E827" s="2">
        <v>456494354</v>
      </c>
      <c r="F827" s="2">
        <v>1376813649</v>
      </c>
      <c r="G827" s="2">
        <v>201</v>
      </c>
      <c r="H827" s="2">
        <v>61</v>
      </c>
      <c r="I827" s="2">
        <v>262</v>
      </c>
      <c r="J827" s="2">
        <v>1062</v>
      </c>
      <c r="K827" s="2">
        <v>1324</v>
      </c>
      <c r="L827" s="2">
        <v>30</v>
      </c>
      <c r="M827" s="2">
        <v>80</v>
      </c>
      <c r="N827" s="2">
        <v>419</v>
      </c>
      <c r="O827" s="2">
        <v>136</v>
      </c>
      <c r="P827" s="2">
        <v>1879</v>
      </c>
      <c r="Q827" s="2">
        <v>19985</v>
      </c>
      <c r="R827" s="13" t="s">
        <v>27</v>
      </c>
      <c r="S827" s="13" t="s">
        <v>27</v>
      </c>
    </row>
    <row r="828" spans="1:19" hidden="1" x14ac:dyDescent="0.3">
      <c r="A828" s="14">
        <v>43924.708333333336</v>
      </c>
      <c r="B828" s="13" t="s">
        <v>23</v>
      </c>
      <c r="C828" s="2">
        <v>12</v>
      </c>
      <c r="D828" s="13" t="s">
        <v>50</v>
      </c>
      <c r="E828" s="2">
        <v>4189277044</v>
      </c>
      <c r="F828" s="2">
        <v>1248366722</v>
      </c>
      <c r="G828" s="2">
        <v>1194</v>
      </c>
      <c r="H828" s="2">
        <v>188</v>
      </c>
      <c r="I828" s="2">
        <v>1382</v>
      </c>
      <c r="J828" s="2">
        <v>1627</v>
      </c>
      <c r="K828" s="2">
        <v>3009</v>
      </c>
      <c r="L828" s="2">
        <v>130</v>
      </c>
      <c r="M828" s="2">
        <v>167</v>
      </c>
      <c r="N828" s="2">
        <v>392</v>
      </c>
      <c r="O828" s="2">
        <v>199</v>
      </c>
      <c r="P828" s="2">
        <v>3600</v>
      </c>
      <c r="Q828" s="2">
        <v>43776</v>
      </c>
      <c r="R828" s="13" t="s">
        <v>27</v>
      </c>
      <c r="S828" s="13" t="s">
        <v>27</v>
      </c>
    </row>
    <row r="829" spans="1:19" hidden="1" x14ac:dyDescent="0.3">
      <c r="A829" s="14">
        <v>43924.708333333336</v>
      </c>
      <c r="B829" s="13" t="s">
        <v>23</v>
      </c>
      <c r="C829" s="2">
        <v>7</v>
      </c>
      <c r="D829" s="13" t="s">
        <v>51</v>
      </c>
      <c r="E829" s="2">
        <v>4441149315</v>
      </c>
      <c r="F829" s="2">
        <v>89326992</v>
      </c>
      <c r="G829" s="2">
        <v>1147</v>
      </c>
      <c r="H829" s="2">
        <v>173</v>
      </c>
      <c r="I829" s="2">
        <v>1320</v>
      </c>
      <c r="J829" s="2">
        <v>1426</v>
      </c>
      <c r="K829" s="2">
        <v>2746</v>
      </c>
      <c r="L829" s="2">
        <v>86</v>
      </c>
      <c r="M829" s="2">
        <v>183</v>
      </c>
      <c r="N829" s="2">
        <v>700</v>
      </c>
      <c r="O829" s="2">
        <v>519</v>
      </c>
      <c r="P829" s="2">
        <v>3965</v>
      </c>
      <c r="Q829" s="2">
        <v>12934</v>
      </c>
      <c r="R829" s="13" t="s">
        <v>27</v>
      </c>
      <c r="S829" s="13" t="s">
        <v>27</v>
      </c>
    </row>
    <row r="830" spans="1:19" x14ac:dyDescent="0.3">
      <c r="A830" s="14">
        <v>43924.708333333336</v>
      </c>
      <c r="B830" s="13" t="s">
        <v>23</v>
      </c>
      <c r="C830" s="2">
        <v>3</v>
      </c>
      <c r="D830" s="13" t="s">
        <v>52</v>
      </c>
      <c r="E830" s="2">
        <v>4546679409</v>
      </c>
      <c r="F830" s="2">
        <v>9190347404</v>
      </c>
      <c r="G830" s="2">
        <v>11802</v>
      </c>
      <c r="H830" s="2">
        <v>1381</v>
      </c>
      <c r="I830" s="2">
        <v>13183</v>
      </c>
      <c r="J830" s="2">
        <v>13006</v>
      </c>
      <c r="K830" s="2">
        <v>26189</v>
      </c>
      <c r="L830" s="2">
        <v>313</v>
      </c>
      <c r="M830" s="2">
        <v>1455</v>
      </c>
      <c r="N830" s="2">
        <v>13020</v>
      </c>
      <c r="O830" s="2">
        <v>8311</v>
      </c>
      <c r="P830" s="2">
        <v>47520</v>
      </c>
      <c r="Q830" s="2">
        <v>135051</v>
      </c>
      <c r="R830" s="13" t="s">
        <v>27</v>
      </c>
      <c r="S830" s="13" t="s">
        <v>27</v>
      </c>
    </row>
    <row r="831" spans="1:19" hidden="1" x14ac:dyDescent="0.3">
      <c r="A831" s="14">
        <v>43924.708333333336</v>
      </c>
      <c r="B831" s="13" t="s">
        <v>23</v>
      </c>
      <c r="C831" s="2">
        <v>11</v>
      </c>
      <c r="D831" s="13" t="s">
        <v>53</v>
      </c>
      <c r="E831" s="2">
        <v>4361675973</v>
      </c>
      <c r="F831" s="2">
        <v>135188753</v>
      </c>
      <c r="G831" s="2">
        <v>982</v>
      </c>
      <c r="H831" s="2">
        <v>158</v>
      </c>
      <c r="I831" s="2">
        <v>1140</v>
      </c>
      <c r="J831" s="2">
        <v>2491</v>
      </c>
      <c r="K831" s="2">
        <v>3631</v>
      </c>
      <c r="L831" s="2">
        <v>76</v>
      </c>
      <c r="M831" s="2">
        <v>132</v>
      </c>
      <c r="N831" s="2">
        <v>42</v>
      </c>
      <c r="O831" s="2">
        <v>557</v>
      </c>
      <c r="P831" s="2">
        <v>4230</v>
      </c>
      <c r="Q831" s="2">
        <v>13678</v>
      </c>
      <c r="R831" s="13" t="s">
        <v>27</v>
      </c>
      <c r="S831" s="13" t="s">
        <v>27</v>
      </c>
    </row>
    <row r="832" spans="1:19" hidden="1" x14ac:dyDescent="0.3">
      <c r="A832" s="14">
        <v>43924.708333333336</v>
      </c>
      <c r="B832" s="13" t="s">
        <v>23</v>
      </c>
      <c r="C832" s="2">
        <v>14</v>
      </c>
      <c r="D832" s="13" t="s">
        <v>54</v>
      </c>
      <c r="E832" s="2">
        <v>4155774754</v>
      </c>
      <c r="F832" s="2">
        <v>1465916051</v>
      </c>
      <c r="G832" s="2">
        <v>31</v>
      </c>
      <c r="H832" s="2">
        <v>8</v>
      </c>
      <c r="I832" s="2">
        <v>39</v>
      </c>
      <c r="J832" s="2">
        <v>105</v>
      </c>
      <c r="K832" s="2">
        <v>144</v>
      </c>
      <c r="L832" s="2">
        <v>11</v>
      </c>
      <c r="M832" s="2">
        <v>11</v>
      </c>
      <c r="N832" s="2">
        <v>21</v>
      </c>
      <c r="O832" s="2">
        <v>11</v>
      </c>
      <c r="P832" s="2">
        <v>176</v>
      </c>
      <c r="Q832" s="2">
        <v>1378</v>
      </c>
      <c r="R832" s="13" t="s">
        <v>27</v>
      </c>
      <c r="S832" s="13" t="s">
        <v>27</v>
      </c>
    </row>
    <row r="833" spans="1:19" hidden="1" x14ac:dyDescent="0.3">
      <c r="A833" s="14">
        <v>43924.708333333336</v>
      </c>
      <c r="B833" s="13" t="s">
        <v>23</v>
      </c>
      <c r="C833" s="2">
        <v>1</v>
      </c>
      <c r="D833" s="13" t="s">
        <v>55</v>
      </c>
      <c r="E833" s="2">
        <v>450732745</v>
      </c>
      <c r="F833" s="2">
        <v>7680687483</v>
      </c>
      <c r="G833" s="2">
        <v>3300</v>
      </c>
      <c r="H833" s="2">
        <v>452</v>
      </c>
      <c r="I833" s="2">
        <v>3752</v>
      </c>
      <c r="J833" s="2">
        <v>5378</v>
      </c>
      <c r="K833" s="2">
        <v>9130</v>
      </c>
      <c r="L833" s="2">
        <v>331</v>
      </c>
      <c r="M833" s="2">
        <v>543</v>
      </c>
      <c r="N833" s="2">
        <v>723</v>
      </c>
      <c r="O833" s="2">
        <v>1043</v>
      </c>
      <c r="P833" s="2">
        <v>10896</v>
      </c>
      <c r="Q833" s="2">
        <v>34281</v>
      </c>
      <c r="R833" s="13" t="s">
        <v>27</v>
      </c>
      <c r="S833" s="13" t="s">
        <v>27</v>
      </c>
    </row>
    <row r="834" spans="1:19" hidden="1" x14ac:dyDescent="0.3">
      <c r="A834" s="14">
        <v>43924.708333333336</v>
      </c>
      <c r="B834" s="13" t="s">
        <v>23</v>
      </c>
      <c r="C834" s="2">
        <v>16</v>
      </c>
      <c r="D834" s="13" t="s">
        <v>56</v>
      </c>
      <c r="E834" s="2">
        <v>4112559576</v>
      </c>
      <c r="F834" s="2">
        <v>1686736689</v>
      </c>
      <c r="G834" s="2">
        <v>648</v>
      </c>
      <c r="H834" s="2">
        <v>123</v>
      </c>
      <c r="I834" s="2">
        <v>771</v>
      </c>
      <c r="J834" s="2">
        <v>1178</v>
      </c>
      <c r="K834" s="2">
        <v>1949</v>
      </c>
      <c r="L834" s="2">
        <v>85</v>
      </c>
      <c r="M834" s="2">
        <v>105</v>
      </c>
      <c r="N834" s="2">
        <v>69</v>
      </c>
      <c r="O834" s="2">
        <v>164</v>
      </c>
      <c r="P834" s="2">
        <v>2182</v>
      </c>
      <c r="Q834" s="2">
        <v>17924</v>
      </c>
      <c r="R834" s="13" t="s">
        <v>27</v>
      </c>
      <c r="S834" s="13" t="s">
        <v>27</v>
      </c>
    </row>
    <row r="835" spans="1:19" hidden="1" x14ac:dyDescent="0.3">
      <c r="A835" s="14">
        <v>43924.708333333336</v>
      </c>
      <c r="B835" s="13" t="s">
        <v>23</v>
      </c>
      <c r="C835" s="2">
        <v>20</v>
      </c>
      <c r="D835" s="13" t="s">
        <v>57</v>
      </c>
      <c r="E835" s="2">
        <v>3921531192</v>
      </c>
      <c r="F835" s="2">
        <v>9110616306</v>
      </c>
      <c r="G835" s="2">
        <v>122</v>
      </c>
      <c r="H835" s="2">
        <v>24</v>
      </c>
      <c r="I835" s="2">
        <v>146</v>
      </c>
      <c r="J835" s="2">
        <v>598</v>
      </c>
      <c r="K835" s="2">
        <v>744</v>
      </c>
      <c r="L835" s="2">
        <v>26</v>
      </c>
      <c r="M835" s="2">
        <v>31</v>
      </c>
      <c r="N835" s="2">
        <v>40</v>
      </c>
      <c r="O835" s="2">
        <v>41</v>
      </c>
      <c r="P835" s="2">
        <v>825</v>
      </c>
      <c r="Q835" s="2">
        <v>6478</v>
      </c>
      <c r="R835" s="13" t="s">
        <v>27</v>
      </c>
      <c r="S835" s="13" t="s">
        <v>27</v>
      </c>
    </row>
    <row r="836" spans="1:19" hidden="1" x14ac:dyDescent="0.3">
      <c r="A836" s="14">
        <v>43924.708333333336</v>
      </c>
      <c r="B836" s="13" t="s">
        <v>23</v>
      </c>
      <c r="C836" s="2">
        <v>19</v>
      </c>
      <c r="D836" s="13" t="s">
        <v>58</v>
      </c>
      <c r="E836" s="2">
        <v>3811569725</v>
      </c>
      <c r="F836" s="2">
        <v>133623567</v>
      </c>
      <c r="G836" s="2">
        <v>535</v>
      </c>
      <c r="H836" s="2">
        <v>73</v>
      </c>
      <c r="I836" s="2">
        <v>608</v>
      </c>
      <c r="J836" s="2">
        <v>1056</v>
      </c>
      <c r="K836" s="2">
        <v>1664</v>
      </c>
      <c r="L836" s="2">
        <v>58</v>
      </c>
      <c r="M836" s="2">
        <v>68</v>
      </c>
      <c r="N836" s="2">
        <v>94</v>
      </c>
      <c r="O836" s="2">
        <v>101</v>
      </c>
      <c r="P836" s="2">
        <v>1859</v>
      </c>
      <c r="Q836" s="2">
        <v>18686</v>
      </c>
      <c r="R836" s="13" t="s">
        <v>27</v>
      </c>
      <c r="S836" s="13" t="s">
        <v>27</v>
      </c>
    </row>
    <row r="837" spans="1:19" hidden="1" x14ac:dyDescent="0.3">
      <c r="A837" s="14">
        <v>43924.708333333336</v>
      </c>
      <c r="B837" s="13" t="s">
        <v>23</v>
      </c>
      <c r="C837" s="2">
        <v>9</v>
      </c>
      <c r="D837" s="13" t="s">
        <v>59</v>
      </c>
      <c r="E837" s="2">
        <v>4376923077</v>
      </c>
      <c r="F837" s="2">
        <v>1125588885</v>
      </c>
      <c r="G837" s="2">
        <v>1149</v>
      </c>
      <c r="H837" s="2">
        <v>288</v>
      </c>
      <c r="I837" s="2">
        <v>1437</v>
      </c>
      <c r="J837" s="2">
        <v>3472</v>
      </c>
      <c r="K837" s="2">
        <v>4909</v>
      </c>
      <c r="L837" s="2">
        <v>120</v>
      </c>
      <c r="M837" s="2">
        <v>226</v>
      </c>
      <c r="N837" s="2">
        <v>300</v>
      </c>
      <c r="O837" s="2">
        <v>290</v>
      </c>
      <c r="P837" s="2">
        <v>5499</v>
      </c>
      <c r="Q837" s="2">
        <v>44460</v>
      </c>
      <c r="R837" s="13" t="s">
        <v>27</v>
      </c>
      <c r="S837" s="13" t="s">
        <v>27</v>
      </c>
    </row>
    <row r="838" spans="1:19" hidden="1" x14ac:dyDescent="0.3">
      <c r="A838" s="14">
        <v>43924.708333333336</v>
      </c>
      <c r="B838" s="13" t="s">
        <v>23</v>
      </c>
      <c r="C838" s="2">
        <v>4</v>
      </c>
      <c r="D838" s="13" t="s">
        <v>60</v>
      </c>
      <c r="E838" s="2">
        <v>4606893511</v>
      </c>
      <c r="F838" s="2">
        <v>1112123097</v>
      </c>
      <c r="G838" s="2">
        <v>343</v>
      </c>
      <c r="H838" s="2">
        <v>80</v>
      </c>
      <c r="I838" s="2">
        <v>423</v>
      </c>
      <c r="J838" s="2">
        <v>1236</v>
      </c>
      <c r="K838" s="2">
        <v>1659</v>
      </c>
      <c r="L838" s="2">
        <v>72</v>
      </c>
      <c r="M838" s="2">
        <v>106</v>
      </c>
      <c r="N838" s="2">
        <v>246</v>
      </c>
      <c r="O838" s="2">
        <v>204</v>
      </c>
      <c r="P838" s="2">
        <v>2109</v>
      </c>
      <c r="Q838" s="2">
        <v>8993</v>
      </c>
      <c r="R838" s="13" t="s">
        <v>27</v>
      </c>
      <c r="S838" s="13" t="s">
        <v>27</v>
      </c>
    </row>
    <row r="839" spans="1:19" hidden="1" x14ac:dyDescent="0.3">
      <c r="A839" s="14">
        <v>43924.708333333336</v>
      </c>
      <c r="B839" s="13" t="s">
        <v>23</v>
      </c>
      <c r="C839" s="2">
        <v>10</v>
      </c>
      <c r="D839" s="13" t="s">
        <v>61</v>
      </c>
      <c r="E839" s="2">
        <v>4310675841</v>
      </c>
      <c r="F839" s="2">
        <v>1238824698</v>
      </c>
      <c r="G839" s="2">
        <v>165</v>
      </c>
      <c r="H839" s="2">
        <v>48</v>
      </c>
      <c r="I839" s="2">
        <v>213</v>
      </c>
      <c r="J839" s="2">
        <v>707</v>
      </c>
      <c r="K839" s="2">
        <v>920</v>
      </c>
      <c r="L839" s="2">
        <v>35</v>
      </c>
      <c r="M839" s="2">
        <v>51</v>
      </c>
      <c r="N839" s="2">
        <v>220</v>
      </c>
      <c r="O839" s="2">
        <v>39</v>
      </c>
      <c r="P839" s="2">
        <v>1179</v>
      </c>
      <c r="Q839" s="2">
        <v>10614</v>
      </c>
      <c r="R839" s="13" t="s">
        <v>27</v>
      </c>
      <c r="S839" s="13" t="s">
        <v>27</v>
      </c>
    </row>
    <row r="840" spans="1:19" hidden="1" x14ac:dyDescent="0.3">
      <c r="A840" s="14">
        <v>43924.708333333336</v>
      </c>
      <c r="B840" s="13" t="s">
        <v>23</v>
      </c>
      <c r="C840" s="2">
        <v>2</v>
      </c>
      <c r="D840" s="13" t="s">
        <v>62</v>
      </c>
      <c r="E840" s="2">
        <v>4573750286</v>
      </c>
      <c r="F840" s="2">
        <v>7320149366</v>
      </c>
      <c r="G840" s="2">
        <v>85</v>
      </c>
      <c r="H840" s="2">
        <v>25</v>
      </c>
      <c r="I840" s="2">
        <v>110</v>
      </c>
      <c r="J840" s="2">
        <v>450</v>
      </c>
      <c r="K840" s="2">
        <v>560</v>
      </c>
      <c r="L840" s="2">
        <v>4</v>
      </c>
      <c r="M840" s="2">
        <v>51</v>
      </c>
      <c r="N840" s="2">
        <v>89</v>
      </c>
      <c r="O840" s="2">
        <v>70</v>
      </c>
      <c r="P840" s="2">
        <v>719</v>
      </c>
      <c r="Q840" s="2">
        <v>2106</v>
      </c>
      <c r="R840" s="13" t="s">
        <v>27</v>
      </c>
      <c r="S840" s="13" t="s">
        <v>27</v>
      </c>
    </row>
    <row r="841" spans="1:19" hidden="1" x14ac:dyDescent="0.3">
      <c r="A841" s="14">
        <v>43924.708333333336</v>
      </c>
      <c r="B841" s="13" t="s">
        <v>23</v>
      </c>
      <c r="C841" s="2">
        <v>5</v>
      </c>
      <c r="D841" s="13" t="s">
        <v>63</v>
      </c>
      <c r="E841" s="2">
        <v>4543490485</v>
      </c>
      <c r="F841" s="2">
        <v>1233845213</v>
      </c>
      <c r="G841" s="2">
        <v>1714</v>
      </c>
      <c r="H841" s="2">
        <v>335</v>
      </c>
      <c r="I841" s="2">
        <v>2049</v>
      </c>
      <c r="J841" s="2">
        <v>6812</v>
      </c>
      <c r="K841" s="2">
        <v>8861</v>
      </c>
      <c r="L841" s="2">
        <v>283</v>
      </c>
      <c r="M841" s="2">
        <v>353</v>
      </c>
      <c r="N841" s="2">
        <v>1031</v>
      </c>
      <c r="O841" s="2">
        <v>572</v>
      </c>
      <c r="P841" s="2">
        <v>10464</v>
      </c>
      <c r="Q841" s="2">
        <v>126490</v>
      </c>
      <c r="R841" s="13" t="s">
        <v>27</v>
      </c>
      <c r="S841" s="13" t="s">
        <v>27</v>
      </c>
    </row>
    <row r="842" spans="1:19" hidden="1" x14ac:dyDescent="0.3">
      <c r="A842" s="14">
        <v>43925.708333333336</v>
      </c>
      <c r="B842" s="13" t="s">
        <v>23</v>
      </c>
      <c r="C842" s="2">
        <v>13</v>
      </c>
      <c r="D842" s="13" t="s">
        <v>44</v>
      </c>
      <c r="E842" s="2">
        <v>4235122196</v>
      </c>
      <c r="F842" s="2">
        <v>1339843823</v>
      </c>
      <c r="G842" s="2">
        <v>354</v>
      </c>
      <c r="H842" s="2">
        <v>71</v>
      </c>
      <c r="I842" s="2">
        <v>425</v>
      </c>
      <c r="J842" s="2">
        <v>931</v>
      </c>
      <c r="K842" s="2">
        <v>1356</v>
      </c>
      <c r="L842" s="2">
        <v>55</v>
      </c>
      <c r="M842" s="2">
        <v>65</v>
      </c>
      <c r="N842" s="2">
        <v>119</v>
      </c>
      <c r="O842" s="2">
        <v>153</v>
      </c>
      <c r="P842" s="2">
        <v>1628</v>
      </c>
      <c r="Q842" s="2">
        <v>12837</v>
      </c>
      <c r="R842" s="13" t="s">
        <v>27</v>
      </c>
      <c r="S842" s="13" t="s">
        <v>27</v>
      </c>
    </row>
    <row r="843" spans="1:19" hidden="1" x14ac:dyDescent="0.3">
      <c r="A843" s="14">
        <v>43925.708333333336</v>
      </c>
      <c r="B843" s="13" t="s">
        <v>23</v>
      </c>
      <c r="C843" s="2">
        <v>17</v>
      </c>
      <c r="D843" s="13" t="s">
        <v>45</v>
      </c>
      <c r="E843" s="2">
        <v>4063947052</v>
      </c>
      <c r="F843" s="2">
        <v>1580514834</v>
      </c>
      <c r="G843" s="2">
        <v>44</v>
      </c>
      <c r="H843" s="2">
        <v>19</v>
      </c>
      <c r="I843" s="2">
        <v>63</v>
      </c>
      <c r="J843" s="2">
        <v>181</v>
      </c>
      <c r="K843" s="2">
        <v>244</v>
      </c>
      <c r="L843" s="2">
        <v>-3</v>
      </c>
      <c r="M843" s="2">
        <v>3</v>
      </c>
      <c r="N843" s="2">
        <v>9</v>
      </c>
      <c r="O843" s="2">
        <v>11</v>
      </c>
      <c r="P843" s="2">
        <v>264</v>
      </c>
      <c r="Q843" s="2">
        <v>2765</v>
      </c>
      <c r="R843" s="13" t="s">
        <v>27</v>
      </c>
      <c r="S843" s="13" t="s">
        <v>27</v>
      </c>
    </row>
    <row r="844" spans="1:19" hidden="1" x14ac:dyDescent="0.3">
      <c r="A844" s="14">
        <v>43925.708333333336</v>
      </c>
      <c r="B844" s="13" t="s">
        <v>23</v>
      </c>
      <c r="C844" s="2">
        <v>4</v>
      </c>
      <c r="D844" s="13" t="s">
        <v>46</v>
      </c>
      <c r="E844" s="2">
        <v>4649933453</v>
      </c>
      <c r="F844" s="2">
        <v>1135662422</v>
      </c>
      <c r="G844" s="2">
        <v>291</v>
      </c>
      <c r="H844" s="2">
        <v>61</v>
      </c>
      <c r="I844" s="2">
        <v>352</v>
      </c>
      <c r="J844" s="2">
        <v>849</v>
      </c>
      <c r="K844" s="2">
        <v>1201</v>
      </c>
      <c r="L844" s="2">
        <v>-8</v>
      </c>
      <c r="M844" s="2">
        <v>33</v>
      </c>
      <c r="N844" s="2">
        <v>245</v>
      </c>
      <c r="O844" s="2">
        <v>146</v>
      </c>
      <c r="P844" s="2">
        <v>1592</v>
      </c>
      <c r="Q844" s="2">
        <v>15045</v>
      </c>
      <c r="R844" s="13" t="s">
        <v>27</v>
      </c>
      <c r="S844" s="13" t="s">
        <v>27</v>
      </c>
    </row>
    <row r="845" spans="1:19" hidden="1" x14ac:dyDescent="0.3">
      <c r="A845" s="14">
        <v>43925.708333333336</v>
      </c>
      <c r="B845" s="13" t="s">
        <v>23</v>
      </c>
      <c r="C845" s="2">
        <v>18</v>
      </c>
      <c r="D845" s="13" t="s">
        <v>47</v>
      </c>
      <c r="E845" s="2">
        <v>3890597598</v>
      </c>
      <c r="F845" s="2">
        <v>1659440194</v>
      </c>
      <c r="G845" s="2">
        <v>178</v>
      </c>
      <c r="H845" s="2">
        <v>15</v>
      </c>
      <c r="I845" s="2">
        <v>193</v>
      </c>
      <c r="J845" s="2">
        <v>469</v>
      </c>
      <c r="K845" s="2">
        <v>662</v>
      </c>
      <c r="L845" s="2">
        <v>0</v>
      </c>
      <c r="M845" s="2">
        <v>8</v>
      </c>
      <c r="N845" s="2">
        <v>30</v>
      </c>
      <c r="O845" s="2">
        <v>49</v>
      </c>
      <c r="P845" s="2">
        <v>741</v>
      </c>
      <c r="Q845" s="2">
        <v>12314</v>
      </c>
      <c r="R845" s="13" t="s">
        <v>27</v>
      </c>
      <c r="S845" s="13" t="s">
        <v>27</v>
      </c>
    </row>
    <row r="846" spans="1:19" hidden="1" x14ac:dyDescent="0.3">
      <c r="A846" s="14">
        <v>43925.708333333336</v>
      </c>
      <c r="B846" s="13" t="s">
        <v>23</v>
      </c>
      <c r="C846" s="2">
        <v>15</v>
      </c>
      <c r="D846" s="13" t="s">
        <v>48</v>
      </c>
      <c r="E846" s="2">
        <v>4083956555</v>
      </c>
      <c r="F846" s="2">
        <v>1425084984</v>
      </c>
      <c r="G846" s="2">
        <v>567</v>
      </c>
      <c r="H846" s="2">
        <v>114</v>
      </c>
      <c r="I846" s="2">
        <v>681</v>
      </c>
      <c r="J846" s="2">
        <v>1815</v>
      </c>
      <c r="K846" s="2">
        <v>2496</v>
      </c>
      <c r="L846" s="2">
        <v>144</v>
      </c>
      <c r="M846" s="2">
        <v>151</v>
      </c>
      <c r="N846" s="2">
        <v>146</v>
      </c>
      <c r="O846" s="2">
        <v>186</v>
      </c>
      <c r="P846" s="2">
        <v>2828</v>
      </c>
      <c r="Q846" s="2">
        <v>21534</v>
      </c>
      <c r="R846" s="13" t="s">
        <v>27</v>
      </c>
      <c r="S846" s="13" t="s">
        <v>27</v>
      </c>
    </row>
    <row r="847" spans="1:19" hidden="1" x14ac:dyDescent="0.3">
      <c r="A847" s="14">
        <v>43925.708333333336</v>
      </c>
      <c r="B847" s="13" t="s">
        <v>23</v>
      </c>
      <c r="C847" s="2">
        <v>8</v>
      </c>
      <c r="D847" s="13" t="s">
        <v>98</v>
      </c>
      <c r="E847" s="2">
        <v>4449436681</v>
      </c>
      <c r="F847" s="2">
        <v>113417208</v>
      </c>
      <c r="G847" s="2">
        <v>3859</v>
      </c>
      <c r="H847" s="2">
        <v>358</v>
      </c>
      <c r="I847" s="2">
        <v>4217</v>
      </c>
      <c r="J847" s="2">
        <v>8306</v>
      </c>
      <c r="K847" s="2">
        <v>12523</v>
      </c>
      <c r="L847" s="2">
        <v>345</v>
      </c>
      <c r="M847" s="2">
        <v>608</v>
      </c>
      <c r="N847" s="2">
        <v>2040</v>
      </c>
      <c r="O847" s="2">
        <v>1977</v>
      </c>
      <c r="P847" s="2">
        <v>16540</v>
      </c>
      <c r="Q847" s="2">
        <v>67075</v>
      </c>
      <c r="R847" s="13" t="s">
        <v>27</v>
      </c>
      <c r="S847" s="13" t="s">
        <v>27</v>
      </c>
    </row>
    <row r="848" spans="1:19" hidden="1" x14ac:dyDescent="0.3">
      <c r="A848" s="14">
        <v>43925.708333333336</v>
      </c>
      <c r="B848" s="13" t="s">
        <v>23</v>
      </c>
      <c r="C848" s="2">
        <v>6</v>
      </c>
      <c r="D848" s="13" t="s">
        <v>49</v>
      </c>
      <c r="E848" s="2">
        <v>456494354</v>
      </c>
      <c r="F848" s="2">
        <v>1376813649</v>
      </c>
      <c r="G848" s="2">
        <v>183</v>
      </c>
      <c r="H848" s="2">
        <v>50</v>
      </c>
      <c r="I848" s="2">
        <v>233</v>
      </c>
      <c r="J848" s="2">
        <v>1103</v>
      </c>
      <c r="K848" s="2">
        <v>1336</v>
      </c>
      <c r="L848" s="2">
        <v>12</v>
      </c>
      <c r="M848" s="2">
        <v>107</v>
      </c>
      <c r="N848" s="2">
        <v>505</v>
      </c>
      <c r="O848" s="2">
        <v>145</v>
      </c>
      <c r="P848" s="2">
        <v>1986</v>
      </c>
      <c r="Q848" s="2">
        <v>21126</v>
      </c>
      <c r="R848" s="13" t="s">
        <v>27</v>
      </c>
      <c r="S848" s="13" t="s">
        <v>27</v>
      </c>
    </row>
    <row r="849" spans="1:19" hidden="1" x14ac:dyDescent="0.3">
      <c r="A849" s="14">
        <v>43925.708333333336</v>
      </c>
      <c r="B849" s="13" t="s">
        <v>23</v>
      </c>
      <c r="C849" s="2">
        <v>12</v>
      </c>
      <c r="D849" s="13" t="s">
        <v>50</v>
      </c>
      <c r="E849" s="2">
        <v>4189277044</v>
      </c>
      <c r="F849" s="2">
        <v>1248366722</v>
      </c>
      <c r="G849" s="2">
        <v>1236</v>
      </c>
      <c r="H849" s="2">
        <v>193</v>
      </c>
      <c r="I849" s="2">
        <v>1429</v>
      </c>
      <c r="J849" s="2">
        <v>1677</v>
      </c>
      <c r="K849" s="2">
        <v>3106</v>
      </c>
      <c r="L849" s="2">
        <v>97</v>
      </c>
      <c r="M849" s="2">
        <v>157</v>
      </c>
      <c r="N849" s="2">
        <v>439</v>
      </c>
      <c r="O849" s="2">
        <v>212</v>
      </c>
      <c r="P849" s="2">
        <v>3757</v>
      </c>
      <c r="Q849" s="2">
        <v>44624</v>
      </c>
      <c r="R849" s="13" t="s">
        <v>27</v>
      </c>
      <c r="S849" s="13" t="s">
        <v>27</v>
      </c>
    </row>
    <row r="850" spans="1:19" hidden="1" x14ac:dyDescent="0.3">
      <c r="A850" s="14">
        <v>43925.708333333336</v>
      </c>
      <c r="B850" s="13" t="s">
        <v>23</v>
      </c>
      <c r="C850" s="2">
        <v>7</v>
      </c>
      <c r="D850" s="13" t="s">
        <v>51</v>
      </c>
      <c r="E850" s="2">
        <v>4441149315</v>
      </c>
      <c r="F850" s="2">
        <v>89326992</v>
      </c>
      <c r="G850" s="2">
        <v>1121</v>
      </c>
      <c r="H850" s="2">
        <v>169</v>
      </c>
      <c r="I850" s="2">
        <v>1290</v>
      </c>
      <c r="J850" s="2">
        <v>1604</v>
      </c>
      <c r="K850" s="2">
        <v>2894</v>
      </c>
      <c r="L850" s="2">
        <v>148</v>
      </c>
      <c r="M850" s="2">
        <v>238</v>
      </c>
      <c r="N850" s="2">
        <v>767</v>
      </c>
      <c r="O850" s="2">
        <v>542</v>
      </c>
      <c r="P850" s="2">
        <v>4203</v>
      </c>
      <c r="Q850" s="2">
        <v>14087</v>
      </c>
      <c r="R850" s="13" t="s">
        <v>27</v>
      </c>
      <c r="S850" s="13" t="s">
        <v>27</v>
      </c>
    </row>
    <row r="851" spans="1:19" x14ac:dyDescent="0.3">
      <c r="A851" s="14">
        <v>43925.708333333336</v>
      </c>
      <c r="B851" s="13" t="s">
        <v>23</v>
      </c>
      <c r="C851" s="2">
        <v>3</v>
      </c>
      <c r="D851" s="13" t="s">
        <v>52</v>
      </c>
      <c r="E851" s="2">
        <v>4546679409</v>
      </c>
      <c r="F851" s="2">
        <v>9190347404</v>
      </c>
      <c r="G851" s="2">
        <v>12002</v>
      </c>
      <c r="H851" s="2">
        <v>1326</v>
      </c>
      <c r="I851" s="2">
        <v>13328</v>
      </c>
      <c r="J851" s="2">
        <v>13892</v>
      </c>
      <c r="K851" s="2">
        <v>27220</v>
      </c>
      <c r="L851" s="2">
        <v>1031</v>
      </c>
      <c r="M851" s="2">
        <v>1598</v>
      </c>
      <c r="N851" s="2">
        <v>13242</v>
      </c>
      <c r="O851" s="2">
        <v>8656</v>
      </c>
      <c r="P851" s="2">
        <v>49118</v>
      </c>
      <c r="Q851" s="2">
        <v>141877</v>
      </c>
      <c r="R851" s="13" t="s">
        <v>27</v>
      </c>
      <c r="S851" s="13" t="s">
        <v>27</v>
      </c>
    </row>
    <row r="852" spans="1:19" hidden="1" x14ac:dyDescent="0.3">
      <c r="A852" s="14">
        <v>43925.708333333336</v>
      </c>
      <c r="B852" s="13" t="s">
        <v>23</v>
      </c>
      <c r="C852" s="2">
        <v>11</v>
      </c>
      <c r="D852" s="13" t="s">
        <v>53</v>
      </c>
      <c r="E852" s="2">
        <v>4361675973</v>
      </c>
      <c r="F852" s="2">
        <v>135188753</v>
      </c>
      <c r="G852" s="2">
        <v>997</v>
      </c>
      <c r="H852" s="2">
        <v>153</v>
      </c>
      <c r="I852" s="2">
        <v>1150</v>
      </c>
      <c r="J852" s="2">
        <v>2347</v>
      </c>
      <c r="K852" s="2">
        <v>3497</v>
      </c>
      <c r="L852" s="2">
        <v>-134</v>
      </c>
      <c r="M852" s="2">
        <v>111</v>
      </c>
      <c r="N852" s="2">
        <v>270</v>
      </c>
      <c r="O852" s="2">
        <v>574</v>
      </c>
      <c r="P852" s="2">
        <v>4341</v>
      </c>
      <c r="Q852" s="2">
        <v>14472</v>
      </c>
      <c r="R852" s="13" t="s">
        <v>27</v>
      </c>
      <c r="S852" s="13" t="s">
        <v>27</v>
      </c>
    </row>
    <row r="853" spans="1:19" hidden="1" x14ac:dyDescent="0.3">
      <c r="A853" s="14">
        <v>43925.708333333336</v>
      </c>
      <c r="B853" s="13" t="s">
        <v>23</v>
      </c>
      <c r="C853" s="2">
        <v>14</v>
      </c>
      <c r="D853" s="13" t="s">
        <v>54</v>
      </c>
      <c r="E853" s="2">
        <v>4155774754</v>
      </c>
      <c r="F853" s="2">
        <v>1465916051</v>
      </c>
      <c r="G853" s="2">
        <v>31</v>
      </c>
      <c r="H853" s="2">
        <v>6</v>
      </c>
      <c r="I853" s="2">
        <v>37</v>
      </c>
      <c r="J853" s="2">
        <v>134</v>
      </c>
      <c r="K853" s="2">
        <v>171</v>
      </c>
      <c r="L853" s="2">
        <v>27</v>
      </c>
      <c r="M853" s="2">
        <v>30</v>
      </c>
      <c r="N853" s="2">
        <v>24</v>
      </c>
      <c r="O853" s="2">
        <v>11</v>
      </c>
      <c r="P853" s="2">
        <v>206</v>
      </c>
      <c r="Q853" s="2">
        <v>1504</v>
      </c>
      <c r="R853" s="13" t="s">
        <v>27</v>
      </c>
      <c r="S853" s="13" t="s">
        <v>27</v>
      </c>
    </row>
    <row r="854" spans="1:19" hidden="1" x14ac:dyDescent="0.3">
      <c r="A854" s="14">
        <v>43925.708333333336</v>
      </c>
      <c r="B854" s="13" t="s">
        <v>23</v>
      </c>
      <c r="C854" s="2">
        <v>1</v>
      </c>
      <c r="D854" s="13" t="s">
        <v>55</v>
      </c>
      <c r="E854" s="2">
        <v>450732745</v>
      </c>
      <c r="F854" s="2">
        <v>7680687483</v>
      </c>
      <c r="G854" s="2">
        <v>3441</v>
      </c>
      <c r="H854" s="2">
        <v>450</v>
      </c>
      <c r="I854" s="2">
        <v>3891</v>
      </c>
      <c r="J854" s="2">
        <v>5802</v>
      </c>
      <c r="K854" s="2">
        <v>9693</v>
      </c>
      <c r="L854" s="2">
        <v>563</v>
      </c>
      <c r="M854" s="2">
        <v>813</v>
      </c>
      <c r="N854" s="2">
        <v>888</v>
      </c>
      <c r="O854" s="2">
        <v>1128</v>
      </c>
      <c r="P854" s="2">
        <v>11709</v>
      </c>
      <c r="Q854" s="2">
        <v>37181</v>
      </c>
      <c r="R854" s="13" t="s">
        <v>27</v>
      </c>
      <c r="S854" s="13" t="s">
        <v>27</v>
      </c>
    </row>
    <row r="855" spans="1:19" hidden="1" x14ac:dyDescent="0.3">
      <c r="A855" s="14">
        <v>43925.708333333336</v>
      </c>
      <c r="B855" s="13" t="s">
        <v>23</v>
      </c>
      <c r="C855" s="2">
        <v>16</v>
      </c>
      <c r="D855" s="13" t="s">
        <v>56</v>
      </c>
      <c r="E855" s="2">
        <v>4112559576</v>
      </c>
      <c r="F855" s="2">
        <v>1686736689</v>
      </c>
      <c r="G855" s="2">
        <v>627</v>
      </c>
      <c r="H855" s="2">
        <v>153</v>
      </c>
      <c r="I855" s="2">
        <v>780</v>
      </c>
      <c r="J855" s="2">
        <v>1193</v>
      </c>
      <c r="K855" s="2">
        <v>1973</v>
      </c>
      <c r="L855" s="2">
        <v>24</v>
      </c>
      <c r="M855" s="2">
        <v>58</v>
      </c>
      <c r="N855" s="2">
        <v>94</v>
      </c>
      <c r="O855" s="2">
        <v>173</v>
      </c>
      <c r="P855" s="2">
        <v>2240</v>
      </c>
      <c r="Q855" s="2">
        <v>18977</v>
      </c>
      <c r="R855" s="13" t="s">
        <v>27</v>
      </c>
      <c r="S855" s="13" t="s">
        <v>27</v>
      </c>
    </row>
    <row r="856" spans="1:19" hidden="1" x14ac:dyDescent="0.3">
      <c r="A856" s="14">
        <v>43925.708333333336</v>
      </c>
      <c r="B856" s="13" t="s">
        <v>23</v>
      </c>
      <c r="C856" s="2">
        <v>20</v>
      </c>
      <c r="D856" s="13" t="s">
        <v>57</v>
      </c>
      <c r="E856" s="2">
        <v>3921531192</v>
      </c>
      <c r="F856" s="2">
        <v>9110616306</v>
      </c>
      <c r="G856" s="2">
        <v>123</v>
      </c>
      <c r="H856" s="2">
        <v>24</v>
      </c>
      <c r="I856" s="2">
        <v>147</v>
      </c>
      <c r="J856" s="2">
        <v>642</v>
      </c>
      <c r="K856" s="2">
        <v>789</v>
      </c>
      <c r="L856" s="2">
        <v>45</v>
      </c>
      <c r="M856" s="2">
        <v>49</v>
      </c>
      <c r="N856" s="2">
        <v>44</v>
      </c>
      <c r="O856" s="2">
        <v>41</v>
      </c>
      <c r="P856" s="2">
        <v>874</v>
      </c>
      <c r="Q856" s="2">
        <v>6789</v>
      </c>
      <c r="R856" s="13" t="s">
        <v>27</v>
      </c>
      <c r="S856" s="13" t="s">
        <v>27</v>
      </c>
    </row>
    <row r="857" spans="1:19" hidden="1" x14ac:dyDescent="0.3">
      <c r="A857" s="14">
        <v>43925.708333333336</v>
      </c>
      <c r="B857" s="13" t="s">
        <v>23</v>
      </c>
      <c r="C857" s="2">
        <v>19</v>
      </c>
      <c r="D857" s="13" t="s">
        <v>58</v>
      </c>
      <c r="E857" s="2">
        <v>3811569725</v>
      </c>
      <c r="F857" s="2">
        <v>133623567</v>
      </c>
      <c r="G857" s="2">
        <v>553</v>
      </c>
      <c r="H857" s="2">
        <v>74</v>
      </c>
      <c r="I857" s="2">
        <v>627</v>
      </c>
      <c r="J857" s="2">
        <v>1099</v>
      </c>
      <c r="K857" s="2">
        <v>1726</v>
      </c>
      <c r="L857" s="2">
        <v>62</v>
      </c>
      <c r="M857" s="2">
        <v>73</v>
      </c>
      <c r="N857" s="2">
        <v>95</v>
      </c>
      <c r="O857" s="2">
        <v>111</v>
      </c>
      <c r="P857" s="2">
        <v>1932</v>
      </c>
      <c r="Q857" s="2">
        <v>19896</v>
      </c>
      <c r="R857" s="13" t="s">
        <v>27</v>
      </c>
      <c r="S857" s="13" t="s">
        <v>27</v>
      </c>
    </row>
    <row r="858" spans="1:19" hidden="1" x14ac:dyDescent="0.3">
      <c r="A858" s="14">
        <v>43925.708333333336</v>
      </c>
      <c r="B858" s="13" t="s">
        <v>23</v>
      </c>
      <c r="C858" s="2">
        <v>9</v>
      </c>
      <c r="D858" s="13" t="s">
        <v>59</v>
      </c>
      <c r="E858" s="2">
        <v>4376923077</v>
      </c>
      <c r="F858" s="2">
        <v>1125588885</v>
      </c>
      <c r="G858" s="2">
        <v>1129</v>
      </c>
      <c r="H858" s="2">
        <v>286</v>
      </c>
      <c r="I858" s="2">
        <v>1415</v>
      </c>
      <c r="J858" s="2">
        <v>3639</v>
      </c>
      <c r="K858" s="2">
        <v>5054</v>
      </c>
      <c r="L858" s="2">
        <v>145</v>
      </c>
      <c r="M858" s="2">
        <v>172</v>
      </c>
      <c r="N858" s="2">
        <v>310</v>
      </c>
      <c r="O858" s="2">
        <v>307</v>
      </c>
      <c r="P858" s="2">
        <v>5671</v>
      </c>
      <c r="Q858" s="2">
        <v>47886</v>
      </c>
      <c r="R858" s="13" t="s">
        <v>27</v>
      </c>
      <c r="S858" s="13" t="s">
        <v>27</v>
      </c>
    </row>
    <row r="859" spans="1:19" hidden="1" x14ac:dyDescent="0.3">
      <c r="A859" s="14">
        <v>43925.708333333336</v>
      </c>
      <c r="B859" s="13" t="s">
        <v>23</v>
      </c>
      <c r="C859" s="2">
        <v>4</v>
      </c>
      <c r="D859" s="13" t="s">
        <v>60</v>
      </c>
      <c r="E859" s="2">
        <v>4606893511</v>
      </c>
      <c r="F859" s="2">
        <v>1112123097</v>
      </c>
      <c r="G859" s="2">
        <v>353</v>
      </c>
      <c r="H859" s="2">
        <v>81</v>
      </c>
      <c r="I859" s="2">
        <v>434</v>
      </c>
      <c r="J859" s="2">
        <v>1319</v>
      </c>
      <c r="K859" s="2">
        <v>1753</v>
      </c>
      <c r="L859" s="2">
        <v>94</v>
      </c>
      <c r="M859" s="2">
        <v>111</v>
      </c>
      <c r="N859" s="2">
        <v>257</v>
      </c>
      <c r="O859" s="2">
        <v>210</v>
      </c>
      <c r="P859" s="2">
        <v>2220</v>
      </c>
      <c r="Q859" s="2">
        <v>9863</v>
      </c>
      <c r="R859" s="13" t="s">
        <v>27</v>
      </c>
      <c r="S859" s="13" t="s">
        <v>27</v>
      </c>
    </row>
    <row r="860" spans="1:19" hidden="1" x14ac:dyDescent="0.3">
      <c r="A860" s="14">
        <v>43925.708333333336</v>
      </c>
      <c r="B860" s="13" t="s">
        <v>23</v>
      </c>
      <c r="C860" s="2">
        <v>10</v>
      </c>
      <c r="D860" s="13" t="s">
        <v>61</v>
      </c>
      <c r="E860" s="2">
        <v>4310675841</v>
      </c>
      <c r="F860" s="2">
        <v>1238824698</v>
      </c>
      <c r="G860" s="2">
        <v>167</v>
      </c>
      <c r="H860" s="2">
        <v>44</v>
      </c>
      <c r="I860" s="2">
        <v>211</v>
      </c>
      <c r="J860" s="2">
        <v>716</v>
      </c>
      <c r="K860" s="2">
        <v>927</v>
      </c>
      <c r="L860" s="2">
        <v>7</v>
      </c>
      <c r="M860" s="2">
        <v>31</v>
      </c>
      <c r="N860" s="2">
        <v>242</v>
      </c>
      <c r="O860" s="2">
        <v>41</v>
      </c>
      <c r="P860" s="2">
        <v>1210</v>
      </c>
      <c r="Q860" s="2">
        <v>11809</v>
      </c>
      <c r="R860" s="13" t="s">
        <v>27</v>
      </c>
      <c r="S860" s="13" t="s">
        <v>27</v>
      </c>
    </row>
    <row r="861" spans="1:19" hidden="1" x14ac:dyDescent="0.3">
      <c r="A861" s="14">
        <v>43925.708333333336</v>
      </c>
      <c r="B861" s="13" t="s">
        <v>23</v>
      </c>
      <c r="C861" s="2">
        <v>2</v>
      </c>
      <c r="D861" s="13" t="s">
        <v>62</v>
      </c>
      <c r="E861" s="2">
        <v>4573750286</v>
      </c>
      <c r="F861" s="2">
        <v>7320149366</v>
      </c>
      <c r="G861" s="2">
        <v>63</v>
      </c>
      <c r="H861" s="2">
        <v>23</v>
      </c>
      <c r="I861" s="2">
        <v>86</v>
      </c>
      <c r="J861" s="2">
        <v>474</v>
      </c>
      <c r="K861" s="2">
        <v>560</v>
      </c>
      <c r="L861" s="2">
        <v>0</v>
      </c>
      <c r="M861" s="2">
        <v>29</v>
      </c>
      <c r="N861" s="2">
        <v>106</v>
      </c>
      <c r="O861" s="2">
        <v>82</v>
      </c>
      <c r="P861" s="2">
        <v>748</v>
      </c>
      <c r="Q861" s="2">
        <v>2274</v>
      </c>
      <c r="R861" s="13" t="s">
        <v>27</v>
      </c>
      <c r="S861" s="13" t="s">
        <v>27</v>
      </c>
    </row>
    <row r="862" spans="1:19" hidden="1" x14ac:dyDescent="0.3">
      <c r="A862" s="14">
        <v>43925.708333333336</v>
      </c>
      <c r="B862" s="13" t="s">
        <v>23</v>
      </c>
      <c r="C862" s="2">
        <v>5</v>
      </c>
      <c r="D862" s="13" t="s">
        <v>63</v>
      </c>
      <c r="E862" s="2">
        <v>4543490485</v>
      </c>
      <c r="F862" s="2">
        <v>1233845213</v>
      </c>
      <c r="G862" s="2">
        <v>1691</v>
      </c>
      <c r="H862" s="2">
        <v>324</v>
      </c>
      <c r="I862" s="2">
        <v>2015</v>
      </c>
      <c r="J862" s="2">
        <v>7078</v>
      </c>
      <c r="K862" s="2">
        <v>9093</v>
      </c>
      <c r="L862" s="2">
        <v>232</v>
      </c>
      <c r="M862" s="2">
        <v>360</v>
      </c>
      <c r="N862" s="2">
        <v>1124</v>
      </c>
      <c r="O862" s="2">
        <v>607</v>
      </c>
      <c r="P862" s="2">
        <v>10824</v>
      </c>
      <c r="Q862" s="2">
        <v>133289</v>
      </c>
      <c r="R862" s="13" t="s">
        <v>27</v>
      </c>
      <c r="S862" s="13" t="s">
        <v>27</v>
      </c>
    </row>
    <row r="863" spans="1:19" hidden="1" x14ac:dyDescent="0.3">
      <c r="A863" s="14">
        <v>43926.708333333336</v>
      </c>
      <c r="B863" s="13" t="s">
        <v>23</v>
      </c>
      <c r="C863" s="2">
        <v>13</v>
      </c>
      <c r="D863" s="13" t="s">
        <v>44</v>
      </c>
      <c r="E863" s="2">
        <v>4235122196</v>
      </c>
      <c r="F863" s="2">
        <v>1339843823</v>
      </c>
      <c r="G863" s="2">
        <v>347</v>
      </c>
      <c r="H863" s="2">
        <v>67</v>
      </c>
      <c r="I863" s="2">
        <v>414</v>
      </c>
      <c r="J863" s="2">
        <v>1006</v>
      </c>
      <c r="K863" s="2">
        <v>1420</v>
      </c>
      <c r="L863" s="2">
        <v>64</v>
      </c>
      <c r="M863" s="2">
        <v>75</v>
      </c>
      <c r="N863" s="2">
        <v>125</v>
      </c>
      <c r="O863" s="2">
        <v>158</v>
      </c>
      <c r="P863" s="2">
        <v>1703</v>
      </c>
      <c r="Q863" s="2">
        <v>13598</v>
      </c>
      <c r="R863" s="13" t="s">
        <v>27</v>
      </c>
      <c r="S863" s="13" t="s">
        <v>27</v>
      </c>
    </row>
    <row r="864" spans="1:19" hidden="1" x14ac:dyDescent="0.3">
      <c r="A864" s="14">
        <v>43926.708333333336</v>
      </c>
      <c r="B864" s="13" t="s">
        <v>23</v>
      </c>
      <c r="C864" s="2">
        <v>17</v>
      </c>
      <c r="D864" s="13" t="s">
        <v>45</v>
      </c>
      <c r="E864" s="2">
        <v>4063947052</v>
      </c>
      <c r="F864" s="2">
        <v>1580514834</v>
      </c>
      <c r="G864" s="2">
        <v>46</v>
      </c>
      <c r="H864" s="2">
        <v>18</v>
      </c>
      <c r="I864" s="2">
        <v>64</v>
      </c>
      <c r="J864" s="2">
        <v>190</v>
      </c>
      <c r="K864" s="2">
        <v>254</v>
      </c>
      <c r="L864" s="2">
        <v>10</v>
      </c>
      <c r="M864" s="2">
        <v>14</v>
      </c>
      <c r="N864" s="2">
        <v>11</v>
      </c>
      <c r="O864" s="2">
        <v>13</v>
      </c>
      <c r="P864" s="2">
        <v>278</v>
      </c>
      <c r="Q864" s="2">
        <v>2931</v>
      </c>
      <c r="R864" s="13" t="s">
        <v>27</v>
      </c>
      <c r="S864" s="13" t="s">
        <v>27</v>
      </c>
    </row>
    <row r="865" spans="1:19" hidden="1" x14ac:dyDescent="0.3">
      <c r="A865" s="14">
        <v>43926.708333333336</v>
      </c>
      <c r="B865" s="13" t="s">
        <v>23</v>
      </c>
      <c r="C865" s="2">
        <v>4</v>
      </c>
      <c r="D865" s="13" t="s">
        <v>46</v>
      </c>
      <c r="E865" s="2">
        <v>4649933453</v>
      </c>
      <c r="F865" s="2">
        <v>1135662422</v>
      </c>
      <c r="G865" s="2">
        <v>239</v>
      </c>
      <c r="H865" s="2">
        <v>53</v>
      </c>
      <c r="I865" s="2">
        <v>292</v>
      </c>
      <c r="J865" s="2">
        <v>934</v>
      </c>
      <c r="K865" s="2">
        <v>1226</v>
      </c>
      <c r="L865" s="2">
        <v>25</v>
      </c>
      <c r="M865" s="2">
        <v>52</v>
      </c>
      <c r="N865" s="2">
        <v>260</v>
      </c>
      <c r="O865" s="2">
        <v>158</v>
      </c>
      <c r="P865" s="2">
        <v>1644</v>
      </c>
      <c r="Q865" s="2">
        <v>15723</v>
      </c>
      <c r="R865" s="13" t="s">
        <v>27</v>
      </c>
      <c r="S865" s="13" t="s">
        <v>27</v>
      </c>
    </row>
    <row r="866" spans="1:19" hidden="1" x14ac:dyDescent="0.3">
      <c r="A866" s="14">
        <v>43926.708333333336</v>
      </c>
      <c r="B866" s="13" t="s">
        <v>23</v>
      </c>
      <c r="C866" s="2">
        <v>18</v>
      </c>
      <c r="D866" s="13" t="s">
        <v>47</v>
      </c>
      <c r="E866" s="2">
        <v>3890597598</v>
      </c>
      <c r="F866" s="2">
        <v>1659440194</v>
      </c>
      <c r="G866" s="2">
        <v>174</v>
      </c>
      <c r="H866" s="2">
        <v>13</v>
      </c>
      <c r="I866" s="2">
        <v>187</v>
      </c>
      <c r="J866" s="2">
        <v>519</v>
      </c>
      <c r="K866" s="2">
        <v>706</v>
      </c>
      <c r="L866" s="2">
        <v>44</v>
      </c>
      <c r="M866" s="2">
        <v>54</v>
      </c>
      <c r="N866" s="2">
        <v>33</v>
      </c>
      <c r="O866" s="2">
        <v>56</v>
      </c>
      <c r="P866" s="2">
        <v>795</v>
      </c>
      <c r="Q866" s="2">
        <v>13077</v>
      </c>
      <c r="R866" s="13" t="s">
        <v>27</v>
      </c>
      <c r="S866" s="13" t="s">
        <v>27</v>
      </c>
    </row>
    <row r="867" spans="1:19" hidden="1" x14ac:dyDescent="0.3">
      <c r="A867" s="14">
        <v>43926.708333333336</v>
      </c>
      <c r="B867" s="13" t="s">
        <v>23</v>
      </c>
      <c r="C867" s="2">
        <v>15</v>
      </c>
      <c r="D867" s="13" t="s">
        <v>48</v>
      </c>
      <c r="E867" s="2">
        <v>4083956555</v>
      </c>
      <c r="F867" s="2">
        <v>1425084984</v>
      </c>
      <c r="G867" s="2">
        <v>609</v>
      </c>
      <c r="H867" s="2">
        <v>108</v>
      </c>
      <c r="I867" s="2">
        <v>717</v>
      </c>
      <c r="J867" s="2">
        <v>1904</v>
      </c>
      <c r="K867" s="2">
        <v>2621</v>
      </c>
      <c r="L867" s="2">
        <v>125</v>
      </c>
      <c r="M867" s="2">
        <v>132</v>
      </c>
      <c r="N867" s="2">
        <v>150</v>
      </c>
      <c r="O867" s="2">
        <v>189</v>
      </c>
      <c r="P867" s="2">
        <v>2960</v>
      </c>
      <c r="Q867" s="2">
        <v>23139</v>
      </c>
      <c r="R867" s="13" t="s">
        <v>27</v>
      </c>
      <c r="S867" s="13" t="s">
        <v>27</v>
      </c>
    </row>
    <row r="868" spans="1:19" hidden="1" x14ac:dyDescent="0.3">
      <c r="A868" s="14">
        <v>43926.708333333336</v>
      </c>
      <c r="B868" s="13" t="s">
        <v>23</v>
      </c>
      <c r="C868" s="2">
        <v>8</v>
      </c>
      <c r="D868" s="13" t="s">
        <v>98</v>
      </c>
      <c r="E868" s="2">
        <v>4449436681</v>
      </c>
      <c r="F868" s="2">
        <v>113417208</v>
      </c>
      <c r="G868" s="2">
        <v>3839</v>
      </c>
      <c r="H868" s="2">
        <v>375</v>
      </c>
      <c r="I868" s="2">
        <v>4214</v>
      </c>
      <c r="J868" s="2">
        <v>8623</v>
      </c>
      <c r="K868" s="2">
        <v>12837</v>
      </c>
      <c r="L868" s="2">
        <v>314</v>
      </c>
      <c r="M868" s="2">
        <v>549</v>
      </c>
      <c r="N868" s="2">
        <v>2201</v>
      </c>
      <c r="O868" s="2">
        <v>2051</v>
      </c>
      <c r="P868" s="2">
        <v>17089</v>
      </c>
      <c r="Q868" s="2">
        <v>69986</v>
      </c>
      <c r="R868" s="13" t="s">
        <v>27</v>
      </c>
      <c r="S868" s="13" t="s">
        <v>27</v>
      </c>
    </row>
    <row r="869" spans="1:19" hidden="1" x14ac:dyDescent="0.3">
      <c r="A869" s="14">
        <v>43926.708333333336</v>
      </c>
      <c r="B869" s="13" t="s">
        <v>23</v>
      </c>
      <c r="C869" s="2">
        <v>6</v>
      </c>
      <c r="D869" s="13" t="s">
        <v>49</v>
      </c>
      <c r="E869" s="2">
        <v>456494354</v>
      </c>
      <c r="F869" s="2">
        <v>1376813649</v>
      </c>
      <c r="G869" s="2">
        <v>185</v>
      </c>
      <c r="H869" s="2">
        <v>50</v>
      </c>
      <c r="I869" s="2">
        <v>235</v>
      </c>
      <c r="J869" s="2">
        <v>1128</v>
      </c>
      <c r="K869" s="2">
        <v>1363</v>
      </c>
      <c r="L869" s="2">
        <v>27</v>
      </c>
      <c r="M869" s="2">
        <v>62</v>
      </c>
      <c r="N869" s="2">
        <v>531</v>
      </c>
      <c r="O869" s="2">
        <v>154</v>
      </c>
      <c r="P869" s="2">
        <v>2048</v>
      </c>
      <c r="Q869" s="2">
        <v>21652</v>
      </c>
      <c r="R869" s="13" t="s">
        <v>27</v>
      </c>
      <c r="S869" s="13" t="s">
        <v>27</v>
      </c>
    </row>
    <row r="870" spans="1:19" hidden="1" x14ac:dyDescent="0.3">
      <c r="A870" s="14">
        <v>43926.708333333336</v>
      </c>
      <c r="B870" s="13" t="s">
        <v>23</v>
      </c>
      <c r="C870" s="2">
        <v>12</v>
      </c>
      <c r="D870" s="13" t="s">
        <v>50</v>
      </c>
      <c r="E870" s="2">
        <v>4189277044</v>
      </c>
      <c r="F870" s="2">
        <v>1248366722</v>
      </c>
      <c r="G870" s="2">
        <v>1235</v>
      </c>
      <c r="H870" s="2">
        <v>197</v>
      </c>
      <c r="I870" s="2">
        <v>1432</v>
      </c>
      <c r="J870" s="2">
        <v>1754</v>
      </c>
      <c r="K870" s="2">
        <v>3186</v>
      </c>
      <c r="L870" s="2">
        <v>80</v>
      </c>
      <c r="M870" s="2">
        <v>123</v>
      </c>
      <c r="N870" s="2">
        <v>475</v>
      </c>
      <c r="O870" s="2">
        <v>219</v>
      </c>
      <c r="P870" s="2">
        <v>3880</v>
      </c>
      <c r="Q870" s="2">
        <v>44658</v>
      </c>
      <c r="R870" s="13" t="s">
        <v>27</v>
      </c>
      <c r="S870" s="13" t="s">
        <v>27</v>
      </c>
    </row>
    <row r="871" spans="1:19" hidden="1" x14ac:dyDescent="0.3">
      <c r="A871" s="14">
        <v>43926.708333333336</v>
      </c>
      <c r="B871" s="13" t="s">
        <v>23</v>
      </c>
      <c r="C871" s="2">
        <v>7</v>
      </c>
      <c r="D871" s="13" t="s">
        <v>51</v>
      </c>
      <c r="E871" s="2">
        <v>4441149315</v>
      </c>
      <c r="F871" s="2">
        <v>89326992</v>
      </c>
      <c r="G871" s="2">
        <v>1126</v>
      </c>
      <c r="H871" s="2">
        <v>165</v>
      </c>
      <c r="I871" s="2">
        <v>1291</v>
      </c>
      <c r="J871" s="2">
        <v>1802</v>
      </c>
      <c r="K871" s="2">
        <v>3093</v>
      </c>
      <c r="L871" s="2">
        <v>199</v>
      </c>
      <c r="M871" s="2">
        <v>246</v>
      </c>
      <c r="N871" s="2">
        <v>800</v>
      </c>
      <c r="O871" s="2">
        <v>556</v>
      </c>
      <c r="P871" s="2">
        <v>4449</v>
      </c>
      <c r="Q871" s="2">
        <v>15047</v>
      </c>
      <c r="R871" s="13" t="s">
        <v>27</v>
      </c>
      <c r="S871" s="13" t="s">
        <v>27</v>
      </c>
    </row>
    <row r="872" spans="1:19" x14ac:dyDescent="0.3">
      <c r="A872" s="14">
        <v>43926.708333333336</v>
      </c>
      <c r="B872" s="13" t="s">
        <v>23</v>
      </c>
      <c r="C872" s="2">
        <v>3</v>
      </c>
      <c r="D872" s="13" t="s">
        <v>52</v>
      </c>
      <c r="E872" s="2">
        <v>4546679409</v>
      </c>
      <c r="F872" s="2">
        <v>9190347404</v>
      </c>
      <c r="G872" s="2">
        <v>12009</v>
      </c>
      <c r="H872" s="2">
        <v>1317</v>
      </c>
      <c r="I872" s="2">
        <v>13326</v>
      </c>
      <c r="J872" s="2">
        <v>14798</v>
      </c>
      <c r="K872" s="2">
        <v>28124</v>
      </c>
      <c r="L872" s="2">
        <v>904</v>
      </c>
      <c r="M872" s="2">
        <v>1337</v>
      </c>
      <c r="N872" s="2">
        <v>13426</v>
      </c>
      <c r="O872" s="2">
        <v>8905</v>
      </c>
      <c r="P872" s="2">
        <v>50455</v>
      </c>
      <c r="Q872" s="2">
        <v>149984</v>
      </c>
      <c r="R872" s="13" t="s">
        <v>27</v>
      </c>
      <c r="S872" s="13" t="s">
        <v>27</v>
      </c>
    </row>
    <row r="873" spans="1:19" hidden="1" x14ac:dyDescent="0.3">
      <c r="A873" s="14">
        <v>43926.708333333336</v>
      </c>
      <c r="B873" s="13" t="s">
        <v>23</v>
      </c>
      <c r="C873" s="2">
        <v>11</v>
      </c>
      <c r="D873" s="13" t="s">
        <v>53</v>
      </c>
      <c r="E873" s="2">
        <v>4361675973</v>
      </c>
      <c r="F873" s="2">
        <v>135188753</v>
      </c>
      <c r="G873" s="2">
        <v>987</v>
      </c>
      <c r="H873" s="2">
        <v>151</v>
      </c>
      <c r="I873" s="2">
        <v>1138</v>
      </c>
      <c r="J873" s="2">
        <v>2440</v>
      </c>
      <c r="K873" s="2">
        <v>3578</v>
      </c>
      <c r="L873" s="2">
        <v>81</v>
      </c>
      <c r="M873" s="2">
        <v>123</v>
      </c>
      <c r="N873" s="2">
        <v>287</v>
      </c>
      <c r="O873" s="2">
        <v>599</v>
      </c>
      <c r="P873" s="2">
        <v>4464</v>
      </c>
      <c r="Q873" s="2">
        <v>15252</v>
      </c>
      <c r="R873" s="13" t="s">
        <v>27</v>
      </c>
      <c r="S873" s="13" t="s">
        <v>27</v>
      </c>
    </row>
    <row r="874" spans="1:19" hidden="1" x14ac:dyDescent="0.3">
      <c r="A874" s="14">
        <v>43926.708333333336</v>
      </c>
      <c r="B874" s="13" t="s">
        <v>23</v>
      </c>
      <c r="C874" s="2">
        <v>14</v>
      </c>
      <c r="D874" s="13" t="s">
        <v>54</v>
      </c>
      <c r="E874" s="2">
        <v>4155774754</v>
      </c>
      <c r="F874" s="2">
        <v>1465916051</v>
      </c>
      <c r="G874" s="2">
        <v>33</v>
      </c>
      <c r="H874" s="2">
        <v>6</v>
      </c>
      <c r="I874" s="2">
        <v>39</v>
      </c>
      <c r="J874" s="2">
        <v>148</v>
      </c>
      <c r="K874" s="2">
        <v>187</v>
      </c>
      <c r="L874" s="2">
        <v>16</v>
      </c>
      <c r="M874" s="2">
        <v>18</v>
      </c>
      <c r="N874" s="2">
        <v>24</v>
      </c>
      <c r="O874" s="2">
        <v>13</v>
      </c>
      <c r="P874" s="2">
        <v>224</v>
      </c>
      <c r="Q874" s="2">
        <v>1504</v>
      </c>
      <c r="R874" s="13" t="s">
        <v>27</v>
      </c>
      <c r="S874" s="13" t="s">
        <v>27</v>
      </c>
    </row>
    <row r="875" spans="1:19" hidden="1" x14ac:dyDescent="0.3">
      <c r="A875" s="14">
        <v>43926.708333333336</v>
      </c>
      <c r="B875" s="13" t="s">
        <v>23</v>
      </c>
      <c r="C875" s="2">
        <v>1</v>
      </c>
      <c r="D875" s="13" t="s">
        <v>55</v>
      </c>
      <c r="E875" s="2">
        <v>450732745</v>
      </c>
      <c r="F875" s="2">
        <v>7680687483</v>
      </c>
      <c r="G875" s="2">
        <v>3472</v>
      </c>
      <c r="H875" s="2">
        <v>444</v>
      </c>
      <c r="I875" s="2">
        <v>3916</v>
      </c>
      <c r="J875" s="2">
        <v>6261</v>
      </c>
      <c r="K875" s="2">
        <v>10177</v>
      </c>
      <c r="L875" s="2">
        <v>484</v>
      </c>
      <c r="M875" s="2">
        <v>653</v>
      </c>
      <c r="N875" s="2">
        <v>1017</v>
      </c>
      <c r="O875" s="2">
        <v>1168</v>
      </c>
      <c r="P875" s="2">
        <v>12362</v>
      </c>
      <c r="Q875" s="2">
        <v>38539</v>
      </c>
      <c r="R875" s="13" t="s">
        <v>27</v>
      </c>
      <c r="S875" s="13" t="s">
        <v>27</v>
      </c>
    </row>
    <row r="876" spans="1:19" hidden="1" x14ac:dyDescent="0.3">
      <c r="A876" s="14">
        <v>43926.708333333336</v>
      </c>
      <c r="B876" s="13" t="s">
        <v>23</v>
      </c>
      <c r="C876" s="2">
        <v>16</v>
      </c>
      <c r="D876" s="13" t="s">
        <v>56</v>
      </c>
      <c r="E876" s="2">
        <v>4112559576</v>
      </c>
      <c r="F876" s="2">
        <v>1686736689</v>
      </c>
      <c r="G876" s="2">
        <v>574</v>
      </c>
      <c r="H876" s="2">
        <v>159</v>
      </c>
      <c r="I876" s="2">
        <v>733</v>
      </c>
      <c r="J876" s="2">
        <v>1289</v>
      </c>
      <c r="K876" s="2">
        <v>2022</v>
      </c>
      <c r="L876" s="2">
        <v>49</v>
      </c>
      <c r="M876" s="2">
        <v>77</v>
      </c>
      <c r="N876" s="2">
        <v>113</v>
      </c>
      <c r="O876" s="2">
        <v>182</v>
      </c>
      <c r="P876" s="2">
        <v>2317</v>
      </c>
      <c r="Q876" s="2">
        <v>20080</v>
      </c>
      <c r="R876" s="13" t="s">
        <v>27</v>
      </c>
      <c r="S876" s="13" t="s">
        <v>27</v>
      </c>
    </row>
    <row r="877" spans="1:19" hidden="1" x14ac:dyDescent="0.3">
      <c r="A877" s="14">
        <v>43926.708333333336</v>
      </c>
      <c r="B877" s="13" t="s">
        <v>23</v>
      </c>
      <c r="C877" s="2">
        <v>20</v>
      </c>
      <c r="D877" s="13" t="s">
        <v>57</v>
      </c>
      <c r="E877" s="2">
        <v>3921531192</v>
      </c>
      <c r="F877" s="2">
        <v>9110616306</v>
      </c>
      <c r="G877" s="2">
        <v>126</v>
      </c>
      <c r="H877" s="2">
        <v>25</v>
      </c>
      <c r="I877" s="2">
        <v>151</v>
      </c>
      <c r="J877" s="2">
        <v>664</v>
      </c>
      <c r="K877" s="2">
        <v>815</v>
      </c>
      <c r="L877" s="2">
        <v>26</v>
      </c>
      <c r="M877" s="2">
        <v>33</v>
      </c>
      <c r="N877" s="2">
        <v>49</v>
      </c>
      <c r="O877" s="2">
        <v>43</v>
      </c>
      <c r="P877" s="2">
        <v>907</v>
      </c>
      <c r="Q877" s="2">
        <v>7157</v>
      </c>
      <c r="R877" s="13" t="s">
        <v>27</v>
      </c>
      <c r="S877" s="13" t="s">
        <v>27</v>
      </c>
    </row>
    <row r="878" spans="1:19" hidden="1" x14ac:dyDescent="0.3">
      <c r="A878" s="14">
        <v>43926.708333333336</v>
      </c>
      <c r="B878" s="13" t="s">
        <v>23</v>
      </c>
      <c r="C878" s="2">
        <v>19</v>
      </c>
      <c r="D878" s="13" t="s">
        <v>58</v>
      </c>
      <c r="E878" s="2">
        <v>3811569725</v>
      </c>
      <c r="F878" s="2">
        <v>133623567</v>
      </c>
      <c r="G878" s="2">
        <v>556</v>
      </c>
      <c r="H878" s="2">
        <v>76</v>
      </c>
      <c r="I878" s="2">
        <v>632</v>
      </c>
      <c r="J878" s="2">
        <v>1142</v>
      </c>
      <c r="K878" s="2">
        <v>1774</v>
      </c>
      <c r="L878" s="2">
        <v>48</v>
      </c>
      <c r="M878" s="2">
        <v>62</v>
      </c>
      <c r="N878" s="2">
        <v>104</v>
      </c>
      <c r="O878" s="2">
        <v>116</v>
      </c>
      <c r="P878" s="2">
        <v>1994</v>
      </c>
      <c r="Q878" s="2">
        <v>21904</v>
      </c>
      <c r="R878" s="13" t="s">
        <v>27</v>
      </c>
      <c r="S878" s="13" t="s">
        <v>27</v>
      </c>
    </row>
    <row r="879" spans="1:19" hidden="1" x14ac:dyDescent="0.3">
      <c r="A879" s="14">
        <v>43926.708333333336</v>
      </c>
      <c r="B879" s="13" t="s">
        <v>23</v>
      </c>
      <c r="C879" s="2">
        <v>9</v>
      </c>
      <c r="D879" s="13" t="s">
        <v>59</v>
      </c>
      <c r="E879" s="2">
        <v>4376923077</v>
      </c>
      <c r="F879" s="2">
        <v>1125588885</v>
      </c>
      <c r="G879" s="2">
        <v>1111</v>
      </c>
      <c r="H879" s="2">
        <v>276</v>
      </c>
      <c r="I879" s="2">
        <v>1387</v>
      </c>
      <c r="J879" s="2">
        <v>3798</v>
      </c>
      <c r="K879" s="2">
        <v>5185</v>
      </c>
      <c r="L879" s="2">
        <v>131</v>
      </c>
      <c r="M879" s="2">
        <v>176</v>
      </c>
      <c r="N879" s="2">
        <v>337</v>
      </c>
      <c r="O879" s="2">
        <v>325</v>
      </c>
      <c r="P879" s="2">
        <v>5847</v>
      </c>
      <c r="Q879" s="2">
        <v>51006</v>
      </c>
      <c r="R879" s="13" t="s">
        <v>27</v>
      </c>
      <c r="S879" s="13" t="s">
        <v>27</v>
      </c>
    </row>
    <row r="880" spans="1:19" hidden="1" x14ac:dyDescent="0.3">
      <c r="A880" s="14">
        <v>43926.708333333336</v>
      </c>
      <c r="B880" s="13" t="s">
        <v>23</v>
      </c>
      <c r="C880" s="2">
        <v>4</v>
      </c>
      <c r="D880" s="13" t="s">
        <v>60</v>
      </c>
      <c r="E880" s="2">
        <v>4606893511</v>
      </c>
      <c r="F880" s="2">
        <v>1112123097</v>
      </c>
      <c r="G880" s="2">
        <v>352</v>
      </c>
      <c r="H880" s="2">
        <v>80</v>
      </c>
      <c r="I880" s="2">
        <v>432</v>
      </c>
      <c r="J880" s="2">
        <v>1363</v>
      </c>
      <c r="K880" s="2">
        <v>1795</v>
      </c>
      <c r="L880" s="2">
        <v>42</v>
      </c>
      <c r="M880" s="2">
        <v>65</v>
      </c>
      <c r="N880" s="2">
        <v>273</v>
      </c>
      <c r="O880" s="2">
        <v>217</v>
      </c>
      <c r="P880" s="2">
        <v>2285</v>
      </c>
      <c r="Q880" s="2">
        <v>10476</v>
      </c>
      <c r="R880" s="13" t="s">
        <v>27</v>
      </c>
      <c r="S880" s="13" t="s">
        <v>27</v>
      </c>
    </row>
    <row r="881" spans="1:19" hidden="1" x14ac:dyDescent="0.3">
      <c r="A881" s="14">
        <v>43926.708333333336</v>
      </c>
      <c r="B881" s="13" t="s">
        <v>23</v>
      </c>
      <c r="C881" s="2">
        <v>10</v>
      </c>
      <c r="D881" s="13" t="s">
        <v>61</v>
      </c>
      <c r="E881" s="2">
        <v>4310675841</v>
      </c>
      <c r="F881" s="2">
        <v>1238824698</v>
      </c>
      <c r="G881" s="2">
        <v>159</v>
      </c>
      <c r="H881" s="2">
        <v>45</v>
      </c>
      <c r="I881" s="2">
        <v>204</v>
      </c>
      <c r="J881" s="2">
        <v>694</v>
      </c>
      <c r="K881" s="2">
        <v>898</v>
      </c>
      <c r="L881" s="2">
        <v>-29</v>
      </c>
      <c r="M881" s="2">
        <v>29</v>
      </c>
      <c r="N881" s="2">
        <v>298</v>
      </c>
      <c r="O881" s="2">
        <v>43</v>
      </c>
      <c r="P881" s="2">
        <v>1239</v>
      </c>
      <c r="Q881" s="2">
        <v>12448</v>
      </c>
      <c r="R881" s="13" t="s">
        <v>27</v>
      </c>
      <c r="S881" s="13" t="s">
        <v>27</v>
      </c>
    </row>
    <row r="882" spans="1:19" hidden="1" x14ac:dyDescent="0.3">
      <c r="A882" s="14">
        <v>43926.708333333336</v>
      </c>
      <c r="B882" s="13" t="s">
        <v>23</v>
      </c>
      <c r="C882" s="2">
        <v>2</v>
      </c>
      <c r="D882" s="13" t="s">
        <v>62</v>
      </c>
      <c r="E882" s="2">
        <v>4573750286</v>
      </c>
      <c r="F882" s="2">
        <v>7320149366</v>
      </c>
      <c r="G882" s="2">
        <v>96</v>
      </c>
      <c r="H882" s="2">
        <v>23</v>
      </c>
      <c r="I882" s="2">
        <v>119</v>
      </c>
      <c r="J882" s="2">
        <v>457</v>
      </c>
      <c r="K882" s="2">
        <v>576</v>
      </c>
      <c r="L882" s="2">
        <v>16</v>
      </c>
      <c r="M882" s="2">
        <v>34</v>
      </c>
      <c r="N882" s="2">
        <v>115</v>
      </c>
      <c r="O882" s="2">
        <v>91</v>
      </c>
      <c r="P882" s="2">
        <v>782</v>
      </c>
      <c r="Q882" s="2">
        <v>2390</v>
      </c>
      <c r="R882" s="13" t="s">
        <v>27</v>
      </c>
      <c r="S882" s="13" t="s">
        <v>27</v>
      </c>
    </row>
    <row r="883" spans="1:19" hidden="1" x14ac:dyDescent="0.3">
      <c r="A883" s="14">
        <v>43926.708333333336</v>
      </c>
      <c r="B883" s="13" t="s">
        <v>23</v>
      </c>
      <c r="C883" s="2">
        <v>5</v>
      </c>
      <c r="D883" s="13" t="s">
        <v>63</v>
      </c>
      <c r="E883" s="2">
        <v>4543490485</v>
      </c>
      <c r="F883" s="2">
        <v>1233845213</v>
      </c>
      <c r="G883" s="2">
        <v>1674</v>
      </c>
      <c r="H883" s="2">
        <v>329</v>
      </c>
      <c r="I883" s="2">
        <v>2003</v>
      </c>
      <c r="J883" s="2">
        <v>7406</v>
      </c>
      <c r="K883" s="2">
        <v>9409</v>
      </c>
      <c r="L883" s="2">
        <v>316</v>
      </c>
      <c r="M883" s="2">
        <v>402</v>
      </c>
      <c r="N883" s="2">
        <v>1186</v>
      </c>
      <c r="O883" s="2">
        <v>631</v>
      </c>
      <c r="P883" s="2">
        <v>11226</v>
      </c>
      <c r="Q883" s="2">
        <v>140910</v>
      </c>
      <c r="R883" s="13" t="s">
        <v>27</v>
      </c>
      <c r="S883" s="13" t="s">
        <v>27</v>
      </c>
    </row>
    <row r="884" spans="1:19" hidden="1" x14ac:dyDescent="0.3">
      <c r="A884" s="14">
        <v>43927.708333333336</v>
      </c>
      <c r="B884" s="13" t="s">
        <v>23</v>
      </c>
      <c r="C884" s="2">
        <v>13</v>
      </c>
      <c r="D884" s="13" t="s">
        <v>44</v>
      </c>
      <c r="E884" s="2">
        <v>4235122196</v>
      </c>
      <c r="F884" s="2">
        <v>1339843823</v>
      </c>
      <c r="G884" s="2">
        <v>340</v>
      </c>
      <c r="H884" s="2">
        <v>66</v>
      </c>
      <c r="I884" s="2">
        <v>406</v>
      </c>
      <c r="J884" s="2">
        <v>1019</v>
      </c>
      <c r="K884" s="2">
        <v>1425</v>
      </c>
      <c r="L884" s="2">
        <v>5</v>
      </c>
      <c r="M884" s="2">
        <v>18</v>
      </c>
      <c r="N884" s="2">
        <v>127</v>
      </c>
      <c r="O884" s="2">
        <v>169</v>
      </c>
      <c r="P884" s="2">
        <v>1721</v>
      </c>
      <c r="Q884" s="2">
        <v>14198</v>
      </c>
      <c r="R884" s="13" t="s">
        <v>27</v>
      </c>
      <c r="S884" s="13" t="s">
        <v>27</v>
      </c>
    </row>
    <row r="885" spans="1:19" hidden="1" x14ac:dyDescent="0.3">
      <c r="A885" s="14">
        <v>43927.708333333336</v>
      </c>
      <c r="B885" s="13" t="s">
        <v>23</v>
      </c>
      <c r="C885" s="2">
        <v>17</v>
      </c>
      <c r="D885" s="13" t="s">
        <v>45</v>
      </c>
      <c r="E885" s="2">
        <v>4063947052</v>
      </c>
      <c r="F885" s="2">
        <v>1580514834</v>
      </c>
      <c r="G885" s="2">
        <v>46</v>
      </c>
      <c r="H885" s="2">
        <v>18</v>
      </c>
      <c r="I885" s="2">
        <v>64</v>
      </c>
      <c r="J885" s="2">
        <v>198</v>
      </c>
      <c r="K885" s="2">
        <v>262</v>
      </c>
      <c r="L885" s="2">
        <v>8</v>
      </c>
      <c r="M885" s="2">
        <v>9</v>
      </c>
      <c r="N885" s="2">
        <v>12</v>
      </c>
      <c r="O885" s="2">
        <v>13</v>
      </c>
      <c r="P885" s="2">
        <v>287</v>
      </c>
      <c r="Q885" s="2">
        <v>3061</v>
      </c>
      <c r="R885" s="13" t="s">
        <v>27</v>
      </c>
      <c r="S885" s="13" t="s">
        <v>27</v>
      </c>
    </row>
    <row r="886" spans="1:19" hidden="1" x14ac:dyDescent="0.3">
      <c r="A886" s="14">
        <v>43927.708333333336</v>
      </c>
      <c r="B886" s="13" t="s">
        <v>23</v>
      </c>
      <c r="C886" s="2">
        <v>4</v>
      </c>
      <c r="D886" s="13" t="s">
        <v>46</v>
      </c>
      <c r="E886" s="2">
        <v>4649933453</v>
      </c>
      <c r="F886" s="2">
        <v>1135662422</v>
      </c>
      <c r="G886" s="2">
        <v>245</v>
      </c>
      <c r="H886" s="2">
        <v>52</v>
      </c>
      <c r="I886" s="2">
        <v>297</v>
      </c>
      <c r="J886" s="2">
        <v>963</v>
      </c>
      <c r="K886" s="2">
        <v>1260</v>
      </c>
      <c r="L886" s="2">
        <v>34</v>
      </c>
      <c r="M886" s="2">
        <v>78</v>
      </c>
      <c r="N886" s="2">
        <v>298</v>
      </c>
      <c r="O886" s="2">
        <v>164</v>
      </c>
      <c r="P886" s="2">
        <v>1722</v>
      </c>
      <c r="Q886" s="2">
        <v>16825</v>
      </c>
      <c r="R886" s="13" t="s">
        <v>27</v>
      </c>
      <c r="S886" s="13" t="s">
        <v>27</v>
      </c>
    </row>
    <row r="887" spans="1:19" hidden="1" x14ac:dyDescent="0.3">
      <c r="A887" s="14">
        <v>43927.708333333336</v>
      </c>
      <c r="B887" s="13" t="s">
        <v>23</v>
      </c>
      <c r="C887" s="2">
        <v>18</v>
      </c>
      <c r="D887" s="13" t="s">
        <v>47</v>
      </c>
      <c r="E887" s="2">
        <v>3890597598</v>
      </c>
      <c r="F887" s="2">
        <v>1659440194</v>
      </c>
      <c r="G887" s="2">
        <v>170</v>
      </c>
      <c r="H887" s="2">
        <v>14</v>
      </c>
      <c r="I887" s="2">
        <v>184</v>
      </c>
      <c r="J887" s="2">
        <v>538</v>
      </c>
      <c r="K887" s="2">
        <v>722</v>
      </c>
      <c r="L887" s="2">
        <v>16</v>
      </c>
      <c r="M887" s="2">
        <v>22</v>
      </c>
      <c r="N887" s="2">
        <v>37</v>
      </c>
      <c r="O887" s="2">
        <v>58</v>
      </c>
      <c r="P887" s="2">
        <v>817</v>
      </c>
      <c r="Q887" s="2">
        <v>13633</v>
      </c>
      <c r="R887" s="13" t="s">
        <v>27</v>
      </c>
      <c r="S887" s="13" t="s">
        <v>27</v>
      </c>
    </row>
    <row r="888" spans="1:19" hidden="1" x14ac:dyDescent="0.3">
      <c r="A888" s="14">
        <v>43927.708333333336</v>
      </c>
      <c r="B888" s="13" t="s">
        <v>23</v>
      </c>
      <c r="C888" s="2">
        <v>15</v>
      </c>
      <c r="D888" s="13" t="s">
        <v>48</v>
      </c>
      <c r="E888" s="2">
        <v>4083956555</v>
      </c>
      <c r="F888" s="2">
        <v>1425084984</v>
      </c>
      <c r="G888" s="2">
        <v>610</v>
      </c>
      <c r="H888" s="2">
        <v>101</v>
      </c>
      <c r="I888" s="2">
        <v>711</v>
      </c>
      <c r="J888" s="2">
        <v>1987</v>
      </c>
      <c r="K888" s="2">
        <v>2698</v>
      </c>
      <c r="L888" s="2">
        <v>77</v>
      </c>
      <c r="M888" s="2">
        <v>98</v>
      </c>
      <c r="N888" s="2">
        <v>156</v>
      </c>
      <c r="O888" s="2">
        <v>204</v>
      </c>
      <c r="P888" s="2">
        <v>3058</v>
      </c>
      <c r="Q888" s="2">
        <v>24526</v>
      </c>
      <c r="R888" s="13" t="s">
        <v>27</v>
      </c>
      <c r="S888" s="13" t="s">
        <v>27</v>
      </c>
    </row>
    <row r="889" spans="1:19" hidden="1" x14ac:dyDescent="0.3">
      <c r="A889" s="14">
        <v>43927.708333333336</v>
      </c>
      <c r="B889" s="13" t="s">
        <v>23</v>
      </c>
      <c r="C889" s="2">
        <v>8</v>
      </c>
      <c r="D889" s="13" t="s">
        <v>98</v>
      </c>
      <c r="E889" s="2">
        <v>4449436681</v>
      </c>
      <c r="F889" s="2">
        <v>113417208</v>
      </c>
      <c r="G889" s="2">
        <v>3804</v>
      </c>
      <c r="H889" s="2">
        <v>372</v>
      </c>
      <c r="I889" s="2">
        <v>4176</v>
      </c>
      <c r="J889" s="2">
        <v>8875</v>
      </c>
      <c r="K889" s="2">
        <v>13051</v>
      </c>
      <c r="L889" s="2">
        <v>214</v>
      </c>
      <c r="M889" s="2">
        <v>467</v>
      </c>
      <c r="N889" s="2">
        <v>2397</v>
      </c>
      <c r="O889" s="2">
        <v>2108</v>
      </c>
      <c r="P889" s="2">
        <v>17556</v>
      </c>
      <c r="Q889" s="2">
        <v>72163</v>
      </c>
      <c r="R889" s="13" t="s">
        <v>27</v>
      </c>
      <c r="S889" s="13" t="s">
        <v>27</v>
      </c>
    </row>
    <row r="890" spans="1:19" hidden="1" x14ac:dyDescent="0.3">
      <c r="A890" s="14">
        <v>43927.708333333336</v>
      </c>
      <c r="B890" s="13" t="s">
        <v>23</v>
      </c>
      <c r="C890" s="2">
        <v>6</v>
      </c>
      <c r="D890" s="13" t="s">
        <v>49</v>
      </c>
      <c r="E890" s="2">
        <v>456494354</v>
      </c>
      <c r="F890" s="2">
        <v>1376813649</v>
      </c>
      <c r="G890" s="2">
        <v>189</v>
      </c>
      <c r="H890" s="2">
        <v>46</v>
      </c>
      <c r="I890" s="2">
        <v>235</v>
      </c>
      <c r="J890" s="2">
        <v>1161</v>
      </c>
      <c r="K890" s="2">
        <v>1396</v>
      </c>
      <c r="L890" s="2">
        <v>33</v>
      </c>
      <c r="M890" s="2">
        <v>55</v>
      </c>
      <c r="N890" s="2">
        <v>549</v>
      </c>
      <c r="O890" s="2">
        <v>158</v>
      </c>
      <c r="P890" s="2">
        <v>2103</v>
      </c>
      <c r="Q890" s="2">
        <v>22272</v>
      </c>
      <c r="R890" s="13" t="s">
        <v>27</v>
      </c>
      <c r="S890" s="13" t="s">
        <v>27</v>
      </c>
    </row>
    <row r="891" spans="1:19" hidden="1" x14ac:dyDescent="0.3">
      <c r="A891" s="14">
        <v>43927.708333333336</v>
      </c>
      <c r="B891" s="13" t="s">
        <v>23</v>
      </c>
      <c r="C891" s="2">
        <v>12</v>
      </c>
      <c r="D891" s="13" t="s">
        <v>50</v>
      </c>
      <c r="E891" s="2">
        <v>4189277044</v>
      </c>
      <c r="F891" s="2">
        <v>1248366722</v>
      </c>
      <c r="G891" s="2">
        <v>1235</v>
      </c>
      <c r="H891" s="2">
        <v>197</v>
      </c>
      <c r="I891" s="2">
        <v>1432</v>
      </c>
      <c r="J891" s="2">
        <v>1868</v>
      </c>
      <c r="K891" s="2">
        <v>3300</v>
      </c>
      <c r="L891" s="2">
        <v>114</v>
      </c>
      <c r="M891" s="2">
        <v>151</v>
      </c>
      <c r="N891" s="2">
        <v>502</v>
      </c>
      <c r="O891" s="2">
        <v>229</v>
      </c>
      <c r="P891" s="2">
        <v>4031</v>
      </c>
      <c r="Q891" s="2">
        <v>47470</v>
      </c>
      <c r="R891" s="13" t="s">
        <v>27</v>
      </c>
      <c r="S891" s="13" t="s">
        <v>27</v>
      </c>
    </row>
    <row r="892" spans="1:19" hidden="1" x14ac:dyDescent="0.3">
      <c r="A892" s="14">
        <v>43927.708333333336</v>
      </c>
      <c r="B892" s="13" t="s">
        <v>23</v>
      </c>
      <c r="C892" s="2">
        <v>7</v>
      </c>
      <c r="D892" s="13" t="s">
        <v>51</v>
      </c>
      <c r="E892" s="2">
        <v>4441149315</v>
      </c>
      <c r="F892" s="2">
        <v>89326992</v>
      </c>
      <c r="G892" s="2">
        <v>1141</v>
      </c>
      <c r="H892" s="2">
        <v>162</v>
      </c>
      <c r="I892" s="2">
        <v>1303</v>
      </c>
      <c r="J892" s="2">
        <v>1814</v>
      </c>
      <c r="K892" s="2">
        <v>3117</v>
      </c>
      <c r="L892" s="2">
        <v>24</v>
      </c>
      <c r="M892" s="2">
        <v>100</v>
      </c>
      <c r="N892" s="2">
        <v>837</v>
      </c>
      <c r="O892" s="2">
        <v>595</v>
      </c>
      <c r="P892" s="2">
        <v>4549</v>
      </c>
      <c r="Q892" s="2">
        <v>15533</v>
      </c>
      <c r="R892" s="13" t="s">
        <v>27</v>
      </c>
      <c r="S892" s="13" t="s">
        <v>27</v>
      </c>
    </row>
    <row r="893" spans="1:19" x14ac:dyDescent="0.3">
      <c r="A893" s="14">
        <v>43927.708333333336</v>
      </c>
      <c r="B893" s="13" t="s">
        <v>23</v>
      </c>
      <c r="C893" s="2">
        <v>3</v>
      </c>
      <c r="D893" s="13" t="s">
        <v>52</v>
      </c>
      <c r="E893" s="2">
        <v>4546679409</v>
      </c>
      <c r="F893" s="2">
        <v>9190347404</v>
      </c>
      <c r="G893" s="2">
        <v>11914</v>
      </c>
      <c r="H893" s="2">
        <v>1343</v>
      </c>
      <c r="I893" s="2">
        <v>13257</v>
      </c>
      <c r="J893" s="2">
        <v>15212</v>
      </c>
      <c r="K893" s="2">
        <v>28469</v>
      </c>
      <c r="L893" s="2">
        <v>345</v>
      </c>
      <c r="M893" s="2">
        <v>1079</v>
      </c>
      <c r="N893" s="2">
        <v>13863</v>
      </c>
      <c r="O893" s="2">
        <v>9202</v>
      </c>
      <c r="P893" s="2">
        <v>51534</v>
      </c>
      <c r="Q893" s="2">
        <v>154989</v>
      </c>
      <c r="R893" s="13" t="s">
        <v>27</v>
      </c>
      <c r="S893" s="13" t="s">
        <v>27</v>
      </c>
    </row>
    <row r="894" spans="1:19" hidden="1" x14ac:dyDescent="0.3">
      <c r="A894" s="14">
        <v>43927.708333333336</v>
      </c>
      <c r="B894" s="13" t="s">
        <v>23</v>
      </c>
      <c r="C894" s="2">
        <v>11</v>
      </c>
      <c r="D894" s="13" t="s">
        <v>53</v>
      </c>
      <c r="E894" s="2">
        <v>4361675973</v>
      </c>
      <c r="F894" s="2">
        <v>135188753</v>
      </c>
      <c r="G894" s="2">
        <v>1001</v>
      </c>
      <c r="H894" s="2">
        <v>140</v>
      </c>
      <c r="I894" s="2">
        <v>1141</v>
      </c>
      <c r="J894" s="2">
        <v>2565</v>
      </c>
      <c r="K894" s="2">
        <v>3706</v>
      </c>
      <c r="L894" s="2">
        <v>128</v>
      </c>
      <c r="M894" s="2">
        <v>150</v>
      </c>
      <c r="N894" s="2">
        <v>296</v>
      </c>
      <c r="O894" s="2">
        <v>612</v>
      </c>
      <c r="P894" s="2">
        <v>4614</v>
      </c>
      <c r="Q894" s="2">
        <v>15919</v>
      </c>
      <c r="R894" s="13" t="s">
        <v>27</v>
      </c>
      <c r="S894" s="13" t="s">
        <v>27</v>
      </c>
    </row>
    <row r="895" spans="1:19" hidden="1" x14ac:dyDescent="0.3">
      <c r="A895" s="14">
        <v>43927.708333333336</v>
      </c>
      <c r="B895" s="13" t="s">
        <v>23</v>
      </c>
      <c r="C895" s="2">
        <v>14</v>
      </c>
      <c r="D895" s="13" t="s">
        <v>54</v>
      </c>
      <c r="E895" s="2">
        <v>4155774754</v>
      </c>
      <c r="F895" s="2">
        <v>1465916051</v>
      </c>
      <c r="G895" s="2">
        <v>34</v>
      </c>
      <c r="H895" s="2">
        <v>5</v>
      </c>
      <c r="I895" s="2">
        <v>39</v>
      </c>
      <c r="J895" s="2">
        <v>148</v>
      </c>
      <c r="K895" s="2">
        <v>187</v>
      </c>
      <c r="L895" s="2">
        <v>0</v>
      </c>
      <c r="M895" s="2">
        <v>0</v>
      </c>
      <c r="N895" s="2">
        <v>24</v>
      </c>
      <c r="O895" s="2">
        <v>13</v>
      </c>
      <c r="P895" s="2">
        <v>224</v>
      </c>
      <c r="Q895" s="2">
        <v>1546</v>
      </c>
      <c r="R895" s="13" t="s">
        <v>27</v>
      </c>
      <c r="S895" s="13" t="s">
        <v>27</v>
      </c>
    </row>
    <row r="896" spans="1:19" hidden="1" x14ac:dyDescent="0.3">
      <c r="A896" s="14">
        <v>43927.708333333336</v>
      </c>
      <c r="B896" s="13" t="s">
        <v>23</v>
      </c>
      <c r="C896" s="2">
        <v>1</v>
      </c>
      <c r="D896" s="13" t="s">
        <v>55</v>
      </c>
      <c r="E896" s="2">
        <v>450732745</v>
      </c>
      <c r="F896" s="2">
        <v>7680687483</v>
      </c>
      <c r="G896" s="2">
        <v>3484</v>
      </c>
      <c r="H896" s="2">
        <v>438</v>
      </c>
      <c r="I896" s="2">
        <v>3922</v>
      </c>
      <c r="J896" s="2">
        <v>6623</v>
      </c>
      <c r="K896" s="2">
        <v>10545</v>
      </c>
      <c r="L896" s="2">
        <v>368</v>
      </c>
      <c r="M896" s="2">
        <v>562</v>
      </c>
      <c r="N896" s="2">
        <v>1128</v>
      </c>
      <c r="O896" s="2">
        <v>1251</v>
      </c>
      <c r="P896" s="2">
        <v>12924</v>
      </c>
      <c r="Q896" s="2">
        <v>41123</v>
      </c>
      <c r="R896" s="13" t="s">
        <v>27</v>
      </c>
      <c r="S896" s="13" t="s">
        <v>27</v>
      </c>
    </row>
    <row r="897" spans="1:19" hidden="1" x14ac:dyDescent="0.3">
      <c r="A897" s="14">
        <v>43927.708333333336</v>
      </c>
      <c r="B897" s="13" t="s">
        <v>23</v>
      </c>
      <c r="C897" s="2">
        <v>16</v>
      </c>
      <c r="D897" s="13" t="s">
        <v>56</v>
      </c>
      <c r="E897" s="2">
        <v>4112559576</v>
      </c>
      <c r="F897" s="2">
        <v>1686736689</v>
      </c>
      <c r="G897" s="2">
        <v>625</v>
      </c>
      <c r="H897" s="2">
        <v>97</v>
      </c>
      <c r="I897" s="2">
        <v>722</v>
      </c>
      <c r="J897" s="2">
        <v>1393</v>
      </c>
      <c r="K897" s="2">
        <v>2115</v>
      </c>
      <c r="L897" s="2">
        <v>93</v>
      </c>
      <c r="M897" s="2">
        <v>127</v>
      </c>
      <c r="N897" s="2">
        <v>134</v>
      </c>
      <c r="O897" s="2">
        <v>195</v>
      </c>
      <c r="P897" s="2">
        <v>2444</v>
      </c>
      <c r="Q897" s="2">
        <v>22059</v>
      </c>
      <c r="R897" s="13" t="s">
        <v>27</v>
      </c>
      <c r="S897" s="13" t="s">
        <v>27</v>
      </c>
    </row>
    <row r="898" spans="1:19" hidden="1" x14ac:dyDescent="0.3">
      <c r="A898" s="14">
        <v>43927.708333333336</v>
      </c>
      <c r="B898" s="13" t="s">
        <v>23</v>
      </c>
      <c r="C898" s="2">
        <v>20</v>
      </c>
      <c r="D898" s="13" t="s">
        <v>57</v>
      </c>
      <c r="E898" s="2">
        <v>3921531192</v>
      </c>
      <c r="F898" s="2">
        <v>9110616306</v>
      </c>
      <c r="G898" s="2">
        <v>123</v>
      </c>
      <c r="H898" s="2">
        <v>26</v>
      </c>
      <c r="I898" s="2">
        <v>149</v>
      </c>
      <c r="J898" s="2">
        <v>670</v>
      </c>
      <c r="K898" s="2">
        <v>819</v>
      </c>
      <c r="L898" s="2">
        <v>4</v>
      </c>
      <c r="M898" s="2">
        <v>15</v>
      </c>
      <c r="N898" s="2">
        <v>56</v>
      </c>
      <c r="O898" s="2">
        <v>47</v>
      </c>
      <c r="P898" s="2">
        <v>922</v>
      </c>
      <c r="Q898" s="2">
        <v>7521</v>
      </c>
      <c r="R898" s="13" t="s">
        <v>27</v>
      </c>
      <c r="S898" s="13" t="s">
        <v>27</v>
      </c>
    </row>
    <row r="899" spans="1:19" hidden="1" x14ac:dyDescent="0.3">
      <c r="A899" s="14">
        <v>43927.708333333336</v>
      </c>
      <c r="B899" s="13" t="s">
        <v>23</v>
      </c>
      <c r="C899" s="2">
        <v>19</v>
      </c>
      <c r="D899" s="13" t="s">
        <v>58</v>
      </c>
      <c r="E899" s="2">
        <v>3811569725</v>
      </c>
      <c r="F899" s="2">
        <v>133623567</v>
      </c>
      <c r="G899" s="2">
        <v>563</v>
      </c>
      <c r="H899" s="2">
        <v>74</v>
      </c>
      <c r="I899" s="2">
        <v>637</v>
      </c>
      <c r="J899" s="2">
        <v>1178</v>
      </c>
      <c r="K899" s="2">
        <v>1815</v>
      </c>
      <c r="L899" s="2">
        <v>41</v>
      </c>
      <c r="M899" s="2">
        <v>52</v>
      </c>
      <c r="N899" s="2">
        <v>108</v>
      </c>
      <c r="O899" s="2">
        <v>123</v>
      </c>
      <c r="P899" s="2">
        <v>2046</v>
      </c>
      <c r="Q899" s="2">
        <v>23464</v>
      </c>
      <c r="R899" s="13" t="s">
        <v>27</v>
      </c>
      <c r="S899" s="13" t="s">
        <v>27</v>
      </c>
    </row>
    <row r="900" spans="1:19" hidden="1" x14ac:dyDescent="0.3">
      <c r="A900" s="14">
        <v>43927.708333333336</v>
      </c>
      <c r="B900" s="13" t="s">
        <v>23</v>
      </c>
      <c r="C900" s="2">
        <v>9</v>
      </c>
      <c r="D900" s="13" t="s">
        <v>59</v>
      </c>
      <c r="E900" s="2">
        <v>4376923077</v>
      </c>
      <c r="F900" s="2">
        <v>1125588885</v>
      </c>
      <c r="G900" s="2">
        <v>1116</v>
      </c>
      <c r="H900" s="2">
        <v>279</v>
      </c>
      <c r="I900" s="2">
        <v>1395</v>
      </c>
      <c r="J900" s="2">
        <v>3906</v>
      </c>
      <c r="K900" s="2">
        <v>5301</v>
      </c>
      <c r="L900" s="2">
        <v>116</v>
      </c>
      <c r="M900" s="2">
        <v>154</v>
      </c>
      <c r="N900" s="2">
        <v>350</v>
      </c>
      <c r="O900" s="2">
        <v>350</v>
      </c>
      <c r="P900" s="2">
        <v>6001</v>
      </c>
      <c r="Q900" s="2">
        <v>52849</v>
      </c>
      <c r="R900" s="13" t="s">
        <v>27</v>
      </c>
      <c r="S900" s="13" t="s">
        <v>27</v>
      </c>
    </row>
    <row r="901" spans="1:19" hidden="1" x14ac:dyDescent="0.3">
      <c r="A901" s="14">
        <v>43927.708333333336</v>
      </c>
      <c r="B901" s="13" t="s">
        <v>23</v>
      </c>
      <c r="C901" s="2">
        <v>4</v>
      </c>
      <c r="D901" s="13" t="s">
        <v>60</v>
      </c>
      <c r="E901" s="2">
        <v>4606893511</v>
      </c>
      <c r="F901" s="2">
        <v>1112123097</v>
      </c>
      <c r="G901" s="2">
        <v>354</v>
      </c>
      <c r="H901" s="2">
        <v>79</v>
      </c>
      <c r="I901" s="2">
        <v>433</v>
      </c>
      <c r="J901" s="2">
        <v>1405</v>
      </c>
      <c r="K901" s="2">
        <v>1838</v>
      </c>
      <c r="L901" s="2">
        <v>43</v>
      </c>
      <c r="M901" s="2">
        <v>63</v>
      </c>
      <c r="N901" s="2">
        <v>280</v>
      </c>
      <c r="O901" s="2">
        <v>230</v>
      </c>
      <c r="P901" s="2">
        <v>2348</v>
      </c>
      <c r="Q901" s="2">
        <v>11130</v>
      </c>
      <c r="R901" s="13" t="s">
        <v>27</v>
      </c>
      <c r="S901" s="13" t="s">
        <v>27</v>
      </c>
    </row>
    <row r="902" spans="1:19" hidden="1" x14ac:dyDescent="0.3">
      <c r="A902" s="14">
        <v>43927.708333333336</v>
      </c>
      <c r="B902" s="13" t="s">
        <v>23</v>
      </c>
      <c r="C902" s="2">
        <v>10</v>
      </c>
      <c r="D902" s="13" t="s">
        <v>61</v>
      </c>
      <c r="E902" s="2">
        <v>4310675841</v>
      </c>
      <c r="F902" s="2">
        <v>1238824698</v>
      </c>
      <c r="G902" s="2">
        <v>159</v>
      </c>
      <c r="H902" s="2">
        <v>46</v>
      </c>
      <c r="I902" s="2">
        <v>205</v>
      </c>
      <c r="J902" s="2">
        <v>667</v>
      </c>
      <c r="K902" s="2">
        <v>872</v>
      </c>
      <c r="L902" s="2">
        <v>-26</v>
      </c>
      <c r="M902" s="2">
        <v>14</v>
      </c>
      <c r="N902" s="2">
        <v>337</v>
      </c>
      <c r="O902" s="2">
        <v>44</v>
      </c>
      <c r="P902" s="2">
        <v>1253</v>
      </c>
      <c r="Q902" s="2">
        <v>12573</v>
      </c>
      <c r="R902" s="13" t="s">
        <v>27</v>
      </c>
      <c r="S902" s="13" t="s">
        <v>27</v>
      </c>
    </row>
    <row r="903" spans="1:19" hidden="1" x14ac:dyDescent="0.3">
      <c r="A903" s="14">
        <v>43927.708333333336</v>
      </c>
      <c r="B903" s="13" t="s">
        <v>23</v>
      </c>
      <c r="C903" s="2">
        <v>2</v>
      </c>
      <c r="D903" s="13" t="s">
        <v>62</v>
      </c>
      <c r="E903" s="2">
        <v>4573750286</v>
      </c>
      <c r="F903" s="2">
        <v>7320149366</v>
      </c>
      <c r="G903" s="2">
        <v>109</v>
      </c>
      <c r="H903" s="2">
        <v>21</v>
      </c>
      <c r="I903" s="2">
        <v>130</v>
      </c>
      <c r="J903" s="2">
        <v>437</v>
      </c>
      <c r="K903" s="2">
        <v>567</v>
      </c>
      <c r="L903" s="2">
        <v>-9</v>
      </c>
      <c r="M903" s="2">
        <v>23</v>
      </c>
      <c r="N903" s="2">
        <v>142</v>
      </c>
      <c r="O903" s="2">
        <v>96</v>
      </c>
      <c r="P903" s="2">
        <v>805</v>
      </c>
      <c r="Q903" s="2">
        <v>2590</v>
      </c>
      <c r="R903" s="13" t="s">
        <v>27</v>
      </c>
      <c r="S903" s="13" t="s">
        <v>27</v>
      </c>
    </row>
    <row r="904" spans="1:19" hidden="1" x14ac:dyDescent="0.3">
      <c r="A904" s="14">
        <v>43927.708333333336</v>
      </c>
      <c r="B904" s="13" t="s">
        <v>23</v>
      </c>
      <c r="C904" s="2">
        <v>5</v>
      </c>
      <c r="D904" s="13" t="s">
        <v>63</v>
      </c>
      <c r="E904" s="2">
        <v>4543490485</v>
      </c>
      <c r="F904" s="2">
        <v>1233845213</v>
      </c>
      <c r="G904" s="2">
        <v>1714</v>
      </c>
      <c r="H904" s="2">
        <v>322</v>
      </c>
      <c r="I904" s="2">
        <v>2036</v>
      </c>
      <c r="J904" s="2">
        <v>7686</v>
      </c>
      <c r="K904" s="2">
        <v>9722</v>
      </c>
      <c r="L904" s="2">
        <v>313</v>
      </c>
      <c r="M904" s="2">
        <v>362</v>
      </c>
      <c r="N904" s="2">
        <v>1204</v>
      </c>
      <c r="O904" s="2">
        <v>662</v>
      </c>
      <c r="P904" s="2">
        <v>11588</v>
      </c>
      <c r="Q904" s="2">
        <v>146288</v>
      </c>
      <c r="R904" s="13" t="s">
        <v>27</v>
      </c>
      <c r="S904" s="13" t="s">
        <v>27</v>
      </c>
    </row>
    <row r="905" spans="1:19" hidden="1" x14ac:dyDescent="0.3">
      <c r="A905" s="14">
        <v>43928.708333333336</v>
      </c>
      <c r="B905" s="13" t="s">
        <v>23</v>
      </c>
      <c r="C905" s="2">
        <v>13</v>
      </c>
      <c r="D905" s="13" t="s">
        <v>44</v>
      </c>
      <c r="E905" s="2">
        <v>4235122196</v>
      </c>
      <c r="F905" s="2">
        <v>1339843823</v>
      </c>
      <c r="G905" s="2">
        <v>337</v>
      </c>
      <c r="H905" s="2">
        <v>67</v>
      </c>
      <c r="I905" s="2">
        <v>404</v>
      </c>
      <c r="J905" s="2">
        <v>1087</v>
      </c>
      <c r="K905" s="2">
        <v>1491</v>
      </c>
      <c r="L905" s="2">
        <v>66</v>
      </c>
      <c r="M905" s="2">
        <v>78</v>
      </c>
      <c r="N905" s="2">
        <v>136</v>
      </c>
      <c r="O905" s="2">
        <v>172</v>
      </c>
      <c r="P905" s="2">
        <v>1799</v>
      </c>
      <c r="Q905" s="2">
        <v>14904</v>
      </c>
      <c r="R905" s="13" t="s">
        <v>27</v>
      </c>
      <c r="S905" s="13" t="s">
        <v>27</v>
      </c>
    </row>
    <row r="906" spans="1:19" hidden="1" x14ac:dyDescent="0.3">
      <c r="A906" s="14">
        <v>43928.708333333336</v>
      </c>
      <c r="B906" s="13" t="s">
        <v>23</v>
      </c>
      <c r="C906" s="2">
        <v>17</v>
      </c>
      <c r="D906" s="13" t="s">
        <v>45</v>
      </c>
      <c r="E906" s="2">
        <v>4063947052</v>
      </c>
      <c r="F906" s="2">
        <v>1580514834</v>
      </c>
      <c r="G906" s="2">
        <v>47</v>
      </c>
      <c r="H906" s="2">
        <v>17</v>
      </c>
      <c r="I906" s="2">
        <v>64</v>
      </c>
      <c r="J906" s="2">
        <v>201</v>
      </c>
      <c r="K906" s="2">
        <v>265</v>
      </c>
      <c r="L906" s="2">
        <v>3</v>
      </c>
      <c r="M906" s="2">
        <v>4</v>
      </c>
      <c r="N906" s="2">
        <v>12</v>
      </c>
      <c r="O906" s="2">
        <v>14</v>
      </c>
      <c r="P906" s="2">
        <v>291</v>
      </c>
      <c r="Q906" s="2">
        <v>3160</v>
      </c>
      <c r="R906" s="13" t="s">
        <v>27</v>
      </c>
      <c r="S906" s="13" t="s">
        <v>27</v>
      </c>
    </row>
    <row r="907" spans="1:19" hidden="1" x14ac:dyDescent="0.3">
      <c r="A907" s="14">
        <v>43928.708333333336</v>
      </c>
      <c r="B907" s="13" t="s">
        <v>23</v>
      </c>
      <c r="C907" s="2">
        <v>4</v>
      </c>
      <c r="D907" s="13" t="s">
        <v>46</v>
      </c>
      <c r="E907" s="2">
        <v>4649933453</v>
      </c>
      <c r="F907" s="2">
        <v>1135662422</v>
      </c>
      <c r="G907" s="2">
        <v>325</v>
      </c>
      <c r="H907" s="2">
        <v>64</v>
      </c>
      <c r="I907" s="2">
        <v>389</v>
      </c>
      <c r="J907" s="2">
        <v>912</v>
      </c>
      <c r="K907" s="2">
        <v>1301</v>
      </c>
      <c r="L907" s="2">
        <v>41</v>
      </c>
      <c r="M907" s="2">
        <v>89</v>
      </c>
      <c r="N907" s="2">
        <v>336</v>
      </c>
      <c r="O907" s="2">
        <v>174</v>
      </c>
      <c r="P907" s="2">
        <v>1811</v>
      </c>
      <c r="Q907" s="2">
        <v>17761</v>
      </c>
      <c r="R907" s="13" t="s">
        <v>27</v>
      </c>
      <c r="S907" s="13" t="s">
        <v>27</v>
      </c>
    </row>
    <row r="908" spans="1:19" hidden="1" x14ac:dyDescent="0.3">
      <c r="A908" s="14">
        <v>43928.708333333336</v>
      </c>
      <c r="B908" s="13" t="s">
        <v>23</v>
      </c>
      <c r="C908" s="2">
        <v>18</v>
      </c>
      <c r="D908" s="13" t="s">
        <v>47</v>
      </c>
      <c r="E908" s="2">
        <v>3890597598</v>
      </c>
      <c r="F908" s="2">
        <v>1659440194</v>
      </c>
      <c r="G908" s="2">
        <v>169</v>
      </c>
      <c r="H908" s="2">
        <v>14</v>
      </c>
      <c r="I908" s="2">
        <v>183</v>
      </c>
      <c r="J908" s="2">
        <v>550</v>
      </c>
      <c r="K908" s="2">
        <v>733</v>
      </c>
      <c r="L908" s="2">
        <v>11</v>
      </c>
      <c r="M908" s="2">
        <v>16</v>
      </c>
      <c r="N908" s="2">
        <v>40</v>
      </c>
      <c r="O908" s="2">
        <v>60</v>
      </c>
      <c r="P908" s="2">
        <v>833</v>
      </c>
      <c r="Q908" s="2">
        <v>14072</v>
      </c>
      <c r="R908" s="13" t="s">
        <v>27</v>
      </c>
      <c r="S908" s="13" t="s">
        <v>27</v>
      </c>
    </row>
    <row r="909" spans="1:19" hidden="1" x14ac:dyDescent="0.3">
      <c r="A909" s="14">
        <v>43928.708333333336</v>
      </c>
      <c r="B909" s="13" t="s">
        <v>23</v>
      </c>
      <c r="C909" s="2">
        <v>15</v>
      </c>
      <c r="D909" s="13" t="s">
        <v>48</v>
      </c>
      <c r="E909" s="2">
        <v>4083956555</v>
      </c>
      <c r="F909" s="2">
        <v>1425084984</v>
      </c>
      <c r="G909" s="2">
        <v>603</v>
      </c>
      <c r="H909" s="2">
        <v>103</v>
      </c>
      <c r="I909" s="2">
        <v>706</v>
      </c>
      <c r="J909" s="2">
        <v>2059</v>
      </c>
      <c r="K909" s="2">
        <v>2765</v>
      </c>
      <c r="L909" s="2">
        <v>67</v>
      </c>
      <c r="M909" s="2">
        <v>90</v>
      </c>
      <c r="N909" s="2">
        <v>167</v>
      </c>
      <c r="O909" s="2">
        <v>216</v>
      </c>
      <c r="P909" s="2">
        <v>3148</v>
      </c>
      <c r="Q909" s="2">
        <v>25779</v>
      </c>
      <c r="R909" s="13" t="s">
        <v>27</v>
      </c>
      <c r="S909" s="13" t="s">
        <v>27</v>
      </c>
    </row>
    <row r="910" spans="1:19" hidden="1" x14ac:dyDescent="0.3">
      <c r="A910" s="14">
        <v>43928.708333333336</v>
      </c>
      <c r="B910" s="13" t="s">
        <v>23</v>
      </c>
      <c r="C910" s="2">
        <v>8</v>
      </c>
      <c r="D910" s="13" t="s">
        <v>98</v>
      </c>
      <c r="E910" s="2">
        <v>4449436681</v>
      </c>
      <c r="F910" s="2">
        <v>113417208</v>
      </c>
      <c r="G910" s="2">
        <v>3750</v>
      </c>
      <c r="H910" s="2">
        <v>366</v>
      </c>
      <c r="I910" s="2">
        <v>4116</v>
      </c>
      <c r="J910" s="2">
        <v>8932</v>
      </c>
      <c r="K910" s="2">
        <v>13048</v>
      </c>
      <c r="L910" s="2">
        <v>-3</v>
      </c>
      <c r="M910" s="2">
        <v>269</v>
      </c>
      <c r="N910" s="2">
        <v>2597</v>
      </c>
      <c r="O910" s="2">
        <v>2180</v>
      </c>
      <c r="P910" s="2">
        <v>17825</v>
      </c>
      <c r="Q910" s="2">
        <v>75191</v>
      </c>
      <c r="R910" s="13" t="s">
        <v>27</v>
      </c>
      <c r="S910" s="13" t="s">
        <v>27</v>
      </c>
    </row>
    <row r="911" spans="1:19" hidden="1" x14ac:dyDescent="0.3">
      <c r="A911" s="14">
        <v>43928.708333333336</v>
      </c>
      <c r="B911" s="13" t="s">
        <v>23</v>
      </c>
      <c r="C911" s="2">
        <v>6</v>
      </c>
      <c r="D911" s="13" t="s">
        <v>49</v>
      </c>
      <c r="E911" s="2">
        <v>456494354</v>
      </c>
      <c r="F911" s="2">
        <v>1376813649</v>
      </c>
      <c r="G911" s="2">
        <v>185</v>
      </c>
      <c r="H911" s="2">
        <v>44</v>
      </c>
      <c r="I911" s="2">
        <v>229</v>
      </c>
      <c r="J911" s="2">
        <v>1150</v>
      </c>
      <c r="K911" s="2">
        <v>1379</v>
      </c>
      <c r="L911" s="2">
        <v>-17</v>
      </c>
      <c r="M911" s="2">
        <v>50</v>
      </c>
      <c r="N911" s="2">
        <v>610</v>
      </c>
      <c r="O911" s="2">
        <v>164</v>
      </c>
      <c r="P911" s="2">
        <v>2153</v>
      </c>
      <c r="Q911" s="2">
        <v>23536</v>
      </c>
      <c r="R911" s="13" t="s">
        <v>27</v>
      </c>
      <c r="S911" s="13" t="s">
        <v>27</v>
      </c>
    </row>
    <row r="912" spans="1:19" hidden="1" x14ac:dyDescent="0.3">
      <c r="A912" s="14">
        <v>43928.708333333336</v>
      </c>
      <c r="B912" s="13" t="s">
        <v>23</v>
      </c>
      <c r="C912" s="2">
        <v>12</v>
      </c>
      <c r="D912" s="13" t="s">
        <v>50</v>
      </c>
      <c r="E912" s="2">
        <v>4189277044</v>
      </c>
      <c r="F912" s="2">
        <v>1248366722</v>
      </c>
      <c r="G912" s="2">
        <v>1229</v>
      </c>
      <c r="H912" s="2">
        <v>192</v>
      </c>
      <c r="I912" s="2">
        <v>1421</v>
      </c>
      <c r="J912" s="2">
        <v>1944</v>
      </c>
      <c r="K912" s="2">
        <v>3365</v>
      </c>
      <c r="L912" s="2">
        <v>65</v>
      </c>
      <c r="M912" s="2">
        <v>118</v>
      </c>
      <c r="N912" s="2">
        <v>546</v>
      </c>
      <c r="O912" s="2">
        <v>238</v>
      </c>
      <c r="P912" s="2">
        <v>4149</v>
      </c>
      <c r="Q912" s="2">
        <v>48874</v>
      </c>
      <c r="R912" s="13" t="s">
        <v>27</v>
      </c>
      <c r="S912" s="13" t="s">
        <v>27</v>
      </c>
    </row>
    <row r="913" spans="1:19" hidden="1" x14ac:dyDescent="0.3">
      <c r="A913" s="14">
        <v>43928.708333333336</v>
      </c>
      <c r="B913" s="13" t="s">
        <v>23</v>
      </c>
      <c r="C913" s="2">
        <v>7</v>
      </c>
      <c r="D913" s="13" t="s">
        <v>51</v>
      </c>
      <c r="E913" s="2">
        <v>4441149315</v>
      </c>
      <c r="F913" s="2">
        <v>89326992</v>
      </c>
      <c r="G913" s="2">
        <v>1090</v>
      </c>
      <c r="H913" s="2">
        <v>156</v>
      </c>
      <c r="I913" s="2">
        <v>1246</v>
      </c>
      <c r="J913" s="2">
        <v>1966</v>
      </c>
      <c r="K913" s="2">
        <v>3212</v>
      </c>
      <c r="L913" s="2">
        <v>95</v>
      </c>
      <c r="M913" s="2">
        <v>208</v>
      </c>
      <c r="N913" s="2">
        <v>925</v>
      </c>
      <c r="O913" s="2">
        <v>620</v>
      </c>
      <c r="P913" s="2">
        <v>4757</v>
      </c>
      <c r="Q913" s="2">
        <v>16579</v>
      </c>
      <c r="R913" s="13" t="s">
        <v>27</v>
      </c>
      <c r="S913" s="13" t="s">
        <v>27</v>
      </c>
    </row>
    <row r="914" spans="1:19" x14ac:dyDescent="0.3">
      <c r="A914" s="14">
        <v>43928.708333333336</v>
      </c>
      <c r="B914" s="13" t="s">
        <v>23</v>
      </c>
      <c r="C914" s="2">
        <v>3</v>
      </c>
      <c r="D914" s="13" t="s">
        <v>52</v>
      </c>
      <c r="E914" s="2">
        <v>4546679409</v>
      </c>
      <c r="F914" s="2">
        <v>9190347404</v>
      </c>
      <c r="G914" s="2">
        <v>11833</v>
      </c>
      <c r="H914" s="2">
        <v>1305</v>
      </c>
      <c r="I914" s="2">
        <v>13138</v>
      </c>
      <c r="J914" s="2">
        <v>15205</v>
      </c>
      <c r="K914" s="2">
        <v>28343</v>
      </c>
      <c r="L914" s="2">
        <v>-126</v>
      </c>
      <c r="M914" s="2">
        <v>791</v>
      </c>
      <c r="N914" s="2">
        <v>14498</v>
      </c>
      <c r="O914" s="2">
        <v>9484</v>
      </c>
      <c r="P914" s="2">
        <v>52325</v>
      </c>
      <c r="Q914" s="2">
        <v>159331</v>
      </c>
      <c r="R914" s="13" t="s">
        <v>27</v>
      </c>
      <c r="S914" s="13" t="s">
        <v>27</v>
      </c>
    </row>
    <row r="915" spans="1:19" hidden="1" x14ac:dyDescent="0.3">
      <c r="A915" s="14">
        <v>43928.708333333336</v>
      </c>
      <c r="B915" s="13" t="s">
        <v>23</v>
      </c>
      <c r="C915" s="2">
        <v>11</v>
      </c>
      <c r="D915" s="13" t="s">
        <v>53</v>
      </c>
      <c r="E915" s="2">
        <v>4361675973</v>
      </c>
      <c r="F915" s="2">
        <v>135188753</v>
      </c>
      <c r="G915" s="2">
        <v>962</v>
      </c>
      <c r="H915" s="2">
        <v>139</v>
      </c>
      <c r="I915" s="2">
        <v>1101</v>
      </c>
      <c r="J915" s="2">
        <v>2637</v>
      </c>
      <c r="K915" s="2">
        <v>3738</v>
      </c>
      <c r="L915" s="2">
        <v>32</v>
      </c>
      <c r="M915" s="2">
        <v>96</v>
      </c>
      <c r="N915" s="2">
        <v>342</v>
      </c>
      <c r="O915" s="2">
        <v>630</v>
      </c>
      <c r="P915" s="2">
        <v>4710</v>
      </c>
      <c r="Q915" s="2">
        <v>16619</v>
      </c>
      <c r="R915" s="13" t="s">
        <v>27</v>
      </c>
      <c r="S915" s="13" t="s">
        <v>27</v>
      </c>
    </row>
    <row r="916" spans="1:19" hidden="1" x14ac:dyDescent="0.3">
      <c r="A916" s="14">
        <v>43928.708333333336</v>
      </c>
      <c r="B916" s="13" t="s">
        <v>23</v>
      </c>
      <c r="C916" s="2">
        <v>14</v>
      </c>
      <c r="D916" s="13" t="s">
        <v>54</v>
      </c>
      <c r="E916" s="2">
        <v>4155774754</v>
      </c>
      <c r="F916" s="2">
        <v>1465916051</v>
      </c>
      <c r="G916" s="2">
        <v>35</v>
      </c>
      <c r="H916" s="2">
        <v>5</v>
      </c>
      <c r="I916" s="2">
        <v>40</v>
      </c>
      <c r="J916" s="2">
        <v>145</v>
      </c>
      <c r="K916" s="2">
        <v>185</v>
      </c>
      <c r="L916" s="2">
        <v>-2</v>
      </c>
      <c r="M916" s="2">
        <v>0</v>
      </c>
      <c r="N916" s="2">
        <v>26</v>
      </c>
      <c r="O916" s="2">
        <v>13</v>
      </c>
      <c r="P916" s="2">
        <v>224</v>
      </c>
      <c r="Q916" s="2">
        <v>1581</v>
      </c>
      <c r="R916" s="13" t="s">
        <v>27</v>
      </c>
      <c r="S916" s="13" t="s">
        <v>27</v>
      </c>
    </row>
    <row r="917" spans="1:19" hidden="1" x14ac:dyDescent="0.3">
      <c r="A917" s="14">
        <v>43928.708333333336</v>
      </c>
      <c r="B917" s="13" t="s">
        <v>23</v>
      </c>
      <c r="C917" s="2">
        <v>1</v>
      </c>
      <c r="D917" s="13" t="s">
        <v>55</v>
      </c>
      <c r="E917" s="2">
        <v>450732745</v>
      </c>
      <c r="F917" s="2">
        <v>7680687483</v>
      </c>
      <c r="G917" s="2">
        <v>3553</v>
      </c>
      <c r="H917" s="2">
        <v>432</v>
      </c>
      <c r="I917" s="2">
        <v>3985</v>
      </c>
      <c r="J917" s="2">
        <v>6719</v>
      </c>
      <c r="K917" s="2">
        <v>10704</v>
      </c>
      <c r="L917" s="2">
        <v>159</v>
      </c>
      <c r="M917" s="2">
        <v>419</v>
      </c>
      <c r="N917" s="2">
        <v>1320</v>
      </c>
      <c r="O917" s="2">
        <v>1319</v>
      </c>
      <c r="P917" s="2">
        <v>13343</v>
      </c>
      <c r="Q917" s="2">
        <v>44121</v>
      </c>
      <c r="R917" s="13" t="s">
        <v>27</v>
      </c>
      <c r="S917" s="13" t="s">
        <v>27</v>
      </c>
    </row>
    <row r="918" spans="1:19" hidden="1" x14ac:dyDescent="0.3">
      <c r="A918" s="14">
        <v>43928.708333333336</v>
      </c>
      <c r="B918" s="13" t="s">
        <v>23</v>
      </c>
      <c r="C918" s="2">
        <v>16</v>
      </c>
      <c r="D918" s="13" t="s">
        <v>56</v>
      </c>
      <c r="E918" s="2">
        <v>4112559576</v>
      </c>
      <c r="F918" s="2">
        <v>1686736689</v>
      </c>
      <c r="G918" s="2">
        <v>615</v>
      </c>
      <c r="H918" s="2">
        <v>93</v>
      </c>
      <c r="I918" s="2">
        <v>708</v>
      </c>
      <c r="J918" s="2">
        <v>1429</v>
      </c>
      <c r="K918" s="2">
        <v>2137</v>
      </c>
      <c r="L918" s="2">
        <v>22</v>
      </c>
      <c r="M918" s="2">
        <v>70</v>
      </c>
      <c r="N918" s="2">
        <v>168</v>
      </c>
      <c r="O918" s="2">
        <v>209</v>
      </c>
      <c r="P918" s="2">
        <v>2514</v>
      </c>
      <c r="Q918" s="2">
        <v>23149</v>
      </c>
      <c r="R918" s="13" t="s">
        <v>27</v>
      </c>
      <c r="S918" s="13" t="s">
        <v>27</v>
      </c>
    </row>
    <row r="919" spans="1:19" hidden="1" x14ac:dyDescent="0.3">
      <c r="A919" s="14">
        <v>43928.708333333336</v>
      </c>
      <c r="B919" s="13" t="s">
        <v>23</v>
      </c>
      <c r="C919" s="2">
        <v>20</v>
      </c>
      <c r="D919" s="13" t="s">
        <v>57</v>
      </c>
      <c r="E919" s="2">
        <v>3921531192</v>
      </c>
      <c r="F919" s="2">
        <v>9110616306</v>
      </c>
      <c r="G919" s="2">
        <v>122</v>
      </c>
      <c r="H919" s="2">
        <v>26</v>
      </c>
      <c r="I919" s="2">
        <v>148</v>
      </c>
      <c r="J919" s="2">
        <v>673</v>
      </c>
      <c r="K919" s="2">
        <v>821</v>
      </c>
      <c r="L919" s="2">
        <v>2</v>
      </c>
      <c r="M919" s="2">
        <v>13</v>
      </c>
      <c r="N919" s="2">
        <v>62</v>
      </c>
      <c r="O919" s="2">
        <v>52</v>
      </c>
      <c r="P919" s="2">
        <v>935</v>
      </c>
      <c r="Q919" s="2">
        <v>7680</v>
      </c>
      <c r="R919" s="13" t="s">
        <v>27</v>
      </c>
      <c r="S919" s="13" t="s">
        <v>27</v>
      </c>
    </row>
    <row r="920" spans="1:19" hidden="1" x14ac:dyDescent="0.3">
      <c r="A920" s="14">
        <v>43928.708333333336</v>
      </c>
      <c r="B920" s="13" t="s">
        <v>23</v>
      </c>
      <c r="C920" s="2">
        <v>19</v>
      </c>
      <c r="D920" s="13" t="s">
        <v>58</v>
      </c>
      <c r="E920" s="2">
        <v>3811569725</v>
      </c>
      <c r="F920" s="2">
        <v>133623567</v>
      </c>
      <c r="G920" s="2">
        <v>562</v>
      </c>
      <c r="H920" s="2">
        <v>73</v>
      </c>
      <c r="I920" s="2">
        <v>635</v>
      </c>
      <c r="J920" s="2">
        <v>1224</v>
      </c>
      <c r="K920" s="2">
        <v>1859</v>
      </c>
      <c r="L920" s="2">
        <v>44</v>
      </c>
      <c r="M920" s="2">
        <v>51</v>
      </c>
      <c r="N920" s="2">
        <v>113</v>
      </c>
      <c r="O920" s="2">
        <v>125</v>
      </c>
      <c r="P920" s="2">
        <v>2097</v>
      </c>
      <c r="Q920" s="2">
        <v>24857</v>
      </c>
      <c r="R920" s="13" t="s">
        <v>27</v>
      </c>
      <c r="S920" s="13" t="s">
        <v>27</v>
      </c>
    </row>
    <row r="921" spans="1:19" hidden="1" x14ac:dyDescent="0.3">
      <c r="A921" s="14">
        <v>43928.708333333336</v>
      </c>
      <c r="B921" s="13" t="s">
        <v>23</v>
      </c>
      <c r="C921" s="2">
        <v>9</v>
      </c>
      <c r="D921" s="13" t="s">
        <v>59</v>
      </c>
      <c r="E921" s="2">
        <v>4376923077</v>
      </c>
      <c r="F921" s="2">
        <v>1125588885</v>
      </c>
      <c r="G921" s="2">
        <v>1087</v>
      </c>
      <c r="H921" s="2">
        <v>263</v>
      </c>
      <c r="I921" s="2">
        <v>1350</v>
      </c>
      <c r="J921" s="2">
        <v>4077</v>
      </c>
      <c r="K921" s="2">
        <v>5427</v>
      </c>
      <c r="L921" s="2">
        <v>126</v>
      </c>
      <c r="M921" s="2">
        <v>172</v>
      </c>
      <c r="N921" s="2">
        <v>377</v>
      </c>
      <c r="O921" s="2">
        <v>369</v>
      </c>
      <c r="P921" s="2">
        <v>6173</v>
      </c>
      <c r="Q921" s="2">
        <v>56651</v>
      </c>
      <c r="R921" s="13" t="s">
        <v>27</v>
      </c>
      <c r="S921" s="13" t="s">
        <v>27</v>
      </c>
    </row>
    <row r="922" spans="1:19" hidden="1" x14ac:dyDescent="0.3">
      <c r="A922" s="14">
        <v>43928.708333333336</v>
      </c>
      <c r="B922" s="13" t="s">
        <v>23</v>
      </c>
      <c r="C922" s="2">
        <v>4</v>
      </c>
      <c r="D922" s="13" t="s">
        <v>60</v>
      </c>
      <c r="E922" s="2">
        <v>4606893511</v>
      </c>
      <c r="F922" s="2">
        <v>1112123097</v>
      </c>
      <c r="G922" s="2">
        <v>360</v>
      </c>
      <c r="H922" s="2">
        <v>78</v>
      </c>
      <c r="I922" s="2">
        <v>438</v>
      </c>
      <c r="J922" s="2">
        <v>1452</v>
      </c>
      <c r="K922" s="2">
        <v>1890</v>
      </c>
      <c r="L922" s="2">
        <v>52</v>
      </c>
      <c r="M922" s="2">
        <v>128</v>
      </c>
      <c r="N922" s="2">
        <v>342</v>
      </c>
      <c r="O922" s="2">
        <v>244</v>
      </c>
      <c r="P922" s="2">
        <v>2476</v>
      </c>
      <c r="Q922" s="2">
        <v>12030</v>
      </c>
      <c r="R922" s="13" t="s">
        <v>27</v>
      </c>
      <c r="S922" s="13" t="s">
        <v>27</v>
      </c>
    </row>
    <row r="923" spans="1:19" hidden="1" x14ac:dyDescent="0.3">
      <c r="A923" s="14">
        <v>43928.708333333336</v>
      </c>
      <c r="B923" s="13" t="s">
        <v>23</v>
      </c>
      <c r="C923" s="2">
        <v>10</v>
      </c>
      <c r="D923" s="13" t="s">
        <v>61</v>
      </c>
      <c r="E923" s="2">
        <v>4310675841</v>
      </c>
      <c r="F923" s="2">
        <v>1238824698</v>
      </c>
      <c r="G923" s="2">
        <v>157</v>
      </c>
      <c r="H923" s="2">
        <v>41</v>
      </c>
      <c r="I923" s="2">
        <v>198</v>
      </c>
      <c r="J923" s="2">
        <v>648</v>
      </c>
      <c r="K923" s="2">
        <v>846</v>
      </c>
      <c r="L923" s="2">
        <v>-26</v>
      </c>
      <c r="M923" s="2">
        <v>10</v>
      </c>
      <c r="N923" s="2">
        <v>368</v>
      </c>
      <c r="O923" s="2">
        <v>49</v>
      </c>
      <c r="P923" s="2">
        <v>1263</v>
      </c>
      <c r="Q923" s="2">
        <v>13274</v>
      </c>
      <c r="R923" s="13" t="s">
        <v>27</v>
      </c>
      <c r="S923" s="13" t="s">
        <v>27</v>
      </c>
    </row>
    <row r="924" spans="1:19" hidden="1" x14ac:dyDescent="0.3">
      <c r="A924" s="14">
        <v>43928.708333333336</v>
      </c>
      <c r="B924" s="13" t="s">
        <v>23</v>
      </c>
      <c r="C924" s="2">
        <v>2</v>
      </c>
      <c r="D924" s="13" t="s">
        <v>62</v>
      </c>
      <c r="E924" s="2">
        <v>4573750286</v>
      </c>
      <c r="F924" s="2">
        <v>7320149366</v>
      </c>
      <c r="G924" s="2">
        <v>118</v>
      </c>
      <c r="H924" s="2">
        <v>17</v>
      </c>
      <c r="I924" s="2">
        <v>135</v>
      </c>
      <c r="J924" s="2">
        <v>458</v>
      </c>
      <c r="K924" s="2">
        <v>593</v>
      </c>
      <c r="L924" s="2">
        <v>26</v>
      </c>
      <c r="M924" s="2">
        <v>30</v>
      </c>
      <c r="N924" s="2">
        <v>142</v>
      </c>
      <c r="O924" s="2">
        <v>100</v>
      </c>
      <c r="P924" s="2">
        <v>835</v>
      </c>
      <c r="Q924" s="2">
        <v>2754</v>
      </c>
      <c r="R924" s="13" t="s">
        <v>27</v>
      </c>
      <c r="S924" s="13" t="s">
        <v>27</v>
      </c>
    </row>
    <row r="925" spans="1:19" hidden="1" x14ac:dyDescent="0.3">
      <c r="A925" s="14">
        <v>43928.708333333336</v>
      </c>
      <c r="B925" s="13" t="s">
        <v>23</v>
      </c>
      <c r="C925" s="2">
        <v>5</v>
      </c>
      <c r="D925" s="13" t="s">
        <v>63</v>
      </c>
      <c r="E925" s="2">
        <v>4543490485</v>
      </c>
      <c r="F925" s="2">
        <v>1233845213</v>
      </c>
      <c r="G925" s="2">
        <v>1579</v>
      </c>
      <c r="H925" s="2">
        <v>297</v>
      </c>
      <c r="I925" s="2">
        <v>1876</v>
      </c>
      <c r="J925" s="2">
        <v>8089</v>
      </c>
      <c r="K925" s="2">
        <v>9965</v>
      </c>
      <c r="L925" s="2">
        <v>243</v>
      </c>
      <c r="M925" s="2">
        <v>337</v>
      </c>
      <c r="N925" s="2">
        <v>1265</v>
      </c>
      <c r="O925" s="2">
        <v>695</v>
      </c>
      <c r="P925" s="2">
        <v>11925</v>
      </c>
      <c r="Q925" s="2">
        <v>153542</v>
      </c>
      <c r="R925" s="13" t="s">
        <v>27</v>
      </c>
      <c r="S925" s="13" t="s">
        <v>27</v>
      </c>
    </row>
    <row r="926" spans="1:19" hidden="1" x14ac:dyDescent="0.3">
      <c r="A926" s="14">
        <v>43929.708333333336</v>
      </c>
      <c r="B926" s="13" t="s">
        <v>23</v>
      </c>
      <c r="C926" s="2">
        <v>13</v>
      </c>
      <c r="D926" s="13" t="s">
        <v>44</v>
      </c>
      <c r="E926" s="2">
        <v>4235122196</v>
      </c>
      <c r="F926" s="2">
        <v>1339843823</v>
      </c>
      <c r="G926" s="2">
        <v>331</v>
      </c>
      <c r="H926" s="2">
        <v>62</v>
      </c>
      <c r="I926" s="2">
        <v>393</v>
      </c>
      <c r="J926" s="2">
        <v>1141</v>
      </c>
      <c r="K926" s="2">
        <v>1534</v>
      </c>
      <c r="L926" s="2">
        <v>43</v>
      </c>
      <c r="M926" s="2">
        <v>60</v>
      </c>
      <c r="N926" s="2">
        <v>146</v>
      </c>
      <c r="O926" s="2">
        <v>179</v>
      </c>
      <c r="P926" s="2">
        <v>1859</v>
      </c>
      <c r="Q926" s="2">
        <v>15846</v>
      </c>
      <c r="R926" s="13" t="s">
        <v>27</v>
      </c>
      <c r="S926" s="13" t="s">
        <v>27</v>
      </c>
    </row>
    <row r="927" spans="1:19" hidden="1" x14ac:dyDescent="0.3">
      <c r="A927" s="14">
        <v>43929.708333333336</v>
      </c>
      <c r="B927" s="13" t="s">
        <v>23</v>
      </c>
      <c r="C927" s="2">
        <v>17</v>
      </c>
      <c r="D927" s="13" t="s">
        <v>45</v>
      </c>
      <c r="E927" s="2">
        <v>4063947052</v>
      </c>
      <c r="F927" s="2">
        <v>1580514834</v>
      </c>
      <c r="G927" s="2">
        <v>48</v>
      </c>
      <c r="H927" s="2">
        <v>17</v>
      </c>
      <c r="I927" s="2">
        <v>65</v>
      </c>
      <c r="J927" s="2">
        <v>205</v>
      </c>
      <c r="K927" s="2">
        <v>270</v>
      </c>
      <c r="L927" s="2">
        <v>5</v>
      </c>
      <c r="M927" s="2">
        <v>6</v>
      </c>
      <c r="N927" s="2">
        <v>13</v>
      </c>
      <c r="O927" s="2">
        <v>14</v>
      </c>
      <c r="P927" s="2">
        <v>297</v>
      </c>
      <c r="Q927" s="2">
        <v>3296</v>
      </c>
      <c r="R927" s="13" t="s">
        <v>27</v>
      </c>
      <c r="S927" s="13" t="s">
        <v>27</v>
      </c>
    </row>
    <row r="928" spans="1:19" hidden="1" x14ac:dyDescent="0.3">
      <c r="A928" s="14">
        <v>43929.708333333336</v>
      </c>
      <c r="B928" s="13" t="s">
        <v>23</v>
      </c>
      <c r="C928" s="2">
        <v>4</v>
      </c>
      <c r="D928" s="13" t="s">
        <v>46</v>
      </c>
      <c r="E928" s="2">
        <v>4649933453</v>
      </c>
      <c r="F928" s="2">
        <v>1135662422</v>
      </c>
      <c r="G928" s="2">
        <v>268</v>
      </c>
      <c r="H928" s="2">
        <v>65</v>
      </c>
      <c r="I928" s="2">
        <v>333</v>
      </c>
      <c r="J928" s="2">
        <v>948</v>
      </c>
      <c r="K928" s="2">
        <v>1281</v>
      </c>
      <c r="L928" s="2">
        <v>-20</v>
      </c>
      <c r="M928" s="2">
        <v>24</v>
      </c>
      <c r="N928" s="2">
        <v>371</v>
      </c>
      <c r="O928" s="2">
        <v>183</v>
      </c>
      <c r="P928" s="2">
        <v>1835</v>
      </c>
      <c r="Q928" s="2">
        <v>18865</v>
      </c>
      <c r="R928" s="13" t="s">
        <v>27</v>
      </c>
      <c r="S928" s="13" t="s">
        <v>27</v>
      </c>
    </row>
    <row r="929" spans="1:19" hidden="1" x14ac:dyDescent="0.3">
      <c r="A929" s="14">
        <v>43929.708333333336</v>
      </c>
      <c r="B929" s="13" t="s">
        <v>23</v>
      </c>
      <c r="C929" s="2">
        <v>18</v>
      </c>
      <c r="D929" s="13" t="s">
        <v>47</v>
      </c>
      <c r="E929" s="2">
        <v>3890597598</v>
      </c>
      <c r="F929" s="2">
        <v>1659440194</v>
      </c>
      <c r="G929" s="2">
        <v>170</v>
      </c>
      <c r="H929" s="2">
        <v>15</v>
      </c>
      <c r="I929" s="2">
        <v>185</v>
      </c>
      <c r="J929" s="2">
        <v>570</v>
      </c>
      <c r="K929" s="2">
        <v>755</v>
      </c>
      <c r="L929" s="2">
        <v>22</v>
      </c>
      <c r="M929" s="2">
        <v>26</v>
      </c>
      <c r="N929" s="2">
        <v>44</v>
      </c>
      <c r="O929" s="2">
        <v>60</v>
      </c>
      <c r="P929" s="2">
        <v>859</v>
      </c>
      <c r="Q929" s="2">
        <v>14977</v>
      </c>
      <c r="R929" s="13" t="s">
        <v>27</v>
      </c>
      <c r="S929" s="13" t="s">
        <v>27</v>
      </c>
    </row>
    <row r="930" spans="1:19" hidden="1" x14ac:dyDescent="0.3">
      <c r="A930" s="14">
        <v>43929.708333333336</v>
      </c>
      <c r="B930" s="13" t="s">
        <v>23</v>
      </c>
      <c r="C930" s="2">
        <v>15</v>
      </c>
      <c r="D930" s="13" t="s">
        <v>48</v>
      </c>
      <c r="E930" s="2">
        <v>4083956555</v>
      </c>
      <c r="F930" s="2">
        <v>1425084984</v>
      </c>
      <c r="G930" s="2">
        <v>608</v>
      </c>
      <c r="H930" s="2">
        <v>97</v>
      </c>
      <c r="I930" s="2">
        <v>705</v>
      </c>
      <c r="J930" s="2">
        <v>2154</v>
      </c>
      <c r="K930" s="2">
        <v>2859</v>
      </c>
      <c r="L930" s="2">
        <v>94</v>
      </c>
      <c r="M930" s="2">
        <v>120</v>
      </c>
      <c r="N930" s="2">
        <v>188</v>
      </c>
      <c r="O930" s="2">
        <v>221</v>
      </c>
      <c r="P930" s="2">
        <v>3268</v>
      </c>
      <c r="Q930" s="2">
        <v>27784</v>
      </c>
      <c r="R930" s="13" t="s">
        <v>27</v>
      </c>
      <c r="S930" s="13" t="s">
        <v>27</v>
      </c>
    </row>
    <row r="931" spans="1:19" hidden="1" x14ac:dyDescent="0.3">
      <c r="A931" s="14">
        <v>43929.708333333336</v>
      </c>
      <c r="B931" s="13" t="s">
        <v>23</v>
      </c>
      <c r="C931" s="2">
        <v>8</v>
      </c>
      <c r="D931" s="13" t="s">
        <v>98</v>
      </c>
      <c r="E931" s="2">
        <v>4449436681</v>
      </c>
      <c r="F931" s="2">
        <v>113417208</v>
      </c>
      <c r="G931" s="2">
        <v>3769</v>
      </c>
      <c r="H931" s="2">
        <v>361</v>
      </c>
      <c r="I931" s="2">
        <v>4130</v>
      </c>
      <c r="J931" s="2">
        <v>8980</v>
      </c>
      <c r="K931" s="2">
        <v>13110</v>
      </c>
      <c r="L931" s="2">
        <v>62</v>
      </c>
      <c r="M931" s="2">
        <v>409</v>
      </c>
      <c r="N931" s="2">
        <v>2890</v>
      </c>
      <c r="O931" s="2">
        <v>2234</v>
      </c>
      <c r="P931" s="2">
        <v>18234</v>
      </c>
      <c r="Q931" s="2">
        <v>78367</v>
      </c>
      <c r="R931" s="13" t="s">
        <v>27</v>
      </c>
      <c r="S931" s="13" t="s">
        <v>27</v>
      </c>
    </row>
    <row r="932" spans="1:19" hidden="1" x14ac:dyDescent="0.3">
      <c r="A932" s="14">
        <v>43929.708333333336</v>
      </c>
      <c r="B932" s="13" t="s">
        <v>23</v>
      </c>
      <c r="C932" s="2">
        <v>6</v>
      </c>
      <c r="D932" s="13" t="s">
        <v>49</v>
      </c>
      <c r="E932" s="2">
        <v>456494354</v>
      </c>
      <c r="F932" s="2">
        <v>1376813649</v>
      </c>
      <c r="G932" s="2">
        <v>162</v>
      </c>
      <c r="H932" s="2">
        <v>41</v>
      </c>
      <c r="I932" s="2">
        <v>203</v>
      </c>
      <c r="J932" s="2">
        <v>1212</v>
      </c>
      <c r="K932" s="2">
        <v>1415</v>
      </c>
      <c r="L932" s="2">
        <v>36</v>
      </c>
      <c r="M932" s="2">
        <v>65</v>
      </c>
      <c r="N932" s="2">
        <v>634</v>
      </c>
      <c r="O932" s="2">
        <v>169</v>
      </c>
      <c r="P932" s="2">
        <v>2218</v>
      </c>
      <c r="Q932" s="2">
        <v>24798</v>
      </c>
      <c r="R932" s="13" t="s">
        <v>27</v>
      </c>
      <c r="S932" s="13" t="s">
        <v>27</v>
      </c>
    </row>
    <row r="933" spans="1:19" hidden="1" x14ac:dyDescent="0.3">
      <c r="A933" s="14">
        <v>43929.708333333336</v>
      </c>
      <c r="B933" s="13" t="s">
        <v>23</v>
      </c>
      <c r="C933" s="2">
        <v>12</v>
      </c>
      <c r="D933" s="13" t="s">
        <v>50</v>
      </c>
      <c r="E933" s="2">
        <v>4189277044</v>
      </c>
      <c r="F933" s="2">
        <v>1248366722</v>
      </c>
      <c r="G933" s="2">
        <v>1241</v>
      </c>
      <c r="H933" s="2">
        <v>196</v>
      </c>
      <c r="I933" s="2">
        <v>1437</v>
      </c>
      <c r="J933" s="2">
        <v>2011</v>
      </c>
      <c r="K933" s="2">
        <v>3448</v>
      </c>
      <c r="L933" s="2">
        <v>83</v>
      </c>
      <c r="M933" s="2">
        <v>117</v>
      </c>
      <c r="N933" s="2">
        <v>574</v>
      </c>
      <c r="O933" s="2">
        <v>244</v>
      </c>
      <c r="P933" s="2">
        <v>4266</v>
      </c>
      <c r="Q933" s="2">
        <v>55113</v>
      </c>
      <c r="R933" s="13" t="s">
        <v>27</v>
      </c>
      <c r="S933" s="13" t="s">
        <v>27</v>
      </c>
    </row>
    <row r="934" spans="1:19" hidden="1" x14ac:dyDescent="0.3">
      <c r="A934" s="14">
        <v>43929.708333333336</v>
      </c>
      <c r="B934" s="13" t="s">
        <v>23</v>
      </c>
      <c r="C934" s="2">
        <v>7</v>
      </c>
      <c r="D934" s="13" t="s">
        <v>51</v>
      </c>
      <c r="E934" s="2">
        <v>4441149315</v>
      </c>
      <c r="F934" s="2">
        <v>89326992</v>
      </c>
      <c r="G934" s="2">
        <v>1109</v>
      </c>
      <c r="H934" s="2">
        <v>153</v>
      </c>
      <c r="I934" s="2">
        <v>1262</v>
      </c>
      <c r="J934" s="2">
        <v>1983</v>
      </c>
      <c r="K934" s="2">
        <v>3245</v>
      </c>
      <c r="L934" s="2">
        <v>33</v>
      </c>
      <c r="M934" s="2">
        <v>149</v>
      </c>
      <c r="N934" s="2">
        <v>1007</v>
      </c>
      <c r="O934" s="2">
        <v>654</v>
      </c>
      <c r="P934" s="2">
        <v>4906</v>
      </c>
      <c r="Q934" s="2">
        <v>17521</v>
      </c>
      <c r="R934" s="13" t="s">
        <v>27</v>
      </c>
      <c r="S934" s="13" t="s">
        <v>27</v>
      </c>
    </row>
    <row r="935" spans="1:19" x14ac:dyDescent="0.3">
      <c r="A935" s="14">
        <v>43929.708333333336</v>
      </c>
      <c r="B935" s="13" t="s">
        <v>23</v>
      </c>
      <c r="C935" s="2">
        <v>3</v>
      </c>
      <c r="D935" s="13" t="s">
        <v>52</v>
      </c>
      <c r="E935" s="2">
        <v>4546679409</v>
      </c>
      <c r="F935" s="2">
        <v>9190347404</v>
      </c>
      <c r="G935" s="2">
        <v>11719</v>
      </c>
      <c r="H935" s="2">
        <v>1257</v>
      </c>
      <c r="I935" s="2">
        <v>12976</v>
      </c>
      <c r="J935" s="2">
        <v>15569</v>
      </c>
      <c r="K935" s="2">
        <v>28545</v>
      </c>
      <c r="L935" s="2">
        <v>202</v>
      </c>
      <c r="M935" s="2">
        <v>1089</v>
      </c>
      <c r="N935" s="2">
        <v>15147</v>
      </c>
      <c r="O935" s="2">
        <v>9722</v>
      </c>
      <c r="P935" s="2">
        <v>53414</v>
      </c>
      <c r="Q935" s="2">
        <v>167557</v>
      </c>
      <c r="R935" s="13" t="s">
        <v>27</v>
      </c>
      <c r="S935" s="13" t="s">
        <v>27</v>
      </c>
    </row>
    <row r="936" spans="1:19" hidden="1" x14ac:dyDescent="0.3">
      <c r="A936" s="14">
        <v>43929.708333333336</v>
      </c>
      <c r="B936" s="13" t="s">
        <v>23</v>
      </c>
      <c r="C936" s="2">
        <v>11</v>
      </c>
      <c r="D936" s="13" t="s">
        <v>53</v>
      </c>
      <c r="E936" s="2">
        <v>4361675973</v>
      </c>
      <c r="F936" s="2">
        <v>135188753</v>
      </c>
      <c r="G936" s="2">
        <v>974</v>
      </c>
      <c r="H936" s="2">
        <v>133</v>
      </c>
      <c r="I936" s="2">
        <v>1107</v>
      </c>
      <c r="J936" s="2">
        <v>2455</v>
      </c>
      <c r="K936" s="2">
        <v>3562</v>
      </c>
      <c r="L936" s="2">
        <v>-176</v>
      </c>
      <c r="M936" s="2">
        <v>149</v>
      </c>
      <c r="N936" s="2">
        <v>645</v>
      </c>
      <c r="O936" s="2">
        <v>652</v>
      </c>
      <c r="P936" s="2">
        <v>4859</v>
      </c>
      <c r="Q936" s="2">
        <v>17532</v>
      </c>
      <c r="R936" s="13" t="s">
        <v>27</v>
      </c>
      <c r="S936" s="13" t="s">
        <v>27</v>
      </c>
    </row>
    <row r="937" spans="1:19" hidden="1" x14ac:dyDescent="0.3">
      <c r="A937" s="14">
        <v>43929.708333333336</v>
      </c>
      <c r="B937" s="13" t="s">
        <v>23</v>
      </c>
      <c r="C937" s="2">
        <v>14</v>
      </c>
      <c r="D937" s="13" t="s">
        <v>54</v>
      </c>
      <c r="E937" s="2">
        <v>4155774754</v>
      </c>
      <c r="F937" s="2">
        <v>1465916051</v>
      </c>
      <c r="G937" s="2">
        <v>30</v>
      </c>
      <c r="H937" s="2">
        <v>4</v>
      </c>
      <c r="I937" s="2">
        <v>34</v>
      </c>
      <c r="J937" s="2">
        <v>147</v>
      </c>
      <c r="K937" s="2">
        <v>181</v>
      </c>
      <c r="L937" s="2">
        <v>-4</v>
      </c>
      <c r="M937" s="2">
        <v>2</v>
      </c>
      <c r="N937" s="2">
        <v>32</v>
      </c>
      <c r="O937" s="2">
        <v>13</v>
      </c>
      <c r="P937" s="2">
        <v>226</v>
      </c>
      <c r="Q937" s="2">
        <v>2002</v>
      </c>
      <c r="R937" s="13" t="s">
        <v>27</v>
      </c>
      <c r="S937" s="13" t="s">
        <v>27</v>
      </c>
    </row>
    <row r="938" spans="1:19" hidden="1" x14ac:dyDescent="0.3">
      <c r="A938" s="14">
        <v>43929.708333333336</v>
      </c>
      <c r="B938" s="13" t="s">
        <v>23</v>
      </c>
      <c r="C938" s="2">
        <v>1</v>
      </c>
      <c r="D938" s="13" t="s">
        <v>55</v>
      </c>
      <c r="E938" s="2">
        <v>450732745</v>
      </c>
      <c r="F938" s="2">
        <v>7680687483</v>
      </c>
      <c r="G938" s="2">
        <v>3493</v>
      </c>
      <c r="H938" s="2">
        <v>423</v>
      </c>
      <c r="I938" s="2">
        <v>3916</v>
      </c>
      <c r="J938" s="2">
        <v>7073</v>
      </c>
      <c r="K938" s="2">
        <v>10989</v>
      </c>
      <c r="L938" s="2">
        <v>285</v>
      </c>
      <c r="M938" s="2">
        <v>540</v>
      </c>
      <c r="N938" s="2">
        <v>1516</v>
      </c>
      <c r="O938" s="2">
        <v>1378</v>
      </c>
      <c r="P938" s="2">
        <v>13883</v>
      </c>
      <c r="Q938" s="2">
        <v>48495</v>
      </c>
      <c r="R938" s="13" t="s">
        <v>27</v>
      </c>
      <c r="S938" s="13" t="s">
        <v>27</v>
      </c>
    </row>
    <row r="939" spans="1:19" hidden="1" x14ac:dyDescent="0.3">
      <c r="A939" s="14">
        <v>43929.708333333336</v>
      </c>
      <c r="B939" s="13" t="s">
        <v>23</v>
      </c>
      <c r="C939" s="2">
        <v>16</v>
      </c>
      <c r="D939" s="13" t="s">
        <v>56</v>
      </c>
      <c r="E939" s="2">
        <v>4112559576</v>
      </c>
      <c r="F939" s="2">
        <v>1686736689</v>
      </c>
      <c r="G939" s="2">
        <v>639</v>
      </c>
      <c r="H939" s="2">
        <v>90</v>
      </c>
      <c r="I939" s="2">
        <v>729</v>
      </c>
      <c r="J939" s="2">
        <v>1509</v>
      </c>
      <c r="K939" s="2">
        <v>2238</v>
      </c>
      <c r="L939" s="2">
        <v>101</v>
      </c>
      <c r="M939" s="2">
        <v>120</v>
      </c>
      <c r="N939" s="2">
        <v>177</v>
      </c>
      <c r="O939" s="2">
        <v>219</v>
      </c>
      <c r="P939" s="2">
        <v>2634</v>
      </c>
      <c r="Q939" s="2">
        <v>24493</v>
      </c>
      <c r="R939" s="13" t="s">
        <v>27</v>
      </c>
      <c r="S939" s="13" t="s">
        <v>27</v>
      </c>
    </row>
    <row r="940" spans="1:19" hidden="1" x14ac:dyDescent="0.3">
      <c r="A940" s="14">
        <v>43929.708333333336</v>
      </c>
      <c r="B940" s="13" t="s">
        <v>23</v>
      </c>
      <c r="C940" s="2">
        <v>20</v>
      </c>
      <c r="D940" s="13" t="s">
        <v>57</v>
      </c>
      <c r="E940" s="2">
        <v>3921531192</v>
      </c>
      <c r="F940" s="2">
        <v>9110616306</v>
      </c>
      <c r="G940" s="2">
        <v>112</v>
      </c>
      <c r="H940" s="2">
        <v>31</v>
      </c>
      <c r="I940" s="2">
        <v>143</v>
      </c>
      <c r="J940" s="2">
        <v>697</v>
      </c>
      <c r="K940" s="2">
        <v>840</v>
      </c>
      <c r="L940" s="2">
        <v>19</v>
      </c>
      <c r="M940" s="2">
        <v>40</v>
      </c>
      <c r="N940" s="2">
        <v>76</v>
      </c>
      <c r="O940" s="2">
        <v>59</v>
      </c>
      <c r="P940" s="2">
        <v>975</v>
      </c>
      <c r="Q940" s="2">
        <v>8493</v>
      </c>
      <c r="R940" s="13" t="s">
        <v>27</v>
      </c>
      <c r="S940" s="13" t="s">
        <v>27</v>
      </c>
    </row>
    <row r="941" spans="1:19" hidden="1" x14ac:dyDescent="0.3">
      <c r="A941" s="14">
        <v>43929.708333333336</v>
      </c>
      <c r="B941" s="13" t="s">
        <v>23</v>
      </c>
      <c r="C941" s="2">
        <v>19</v>
      </c>
      <c r="D941" s="13" t="s">
        <v>58</v>
      </c>
      <c r="E941" s="2">
        <v>3811569725</v>
      </c>
      <c r="F941" s="2">
        <v>133623567</v>
      </c>
      <c r="G941" s="2">
        <v>563</v>
      </c>
      <c r="H941" s="2">
        <v>65</v>
      </c>
      <c r="I941" s="2">
        <v>628</v>
      </c>
      <c r="J941" s="2">
        <v>1265</v>
      </c>
      <c r="K941" s="2">
        <v>1893</v>
      </c>
      <c r="L941" s="2">
        <v>34</v>
      </c>
      <c r="M941" s="2">
        <v>62</v>
      </c>
      <c r="N941" s="2">
        <v>133</v>
      </c>
      <c r="O941" s="2">
        <v>133</v>
      </c>
      <c r="P941" s="2">
        <v>2159</v>
      </c>
      <c r="Q941" s="2">
        <v>27438</v>
      </c>
      <c r="R941" s="13" t="s">
        <v>27</v>
      </c>
      <c r="S941" s="13" t="s">
        <v>27</v>
      </c>
    </row>
    <row r="942" spans="1:19" hidden="1" x14ac:dyDescent="0.3">
      <c r="A942" s="14">
        <v>43929.708333333336</v>
      </c>
      <c r="B942" s="13" t="s">
        <v>23</v>
      </c>
      <c r="C942" s="2">
        <v>9</v>
      </c>
      <c r="D942" s="13" t="s">
        <v>59</v>
      </c>
      <c r="E942" s="2">
        <v>4376923077</v>
      </c>
      <c r="F942" s="2">
        <v>1125588885</v>
      </c>
      <c r="G942" s="2">
        <v>1066</v>
      </c>
      <c r="H942" s="2">
        <v>260</v>
      </c>
      <c r="I942" s="2">
        <v>1326</v>
      </c>
      <c r="J942" s="2">
        <v>4231</v>
      </c>
      <c r="K942" s="2">
        <v>5557</v>
      </c>
      <c r="L942" s="2">
        <v>130</v>
      </c>
      <c r="M942" s="2">
        <v>206</v>
      </c>
      <c r="N942" s="2">
        <v>430</v>
      </c>
      <c r="O942" s="2">
        <v>392</v>
      </c>
      <c r="P942" s="2">
        <v>6379</v>
      </c>
      <c r="Q942" s="2">
        <v>60985</v>
      </c>
      <c r="R942" s="13" t="s">
        <v>27</v>
      </c>
      <c r="S942" s="13" t="s">
        <v>27</v>
      </c>
    </row>
    <row r="943" spans="1:19" hidden="1" x14ac:dyDescent="0.3">
      <c r="A943" s="14">
        <v>43929.708333333336</v>
      </c>
      <c r="B943" s="13" t="s">
        <v>23</v>
      </c>
      <c r="C943" s="2">
        <v>4</v>
      </c>
      <c r="D943" s="13" t="s">
        <v>60</v>
      </c>
      <c r="E943" s="2">
        <v>4606893511</v>
      </c>
      <c r="F943" s="2">
        <v>1112123097</v>
      </c>
      <c r="G943" s="2">
        <v>354</v>
      </c>
      <c r="H943" s="2">
        <v>77</v>
      </c>
      <c r="I943" s="2">
        <v>431</v>
      </c>
      <c r="J943" s="2">
        <v>1509</v>
      </c>
      <c r="K943" s="2">
        <v>1940</v>
      </c>
      <c r="L943" s="2">
        <v>50</v>
      </c>
      <c r="M943" s="2">
        <v>126</v>
      </c>
      <c r="N943" s="2">
        <v>407</v>
      </c>
      <c r="O943" s="2">
        <v>255</v>
      </c>
      <c r="P943" s="2">
        <v>2602</v>
      </c>
      <c r="Q943" s="2">
        <v>13258</v>
      </c>
      <c r="R943" s="13" t="s">
        <v>27</v>
      </c>
      <c r="S943" s="13" t="s">
        <v>27</v>
      </c>
    </row>
    <row r="944" spans="1:19" hidden="1" x14ac:dyDescent="0.3">
      <c r="A944" s="14">
        <v>43929.708333333336</v>
      </c>
      <c r="B944" s="13" t="s">
        <v>23</v>
      </c>
      <c r="C944" s="2">
        <v>10</v>
      </c>
      <c r="D944" s="13" t="s">
        <v>61</v>
      </c>
      <c r="E944" s="2">
        <v>4310675841</v>
      </c>
      <c r="F944" s="2">
        <v>1238824698</v>
      </c>
      <c r="G944" s="2">
        <v>155</v>
      </c>
      <c r="H944" s="2">
        <v>41</v>
      </c>
      <c r="I944" s="2">
        <v>196</v>
      </c>
      <c r="J944" s="2">
        <v>627</v>
      </c>
      <c r="K944" s="2">
        <v>823</v>
      </c>
      <c r="L944" s="2">
        <v>-23</v>
      </c>
      <c r="M944" s="2">
        <v>26</v>
      </c>
      <c r="N944" s="2">
        <v>416</v>
      </c>
      <c r="O944" s="2">
        <v>50</v>
      </c>
      <c r="P944" s="2">
        <v>1289</v>
      </c>
      <c r="Q944" s="2">
        <v>14105</v>
      </c>
      <c r="R944" s="13" t="s">
        <v>27</v>
      </c>
      <c r="S944" s="13" t="s">
        <v>27</v>
      </c>
    </row>
    <row r="945" spans="1:19" hidden="1" x14ac:dyDescent="0.3">
      <c r="A945" s="14">
        <v>43929.708333333336</v>
      </c>
      <c r="B945" s="13" t="s">
        <v>23</v>
      </c>
      <c r="C945" s="2">
        <v>2</v>
      </c>
      <c r="D945" s="13" t="s">
        <v>62</v>
      </c>
      <c r="E945" s="2">
        <v>4573750286</v>
      </c>
      <c r="F945" s="2">
        <v>7320149366</v>
      </c>
      <c r="G945" s="2">
        <v>120</v>
      </c>
      <c r="H945" s="2">
        <v>20</v>
      </c>
      <c r="I945" s="2">
        <v>140</v>
      </c>
      <c r="J945" s="2">
        <v>466</v>
      </c>
      <c r="K945" s="2">
        <v>606</v>
      </c>
      <c r="L945" s="2">
        <v>13</v>
      </c>
      <c r="M945" s="2">
        <v>15</v>
      </c>
      <c r="N945" s="2">
        <v>142</v>
      </c>
      <c r="O945" s="2">
        <v>102</v>
      </c>
      <c r="P945" s="2">
        <v>850</v>
      </c>
      <c r="Q945" s="2">
        <v>2953</v>
      </c>
      <c r="R945" s="13" t="s">
        <v>27</v>
      </c>
      <c r="S945" s="13" t="s">
        <v>27</v>
      </c>
    </row>
    <row r="946" spans="1:19" hidden="1" x14ac:dyDescent="0.3">
      <c r="A946" s="14">
        <v>43929.708333333336</v>
      </c>
      <c r="B946" s="13" t="s">
        <v>23</v>
      </c>
      <c r="C946" s="2">
        <v>5</v>
      </c>
      <c r="D946" s="13" t="s">
        <v>63</v>
      </c>
      <c r="E946" s="2">
        <v>4543490485</v>
      </c>
      <c r="F946" s="2">
        <v>1233845213</v>
      </c>
      <c r="G946" s="2">
        <v>1554</v>
      </c>
      <c r="H946" s="2">
        <v>285</v>
      </c>
      <c r="I946" s="2">
        <v>1839</v>
      </c>
      <c r="J946" s="2">
        <v>8332</v>
      </c>
      <c r="K946" s="2">
        <v>10171</v>
      </c>
      <c r="L946" s="2">
        <v>206</v>
      </c>
      <c r="M946" s="2">
        <v>485</v>
      </c>
      <c r="N946" s="2">
        <v>1503</v>
      </c>
      <c r="O946" s="2">
        <v>736</v>
      </c>
      <c r="P946" s="2">
        <v>12410</v>
      </c>
      <c r="Q946" s="2">
        <v>163247</v>
      </c>
      <c r="R946" s="13" t="s">
        <v>27</v>
      </c>
      <c r="S946" s="13" t="s">
        <v>27</v>
      </c>
    </row>
    <row r="947" spans="1:19" hidden="1" x14ac:dyDescent="0.3">
      <c r="A947" s="14">
        <v>43930.708333333336</v>
      </c>
      <c r="B947" s="13" t="s">
        <v>23</v>
      </c>
      <c r="C947" s="2">
        <v>13</v>
      </c>
      <c r="D947" s="13" t="s">
        <v>44</v>
      </c>
      <c r="E947" s="2">
        <v>4235122196</v>
      </c>
      <c r="F947" s="2">
        <v>1339843823</v>
      </c>
      <c r="G947" s="2">
        <v>306</v>
      </c>
      <c r="H947" s="2">
        <v>57</v>
      </c>
      <c r="I947" s="2">
        <v>363</v>
      </c>
      <c r="J947" s="2">
        <v>1203</v>
      </c>
      <c r="K947" s="2">
        <v>1566</v>
      </c>
      <c r="L947" s="2">
        <v>32</v>
      </c>
      <c r="M947" s="2">
        <v>72</v>
      </c>
      <c r="N947" s="2">
        <v>171</v>
      </c>
      <c r="O947" s="2">
        <v>194</v>
      </c>
      <c r="P947" s="2">
        <v>1931</v>
      </c>
      <c r="Q947" s="2">
        <v>16847</v>
      </c>
      <c r="R947" s="13" t="s">
        <v>27</v>
      </c>
      <c r="S947" s="13" t="s">
        <v>27</v>
      </c>
    </row>
    <row r="948" spans="1:19" hidden="1" x14ac:dyDescent="0.3">
      <c r="A948" s="14">
        <v>43930.708333333336</v>
      </c>
      <c r="B948" s="13" t="s">
        <v>23</v>
      </c>
      <c r="C948" s="2">
        <v>17</v>
      </c>
      <c r="D948" s="13" t="s">
        <v>45</v>
      </c>
      <c r="E948" s="2">
        <v>4063947052</v>
      </c>
      <c r="F948" s="2">
        <v>1580514834</v>
      </c>
      <c r="G948" s="2">
        <v>50</v>
      </c>
      <c r="H948" s="2">
        <v>17</v>
      </c>
      <c r="I948" s="2">
        <v>67</v>
      </c>
      <c r="J948" s="2">
        <v>208</v>
      </c>
      <c r="K948" s="2">
        <v>275</v>
      </c>
      <c r="L948" s="2">
        <v>5</v>
      </c>
      <c r="M948" s="2">
        <v>6</v>
      </c>
      <c r="N948" s="2">
        <v>13</v>
      </c>
      <c r="O948" s="2">
        <v>15</v>
      </c>
      <c r="P948" s="2">
        <v>303</v>
      </c>
      <c r="Q948" s="2">
        <v>3474</v>
      </c>
      <c r="R948" s="13" t="s">
        <v>27</v>
      </c>
      <c r="S948" s="13" t="s">
        <v>27</v>
      </c>
    </row>
    <row r="949" spans="1:19" hidden="1" x14ac:dyDescent="0.3">
      <c r="A949" s="14">
        <v>43930.708333333336</v>
      </c>
      <c r="B949" s="13" t="s">
        <v>23</v>
      </c>
      <c r="C949" s="2">
        <v>4</v>
      </c>
      <c r="D949" s="13" t="s">
        <v>46</v>
      </c>
      <c r="E949" s="2">
        <v>4649933453</v>
      </c>
      <c r="F949" s="2">
        <v>1135662422</v>
      </c>
      <c r="G949" s="2">
        <v>263</v>
      </c>
      <c r="H949" s="2">
        <v>64</v>
      </c>
      <c r="I949" s="2">
        <v>327</v>
      </c>
      <c r="J949" s="2">
        <v>988</v>
      </c>
      <c r="K949" s="2">
        <v>1315</v>
      </c>
      <c r="L949" s="2">
        <v>34</v>
      </c>
      <c r="M949" s="2">
        <v>68</v>
      </c>
      <c r="N949" s="2">
        <v>401</v>
      </c>
      <c r="O949" s="2">
        <v>187</v>
      </c>
      <c r="P949" s="2">
        <v>1903</v>
      </c>
      <c r="Q949" s="2">
        <v>19875</v>
      </c>
      <c r="R949" s="13" t="s">
        <v>27</v>
      </c>
      <c r="S949" s="13" t="s">
        <v>27</v>
      </c>
    </row>
    <row r="950" spans="1:19" hidden="1" x14ac:dyDescent="0.3">
      <c r="A950" s="14">
        <v>43930.708333333336</v>
      </c>
      <c r="B950" s="13" t="s">
        <v>23</v>
      </c>
      <c r="C950" s="2">
        <v>18</v>
      </c>
      <c r="D950" s="13" t="s">
        <v>47</v>
      </c>
      <c r="E950" s="2">
        <v>3890597598</v>
      </c>
      <c r="F950" s="2">
        <v>1659440194</v>
      </c>
      <c r="G950" s="2">
        <v>168</v>
      </c>
      <c r="H950" s="2">
        <v>15</v>
      </c>
      <c r="I950" s="2">
        <v>183</v>
      </c>
      <c r="J950" s="2">
        <v>582</v>
      </c>
      <c r="K950" s="2">
        <v>765</v>
      </c>
      <c r="L950" s="2">
        <v>10</v>
      </c>
      <c r="M950" s="2">
        <v>15</v>
      </c>
      <c r="N950" s="2">
        <v>48</v>
      </c>
      <c r="O950" s="2">
        <v>61</v>
      </c>
      <c r="P950" s="2">
        <v>874</v>
      </c>
      <c r="Q950" s="2">
        <v>15698</v>
      </c>
      <c r="R950" s="13" t="s">
        <v>27</v>
      </c>
      <c r="S950" s="13" t="s">
        <v>27</v>
      </c>
    </row>
    <row r="951" spans="1:19" hidden="1" x14ac:dyDescent="0.3">
      <c r="A951" s="14">
        <v>43930.708333333336</v>
      </c>
      <c r="B951" s="13" t="s">
        <v>23</v>
      </c>
      <c r="C951" s="2">
        <v>15</v>
      </c>
      <c r="D951" s="13" t="s">
        <v>48</v>
      </c>
      <c r="E951" s="2">
        <v>4083956555</v>
      </c>
      <c r="F951" s="2">
        <v>1425084984</v>
      </c>
      <c r="G951" s="2">
        <v>604</v>
      </c>
      <c r="H951" s="2">
        <v>94</v>
      </c>
      <c r="I951" s="2">
        <v>698</v>
      </c>
      <c r="J951" s="2">
        <v>2175</v>
      </c>
      <c r="K951" s="2">
        <v>2873</v>
      </c>
      <c r="L951" s="2">
        <v>14</v>
      </c>
      <c r="M951" s="2">
        <v>76</v>
      </c>
      <c r="N951" s="2">
        <v>244</v>
      </c>
      <c r="O951" s="2">
        <v>227</v>
      </c>
      <c r="P951" s="2">
        <v>3344</v>
      </c>
      <c r="Q951" s="2">
        <v>29664</v>
      </c>
      <c r="R951" s="13" t="s">
        <v>27</v>
      </c>
      <c r="S951" s="13" t="s">
        <v>27</v>
      </c>
    </row>
    <row r="952" spans="1:19" hidden="1" x14ac:dyDescent="0.3">
      <c r="A952" s="14">
        <v>43930.708333333336</v>
      </c>
      <c r="B952" s="13" t="s">
        <v>23</v>
      </c>
      <c r="C952" s="2">
        <v>8</v>
      </c>
      <c r="D952" s="13" t="s">
        <v>98</v>
      </c>
      <c r="E952" s="2">
        <v>4449436681</v>
      </c>
      <c r="F952" s="2">
        <v>113417208</v>
      </c>
      <c r="G952" s="2">
        <v>3722</v>
      </c>
      <c r="H952" s="2">
        <v>355</v>
      </c>
      <c r="I952" s="2">
        <v>4077</v>
      </c>
      <c r="J952" s="2">
        <v>9181</v>
      </c>
      <c r="K952" s="2">
        <v>13258</v>
      </c>
      <c r="L952" s="2">
        <v>148</v>
      </c>
      <c r="M952" s="2">
        <v>443</v>
      </c>
      <c r="N952" s="2">
        <v>3103</v>
      </c>
      <c r="O952" s="2">
        <v>2316</v>
      </c>
      <c r="P952" s="2">
        <v>18677</v>
      </c>
      <c r="Q952" s="2">
        <v>81715</v>
      </c>
      <c r="R952" s="13" t="s">
        <v>27</v>
      </c>
      <c r="S952" s="13" t="s">
        <v>27</v>
      </c>
    </row>
    <row r="953" spans="1:19" hidden="1" x14ac:dyDescent="0.3">
      <c r="A953" s="14">
        <v>43930.708333333336</v>
      </c>
      <c r="B953" s="13" t="s">
        <v>23</v>
      </c>
      <c r="C953" s="2">
        <v>6</v>
      </c>
      <c r="D953" s="13" t="s">
        <v>49</v>
      </c>
      <c r="E953" s="2">
        <v>456494354</v>
      </c>
      <c r="F953" s="2">
        <v>1376813649</v>
      </c>
      <c r="G953" s="2">
        <v>167</v>
      </c>
      <c r="H953" s="2">
        <v>37</v>
      </c>
      <c r="I953" s="2">
        <v>204</v>
      </c>
      <c r="J953" s="2">
        <v>1186</v>
      </c>
      <c r="K953" s="2">
        <v>1390</v>
      </c>
      <c r="L953" s="2">
        <v>-25</v>
      </c>
      <c r="M953" s="2">
        <v>81</v>
      </c>
      <c r="N953" s="2">
        <v>738</v>
      </c>
      <c r="O953" s="2">
        <v>171</v>
      </c>
      <c r="P953" s="2">
        <v>2299</v>
      </c>
      <c r="Q953" s="2">
        <v>26205</v>
      </c>
      <c r="R953" s="13" t="s">
        <v>27</v>
      </c>
      <c r="S953" s="13" t="s">
        <v>27</v>
      </c>
    </row>
    <row r="954" spans="1:19" hidden="1" x14ac:dyDescent="0.3">
      <c r="A954" s="14">
        <v>43930.708333333336</v>
      </c>
      <c r="B954" s="13" t="s">
        <v>23</v>
      </c>
      <c r="C954" s="2">
        <v>12</v>
      </c>
      <c r="D954" s="13" t="s">
        <v>50</v>
      </c>
      <c r="E954" s="2">
        <v>4189277044</v>
      </c>
      <c r="F954" s="2">
        <v>1248366722</v>
      </c>
      <c r="G954" s="2">
        <v>1244</v>
      </c>
      <c r="H954" s="2">
        <v>198</v>
      </c>
      <c r="I954" s="2">
        <v>1442</v>
      </c>
      <c r="J954" s="2">
        <v>2090</v>
      </c>
      <c r="K954" s="2">
        <v>3532</v>
      </c>
      <c r="L954" s="2">
        <v>84</v>
      </c>
      <c r="M954" s="2">
        <v>163</v>
      </c>
      <c r="N954" s="2">
        <v>644</v>
      </c>
      <c r="O954" s="2">
        <v>253</v>
      </c>
      <c r="P954" s="2">
        <v>4429</v>
      </c>
      <c r="Q954" s="2">
        <v>58107</v>
      </c>
      <c r="R954" s="13" t="s">
        <v>27</v>
      </c>
      <c r="S954" s="13" t="s">
        <v>27</v>
      </c>
    </row>
    <row r="955" spans="1:19" hidden="1" x14ac:dyDescent="0.3">
      <c r="A955" s="14">
        <v>43930.708333333336</v>
      </c>
      <c r="B955" s="13" t="s">
        <v>23</v>
      </c>
      <c r="C955" s="2">
        <v>7</v>
      </c>
      <c r="D955" s="13" t="s">
        <v>51</v>
      </c>
      <c r="E955" s="2">
        <v>4441149315</v>
      </c>
      <c r="F955" s="2">
        <v>89326992</v>
      </c>
      <c r="G955" s="2">
        <v>1103</v>
      </c>
      <c r="H955" s="2">
        <v>154</v>
      </c>
      <c r="I955" s="2">
        <v>1257</v>
      </c>
      <c r="J955" s="2">
        <v>1996</v>
      </c>
      <c r="K955" s="2">
        <v>3253</v>
      </c>
      <c r="L955" s="2">
        <v>8</v>
      </c>
      <c r="M955" s="2">
        <v>114</v>
      </c>
      <c r="N955" s="2">
        <v>1085</v>
      </c>
      <c r="O955" s="2">
        <v>682</v>
      </c>
      <c r="P955" s="2">
        <v>5020</v>
      </c>
      <c r="Q955" s="2">
        <v>18446</v>
      </c>
      <c r="R955" s="13" t="s">
        <v>27</v>
      </c>
      <c r="S955" s="13" t="s">
        <v>27</v>
      </c>
    </row>
    <row r="956" spans="1:19" x14ac:dyDescent="0.3">
      <c r="A956" s="14">
        <v>43930.708333333336</v>
      </c>
      <c r="B956" s="13" t="s">
        <v>23</v>
      </c>
      <c r="C956" s="2">
        <v>3</v>
      </c>
      <c r="D956" s="13" t="s">
        <v>52</v>
      </c>
      <c r="E956" s="2">
        <v>4546679409</v>
      </c>
      <c r="F956" s="2">
        <v>9190347404</v>
      </c>
      <c r="G956" s="2">
        <v>11796</v>
      </c>
      <c r="H956" s="2">
        <v>1236</v>
      </c>
      <c r="I956" s="2">
        <v>13032</v>
      </c>
      <c r="J956" s="2">
        <v>16042</v>
      </c>
      <c r="K956" s="2">
        <v>29074</v>
      </c>
      <c r="L956" s="2">
        <v>529</v>
      </c>
      <c r="M956" s="2">
        <v>1388</v>
      </c>
      <c r="N956" s="2">
        <v>15706</v>
      </c>
      <c r="O956" s="2">
        <v>10022</v>
      </c>
      <c r="P956" s="2">
        <v>54802</v>
      </c>
      <c r="Q956" s="2">
        <v>176953</v>
      </c>
      <c r="R956" s="13" t="s">
        <v>27</v>
      </c>
      <c r="S956" s="13" t="s">
        <v>27</v>
      </c>
    </row>
    <row r="957" spans="1:19" hidden="1" x14ac:dyDescent="0.3">
      <c r="A957" s="14">
        <v>43930.708333333336</v>
      </c>
      <c r="B957" s="13" t="s">
        <v>23</v>
      </c>
      <c r="C957" s="2">
        <v>11</v>
      </c>
      <c r="D957" s="13" t="s">
        <v>53</v>
      </c>
      <c r="E957" s="2">
        <v>4361675973</v>
      </c>
      <c r="F957" s="2">
        <v>135188753</v>
      </c>
      <c r="G957" s="2">
        <v>945</v>
      </c>
      <c r="H957" s="2">
        <v>133</v>
      </c>
      <c r="I957" s="2">
        <v>1078</v>
      </c>
      <c r="J957" s="2">
        <v>2323</v>
      </c>
      <c r="K957" s="2">
        <v>3401</v>
      </c>
      <c r="L957" s="2">
        <v>-161</v>
      </c>
      <c r="M957" s="2">
        <v>96</v>
      </c>
      <c r="N957" s="2">
        <v>885</v>
      </c>
      <c r="O957" s="2">
        <v>669</v>
      </c>
      <c r="P957" s="2">
        <v>4955</v>
      </c>
      <c r="Q957" s="2">
        <v>18194</v>
      </c>
      <c r="R957" s="13" t="s">
        <v>27</v>
      </c>
      <c r="S957" s="13" t="s">
        <v>27</v>
      </c>
    </row>
    <row r="958" spans="1:19" hidden="1" x14ac:dyDescent="0.3">
      <c r="A958" s="14">
        <v>43930.708333333336</v>
      </c>
      <c r="B958" s="13" t="s">
        <v>23</v>
      </c>
      <c r="C958" s="2">
        <v>14</v>
      </c>
      <c r="D958" s="13" t="s">
        <v>54</v>
      </c>
      <c r="E958" s="2">
        <v>4155774754</v>
      </c>
      <c r="F958" s="2">
        <v>1465916051</v>
      </c>
      <c r="G958" s="2">
        <v>30</v>
      </c>
      <c r="H958" s="2">
        <v>4</v>
      </c>
      <c r="I958" s="2">
        <v>34</v>
      </c>
      <c r="J958" s="2">
        <v>155</v>
      </c>
      <c r="K958" s="2">
        <v>189</v>
      </c>
      <c r="L958" s="2">
        <v>8</v>
      </c>
      <c r="M958" s="2">
        <v>8</v>
      </c>
      <c r="N958" s="2">
        <v>32</v>
      </c>
      <c r="O958" s="2">
        <v>13</v>
      </c>
      <c r="P958" s="2">
        <v>234</v>
      </c>
      <c r="Q958" s="2">
        <v>2069</v>
      </c>
      <c r="R958" s="13" t="s">
        <v>27</v>
      </c>
      <c r="S958" s="13" t="s">
        <v>27</v>
      </c>
    </row>
    <row r="959" spans="1:19" hidden="1" x14ac:dyDescent="0.3">
      <c r="A959" s="14">
        <v>43930.708333333336</v>
      </c>
      <c r="B959" s="13" t="s">
        <v>23</v>
      </c>
      <c r="C959" s="2">
        <v>1</v>
      </c>
      <c r="D959" s="13" t="s">
        <v>55</v>
      </c>
      <c r="E959" s="2">
        <v>450732745</v>
      </c>
      <c r="F959" s="2">
        <v>7680687483</v>
      </c>
      <c r="G959" s="2">
        <v>3514</v>
      </c>
      <c r="H959" s="2">
        <v>412</v>
      </c>
      <c r="I959" s="2">
        <v>3926</v>
      </c>
      <c r="J959" s="2">
        <v>7410</v>
      </c>
      <c r="K959" s="2">
        <v>11336</v>
      </c>
      <c r="L959" s="2">
        <v>347</v>
      </c>
      <c r="M959" s="2">
        <v>639</v>
      </c>
      <c r="N959" s="2">
        <v>1732</v>
      </c>
      <c r="O959" s="2">
        <v>1454</v>
      </c>
      <c r="P959" s="2">
        <v>14522</v>
      </c>
      <c r="Q959" s="2">
        <v>52807</v>
      </c>
      <c r="R959" s="13" t="s">
        <v>27</v>
      </c>
      <c r="S959" s="13" t="s">
        <v>27</v>
      </c>
    </row>
    <row r="960" spans="1:19" hidden="1" x14ac:dyDescent="0.3">
      <c r="A960" s="14">
        <v>43930.708333333336</v>
      </c>
      <c r="B960" s="13" t="s">
        <v>23</v>
      </c>
      <c r="C960" s="2">
        <v>16</v>
      </c>
      <c r="D960" s="13" t="s">
        <v>56</v>
      </c>
      <c r="E960" s="2">
        <v>4112559576</v>
      </c>
      <c r="F960" s="2">
        <v>1686736689</v>
      </c>
      <c r="G960" s="2">
        <v>630</v>
      </c>
      <c r="H960" s="2">
        <v>86</v>
      </c>
      <c r="I960" s="2">
        <v>716</v>
      </c>
      <c r="J960" s="2">
        <v>1585</v>
      </c>
      <c r="K960" s="2">
        <v>2301</v>
      </c>
      <c r="L960" s="2">
        <v>63</v>
      </c>
      <c r="M960" s="2">
        <v>82</v>
      </c>
      <c r="N960" s="2">
        <v>190</v>
      </c>
      <c r="O960" s="2">
        <v>225</v>
      </c>
      <c r="P960" s="2">
        <v>2716</v>
      </c>
      <c r="Q960" s="2">
        <v>26088</v>
      </c>
      <c r="R960" s="13" t="s">
        <v>27</v>
      </c>
      <c r="S960" s="13" t="s">
        <v>27</v>
      </c>
    </row>
    <row r="961" spans="1:19" hidden="1" x14ac:dyDescent="0.3">
      <c r="A961" s="14">
        <v>43930.708333333336</v>
      </c>
      <c r="B961" s="13" t="s">
        <v>23</v>
      </c>
      <c r="C961" s="2">
        <v>20</v>
      </c>
      <c r="D961" s="13" t="s">
        <v>57</v>
      </c>
      <c r="E961" s="2">
        <v>3921531192</v>
      </c>
      <c r="F961" s="2">
        <v>9110616306</v>
      </c>
      <c r="G961" s="2">
        <v>106</v>
      </c>
      <c r="H961" s="2">
        <v>25</v>
      </c>
      <c r="I961" s="2">
        <v>131</v>
      </c>
      <c r="J961" s="2">
        <v>745</v>
      </c>
      <c r="K961" s="2">
        <v>876</v>
      </c>
      <c r="L961" s="2">
        <v>36</v>
      </c>
      <c r="M961" s="2">
        <v>51</v>
      </c>
      <c r="N961" s="2">
        <v>86</v>
      </c>
      <c r="O961" s="2">
        <v>64</v>
      </c>
      <c r="P961" s="2">
        <v>1026</v>
      </c>
      <c r="Q961" s="2">
        <v>8918</v>
      </c>
      <c r="R961" s="13" t="s">
        <v>27</v>
      </c>
      <c r="S961" s="13" t="s">
        <v>27</v>
      </c>
    </row>
    <row r="962" spans="1:19" hidden="1" x14ac:dyDescent="0.3">
      <c r="A962" s="14">
        <v>43930.708333333336</v>
      </c>
      <c r="B962" s="13" t="s">
        <v>23</v>
      </c>
      <c r="C962" s="2">
        <v>19</v>
      </c>
      <c r="D962" s="13" t="s">
        <v>58</v>
      </c>
      <c r="E962" s="2">
        <v>3811569725</v>
      </c>
      <c r="F962" s="2">
        <v>133623567</v>
      </c>
      <c r="G962" s="2">
        <v>566</v>
      </c>
      <c r="H962" s="2">
        <v>63</v>
      </c>
      <c r="I962" s="2">
        <v>629</v>
      </c>
      <c r="J962" s="2">
        <v>1313</v>
      </c>
      <c r="K962" s="2">
        <v>1942</v>
      </c>
      <c r="L962" s="2">
        <v>49</v>
      </c>
      <c r="M962" s="2">
        <v>73</v>
      </c>
      <c r="N962" s="2">
        <v>152</v>
      </c>
      <c r="O962" s="2">
        <v>138</v>
      </c>
      <c r="P962" s="2">
        <v>2232</v>
      </c>
      <c r="Q962" s="2">
        <v>28742</v>
      </c>
      <c r="R962" s="13" t="s">
        <v>27</v>
      </c>
      <c r="S962" s="13" t="s">
        <v>27</v>
      </c>
    </row>
    <row r="963" spans="1:19" hidden="1" x14ac:dyDescent="0.3">
      <c r="A963" s="14">
        <v>43930.708333333336</v>
      </c>
      <c r="B963" s="13" t="s">
        <v>23</v>
      </c>
      <c r="C963" s="2">
        <v>9</v>
      </c>
      <c r="D963" s="13" t="s">
        <v>59</v>
      </c>
      <c r="E963" s="2">
        <v>4376923077</v>
      </c>
      <c r="F963" s="2">
        <v>1125588885</v>
      </c>
      <c r="G963" s="2">
        <v>1038</v>
      </c>
      <c r="H963" s="2">
        <v>256</v>
      </c>
      <c r="I963" s="2">
        <v>1294</v>
      </c>
      <c r="J963" s="2">
        <v>4409</v>
      </c>
      <c r="K963" s="2">
        <v>5703</v>
      </c>
      <c r="L963" s="2">
        <v>146</v>
      </c>
      <c r="M963" s="2">
        <v>173</v>
      </c>
      <c r="N963" s="2">
        <v>441</v>
      </c>
      <c r="O963" s="2">
        <v>408</v>
      </c>
      <c r="P963" s="2">
        <v>6552</v>
      </c>
      <c r="Q963" s="2">
        <v>65461</v>
      </c>
      <c r="R963" s="13" t="s">
        <v>27</v>
      </c>
      <c r="S963" s="13" t="s">
        <v>27</v>
      </c>
    </row>
    <row r="964" spans="1:19" hidden="1" x14ac:dyDescent="0.3">
      <c r="A964" s="14">
        <v>43930.708333333336</v>
      </c>
      <c r="B964" s="13" t="s">
        <v>23</v>
      </c>
      <c r="C964" s="2">
        <v>4</v>
      </c>
      <c r="D964" s="13" t="s">
        <v>60</v>
      </c>
      <c r="E964" s="2">
        <v>4606893511</v>
      </c>
      <c r="F964" s="2">
        <v>1112123097</v>
      </c>
      <c r="G964" s="2">
        <v>345</v>
      </c>
      <c r="H964" s="2">
        <v>69</v>
      </c>
      <c r="I964" s="2">
        <v>414</v>
      </c>
      <c r="J964" s="2">
        <v>1564</v>
      </c>
      <c r="K964" s="2">
        <v>1978</v>
      </c>
      <c r="L964" s="2">
        <v>38</v>
      </c>
      <c r="M964" s="2">
        <v>106</v>
      </c>
      <c r="N964" s="2">
        <v>462</v>
      </c>
      <c r="O964" s="2">
        <v>268</v>
      </c>
      <c r="P964" s="2">
        <v>2708</v>
      </c>
      <c r="Q964" s="2">
        <v>14338</v>
      </c>
      <c r="R964" s="13" t="s">
        <v>27</v>
      </c>
      <c r="S964" s="13" t="s">
        <v>27</v>
      </c>
    </row>
    <row r="965" spans="1:19" hidden="1" x14ac:dyDescent="0.3">
      <c r="A965" s="14">
        <v>43930.708333333336</v>
      </c>
      <c r="B965" s="13" t="s">
        <v>23</v>
      </c>
      <c r="C965" s="2">
        <v>10</v>
      </c>
      <c r="D965" s="13" t="s">
        <v>61</v>
      </c>
      <c r="E965" s="2">
        <v>4310675841</v>
      </c>
      <c r="F965" s="2">
        <v>1238824698</v>
      </c>
      <c r="G965" s="2">
        <v>154</v>
      </c>
      <c r="H965" s="2">
        <v>38</v>
      </c>
      <c r="I965" s="2">
        <v>192</v>
      </c>
      <c r="J965" s="2">
        <v>600</v>
      </c>
      <c r="K965" s="2">
        <v>792</v>
      </c>
      <c r="L965" s="2">
        <v>-31</v>
      </c>
      <c r="M965" s="2">
        <v>9</v>
      </c>
      <c r="N965" s="2">
        <v>455</v>
      </c>
      <c r="O965" s="2">
        <v>51</v>
      </c>
      <c r="P965" s="2">
        <v>1298</v>
      </c>
      <c r="Q965" s="2">
        <v>15170</v>
      </c>
      <c r="R965" s="13" t="s">
        <v>27</v>
      </c>
      <c r="S965" s="13" t="s">
        <v>27</v>
      </c>
    </row>
    <row r="966" spans="1:19" hidden="1" x14ac:dyDescent="0.3">
      <c r="A966" s="14">
        <v>43930.708333333336</v>
      </c>
      <c r="B966" s="13" t="s">
        <v>23</v>
      </c>
      <c r="C966" s="2">
        <v>2</v>
      </c>
      <c r="D966" s="13" t="s">
        <v>62</v>
      </c>
      <c r="E966" s="2">
        <v>4573750286</v>
      </c>
      <c r="F966" s="2">
        <v>7320149366</v>
      </c>
      <c r="G966" s="2">
        <v>118</v>
      </c>
      <c r="H966" s="2">
        <v>18</v>
      </c>
      <c r="I966" s="2">
        <v>136</v>
      </c>
      <c r="J966" s="2">
        <v>473</v>
      </c>
      <c r="K966" s="2">
        <v>609</v>
      </c>
      <c r="L966" s="2">
        <v>3</v>
      </c>
      <c r="M966" s="2">
        <v>18</v>
      </c>
      <c r="N966" s="2">
        <v>154</v>
      </c>
      <c r="O966" s="2">
        <v>105</v>
      </c>
      <c r="P966" s="2">
        <v>868</v>
      </c>
      <c r="Q966" s="2">
        <v>3142</v>
      </c>
      <c r="R966" s="13" t="s">
        <v>27</v>
      </c>
      <c r="S966" s="13" t="s">
        <v>27</v>
      </c>
    </row>
    <row r="967" spans="1:19" hidden="1" x14ac:dyDescent="0.3">
      <c r="A967" s="14">
        <v>43930.708333333336</v>
      </c>
      <c r="B967" s="13" t="s">
        <v>23</v>
      </c>
      <c r="C967" s="2">
        <v>5</v>
      </c>
      <c r="D967" s="13" t="s">
        <v>63</v>
      </c>
      <c r="E967" s="2">
        <v>4543490485</v>
      </c>
      <c r="F967" s="2">
        <v>1233845213</v>
      </c>
      <c r="G967" s="2">
        <v>1530</v>
      </c>
      <c r="H967" s="2">
        <v>274</v>
      </c>
      <c r="I967" s="2">
        <v>1804</v>
      </c>
      <c r="J967" s="2">
        <v>8645</v>
      </c>
      <c r="K967" s="2">
        <v>10449</v>
      </c>
      <c r="L967" s="2">
        <v>278</v>
      </c>
      <c r="M967" s="2">
        <v>523</v>
      </c>
      <c r="N967" s="2">
        <v>1728</v>
      </c>
      <c r="O967" s="2">
        <v>756</v>
      </c>
      <c r="P967" s="2">
        <v>12933</v>
      </c>
      <c r="Q967" s="2">
        <v>171456</v>
      </c>
      <c r="R967" s="13" t="s">
        <v>27</v>
      </c>
      <c r="S967" s="13" t="s">
        <v>27</v>
      </c>
    </row>
    <row r="968" spans="1:19" hidden="1" x14ac:dyDescent="0.3">
      <c r="A968" s="14">
        <v>43931.708333333336</v>
      </c>
      <c r="B968" s="13" t="s">
        <v>23</v>
      </c>
      <c r="C968" s="2">
        <v>13</v>
      </c>
      <c r="D968" s="13" t="s">
        <v>44</v>
      </c>
      <c r="E968" s="2">
        <v>4235122196</v>
      </c>
      <c r="F968" s="2">
        <v>1339843823</v>
      </c>
      <c r="G968" s="2">
        <v>305</v>
      </c>
      <c r="H968" s="2">
        <v>53</v>
      </c>
      <c r="I968" s="2">
        <v>358</v>
      </c>
      <c r="J968" s="2">
        <v>1277</v>
      </c>
      <c r="K968" s="2">
        <v>1635</v>
      </c>
      <c r="L968" s="2">
        <v>69</v>
      </c>
      <c r="M968" s="2">
        <v>83</v>
      </c>
      <c r="N968" s="2">
        <v>181</v>
      </c>
      <c r="O968" s="2">
        <v>198</v>
      </c>
      <c r="P968" s="2">
        <v>2014</v>
      </c>
      <c r="Q968" s="2">
        <v>18088</v>
      </c>
      <c r="R968" s="13" t="s">
        <v>27</v>
      </c>
      <c r="S968" s="13" t="s">
        <v>27</v>
      </c>
    </row>
    <row r="969" spans="1:19" hidden="1" x14ac:dyDescent="0.3">
      <c r="A969" s="14">
        <v>43931.708333333336</v>
      </c>
      <c r="B969" s="13" t="s">
        <v>23</v>
      </c>
      <c r="C969" s="2">
        <v>17</v>
      </c>
      <c r="D969" s="13" t="s">
        <v>45</v>
      </c>
      <c r="E969" s="2">
        <v>4063947052</v>
      </c>
      <c r="F969" s="2">
        <v>1580514834</v>
      </c>
      <c r="G969" s="2">
        <v>59</v>
      </c>
      <c r="H969" s="2">
        <v>15</v>
      </c>
      <c r="I969" s="2">
        <v>74</v>
      </c>
      <c r="J969" s="2">
        <v>205</v>
      </c>
      <c r="K969" s="2">
        <v>279</v>
      </c>
      <c r="L969" s="2">
        <v>4</v>
      </c>
      <c r="M969" s="2">
        <v>5</v>
      </c>
      <c r="N969" s="2">
        <v>14</v>
      </c>
      <c r="O969" s="2">
        <v>15</v>
      </c>
      <c r="P969" s="2">
        <v>308</v>
      </c>
      <c r="Q969" s="2">
        <v>3696</v>
      </c>
      <c r="R969" s="13" t="s">
        <v>27</v>
      </c>
      <c r="S969" s="13" t="s">
        <v>27</v>
      </c>
    </row>
    <row r="970" spans="1:19" hidden="1" x14ac:dyDescent="0.3">
      <c r="A970" s="14">
        <v>43931.708333333336</v>
      </c>
      <c r="B970" s="13" t="s">
        <v>23</v>
      </c>
      <c r="C970" s="2">
        <v>4</v>
      </c>
      <c r="D970" s="13" t="s">
        <v>46</v>
      </c>
      <c r="E970" s="2">
        <v>4649933453</v>
      </c>
      <c r="F970" s="2">
        <v>1135662422</v>
      </c>
      <c r="G970" s="2">
        <v>258</v>
      </c>
      <c r="H970" s="2">
        <v>58</v>
      </c>
      <c r="I970" s="2">
        <v>316</v>
      </c>
      <c r="J970" s="2">
        <v>1001</v>
      </c>
      <c r="K970" s="2">
        <v>1317</v>
      </c>
      <c r="L970" s="2">
        <v>2</v>
      </c>
      <c r="M970" s="2">
        <v>52</v>
      </c>
      <c r="N970" s="2">
        <v>447</v>
      </c>
      <c r="O970" s="2">
        <v>191</v>
      </c>
      <c r="P970" s="2">
        <v>1955</v>
      </c>
      <c r="Q970" s="2">
        <v>20866</v>
      </c>
      <c r="R970" s="13" t="s">
        <v>27</v>
      </c>
      <c r="S970" s="13" t="s">
        <v>27</v>
      </c>
    </row>
    <row r="971" spans="1:19" hidden="1" x14ac:dyDescent="0.3">
      <c r="A971" s="14">
        <v>43931.708333333336</v>
      </c>
      <c r="B971" s="13" t="s">
        <v>23</v>
      </c>
      <c r="C971" s="2">
        <v>18</v>
      </c>
      <c r="D971" s="13" t="s">
        <v>47</v>
      </c>
      <c r="E971" s="2">
        <v>3890597598</v>
      </c>
      <c r="F971" s="2">
        <v>1659440194</v>
      </c>
      <c r="G971" s="2">
        <v>168</v>
      </c>
      <c r="H971" s="2">
        <v>14</v>
      </c>
      <c r="I971" s="2">
        <v>182</v>
      </c>
      <c r="J971" s="2">
        <v>604</v>
      </c>
      <c r="K971" s="2">
        <v>786</v>
      </c>
      <c r="L971" s="2">
        <v>21</v>
      </c>
      <c r="M971" s="2">
        <v>27</v>
      </c>
      <c r="N971" s="2">
        <v>50</v>
      </c>
      <c r="O971" s="2">
        <v>65</v>
      </c>
      <c r="P971" s="2">
        <v>901</v>
      </c>
      <c r="Q971" s="2">
        <v>16637</v>
      </c>
      <c r="R971" s="13" t="s">
        <v>27</v>
      </c>
      <c r="S971" s="13" t="s">
        <v>27</v>
      </c>
    </row>
    <row r="972" spans="1:19" hidden="1" x14ac:dyDescent="0.3">
      <c r="A972" s="14">
        <v>43931.708333333336</v>
      </c>
      <c r="B972" s="13" t="s">
        <v>23</v>
      </c>
      <c r="C972" s="2">
        <v>15</v>
      </c>
      <c r="D972" s="13" t="s">
        <v>48</v>
      </c>
      <c r="E972" s="2">
        <v>4083956555</v>
      </c>
      <c r="F972" s="2">
        <v>1425084984</v>
      </c>
      <c r="G972" s="2">
        <v>600</v>
      </c>
      <c r="H972" s="2">
        <v>90</v>
      </c>
      <c r="I972" s="2">
        <v>690</v>
      </c>
      <c r="J972" s="2">
        <v>2273</v>
      </c>
      <c r="K972" s="2">
        <v>2963</v>
      </c>
      <c r="L972" s="2">
        <v>90</v>
      </c>
      <c r="M972" s="2">
        <v>98</v>
      </c>
      <c r="N972" s="2">
        <v>248</v>
      </c>
      <c r="O972" s="2">
        <v>231</v>
      </c>
      <c r="P972" s="2">
        <v>3442</v>
      </c>
      <c r="Q972" s="2">
        <v>31745</v>
      </c>
      <c r="R972" s="13" t="s">
        <v>27</v>
      </c>
      <c r="S972" s="13" t="s">
        <v>27</v>
      </c>
    </row>
    <row r="973" spans="1:19" hidden="1" x14ac:dyDescent="0.3">
      <c r="A973" s="14">
        <v>43931.708333333336</v>
      </c>
      <c r="B973" s="13" t="s">
        <v>23</v>
      </c>
      <c r="C973" s="2">
        <v>8</v>
      </c>
      <c r="D973" s="13" t="s">
        <v>98</v>
      </c>
      <c r="E973" s="2">
        <v>4449436681</v>
      </c>
      <c r="F973" s="2">
        <v>113417208</v>
      </c>
      <c r="G973" s="2">
        <v>3596</v>
      </c>
      <c r="H973" s="2">
        <v>349</v>
      </c>
      <c r="I973" s="2">
        <v>3945</v>
      </c>
      <c r="J973" s="2">
        <v>9405</v>
      </c>
      <c r="K973" s="2">
        <v>13350</v>
      </c>
      <c r="L973" s="2">
        <v>92</v>
      </c>
      <c r="M973" s="2">
        <v>451</v>
      </c>
      <c r="N973" s="2">
        <v>3381</v>
      </c>
      <c r="O973" s="2">
        <v>2397</v>
      </c>
      <c r="P973" s="2">
        <v>19128</v>
      </c>
      <c r="Q973" s="2">
        <v>85884</v>
      </c>
      <c r="R973" s="13" t="s">
        <v>27</v>
      </c>
      <c r="S973" s="13" t="s">
        <v>27</v>
      </c>
    </row>
    <row r="974" spans="1:19" hidden="1" x14ac:dyDescent="0.3">
      <c r="A974" s="14">
        <v>43931.708333333336</v>
      </c>
      <c r="B974" s="13" t="s">
        <v>23</v>
      </c>
      <c r="C974" s="2">
        <v>6</v>
      </c>
      <c r="D974" s="13" t="s">
        <v>49</v>
      </c>
      <c r="E974" s="2">
        <v>456494354</v>
      </c>
      <c r="F974" s="2">
        <v>1376813649</v>
      </c>
      <c r="G974" s="2">
        <v>167</v>
      </c>
      <c r="H974" s="2">
        <v>33</v>
      </c>
      <c r="I974" s="2">
        <v>200</v>
      </c>
      <c r="J974" s="2">
        <v>1198</v>
      </c>
      <c r="K974" s="2">
        <v>1398</v>
      </c>
      <c r="L974" s="2">
        <v>8</v>
      </c>
      <c r="M974" s="2">
        <v>50</v>
      </c>
      <c r="N974" s="2">
        <v>772</v>
      </c>
      <c r="O974" s="2">
        <v>179</v>
      </c>
      <c r="P974" s="2">
        <v>2349</v>
      </c>
      <c r="Q974" s="2">
        <v>28097</v>
      </c>
      <c r="R974" s="13" t="s">
        <v>27</v>
      </c>
      <c r="S974" s="13" t="s">
        <v>27</v>
      </c>
    </row>
    <row r="975" spans="1:19" hidden="1" x14ac:dyDescent="0.3">
      <c r="A975" s="14">
        <v>43931.708333333336</v>
      </c>
      <c r="B975" s="13" t="s">
        <v>23</v>
      </c>
      <c r="C975" s="2">
        <v>12</v>
      </c>
      <c r="D975" s="13" t="s">
        <v>50</v>
      </c>
      <c r="E975" s="2">
        <v>4189277044</v>
      </c>
      <c r="F975" s="2">
        <v>1248366722</v>
      </c>
      <c r="G975" s="2">
        <v>1236</v>
      </c>
      <c r="H975" s="2">
        <v>201</v>
      </c>
      <c r="I975" s="2">
        <v>1437</v>
      </c>
      <c r="J975" s="2">
        <v>2196</v>
      </c>
      <c r="K975" s="2">
        <v>3633</v>
      </c>
      <c r="L975" s="2">
        <v>101</v>
      </c>
      <c r="M975" s="2">
        <v>154</v>
      </c>
      <c r="N975" s="2">
        <v>687</v>
      </c>
      <c r="O975" s="2">
        <v>263</v>
      </c>
      <c r="P975" s="2">
        <v>4583</v>
      </c>
      <c r="Q975" s="2">
        <v>61769</v>
      </c>
      <c r="R975" s="13" t="s">
        <v>27</v>
      </c>
      <c r="S975" s="13" t="s">
        <v>27</v>
      </c>
    </row>
    <row r="976" spans="1:19" hidden="1" x14ac:dyDescent="0.3">
      <c r="A976" s="14">
        <v>43931.708333333336</v>
      </c>
      <c r="B976" s="13" t="s">
        <v>23</v>
      </c>
      <c r="C976" s="2">
        <v>7</v>
      </c>
      <c r="D976" s="13" t="s">
        <v>51</v>
      </c>
      <c r="E976" s="2">
        <v>4441149315</v>
      </c>
      <c r="F976" s="2">
        <v>89326992</v>
      </c>
      <c r="G976" s="2">
        <v>1076</v>
      </c>
      <c r="H976" s="2">
        <v>151</v>
      </c>
      <c r="I976" s="2">
        <v>1227</v>
      </c>
      <c r="J976" s="2">
        <v>2074</v>
      </c>
      <c r="K976" s="2">
        <v>3301</v>
      </c>
      <c r="L976" s="2">
        <v>48</v>
      </c>
      <c r="M976" s="2">
        <v>171</v>
      </c>
      <c r="N976" s="2">
        <v>1181</v>
      </c>
      <c r="O976" s="2">
        <v>709</v>
      </c>
      <c r="P976" s="2">
        <v>5191</v>
      </c>
      <c r="Q976" s="2">
        <v>19514</v>
      </c>
      <c r="R976" s="13" t="s">
        <v>27</v>
      </c>
      <c r="S976" s="13" t="s">
        <v>27</v>
      </c>
    </row>
    <row r="977" spans="1:19" x14ac:dyDescent="0.3">
      <c r="A977" s="14">
        <v>43931.708333333336</v>
      </c>
      <c r="B977" s="13" t="s">
        <v>23</v>
      </c>
      <c r="C977" s="2">
        <v>3</v>
      </c>
      <c r="D977" s="13" t="s">
        <v>52</v>
      </c>
      <c r="E977" s="2">
        <v>4546679409</v>
      </c>
      <c r="F977" s="2">
        <v>9190347404</v>
      </c>
      <c r="G977" s="2">
        <v>11877</v>
      </c>
      <c r="H977" s="2">
        <v>1202</v>
      </c>
      <c r="I977" s="2">
        <v>13079</v>
      </c>
      <c r="J977" s="2">
        <v>16451</v>
      </c>
      <c r="K977" s="2">
        <v>29530</v>
      </c>
      <c r="L977" s="2">
        <v>456</v>
      </c>
      <c r="M977" s="2">
        <v>1246</v>
      </c>
      <c r="N977" s="2">
        <v>16280</v>
      </c>
      <c r="O977" s="2">
        <v>10238</v>
      </c>
      <c r="P977" s="2">
        <v>56048</v>
      </c>
      <c r="Q977" s="2">
        <v>186325</v>
      </c>
      <c r="R977" s="13" t="s">
        <v>27</v>
      </c>
      <c r="S977" s="13" t="s">
        <v>27</v>
      </c>
    </row>
    <row r="978" spans="1:19" hidden="1" x14ac:dyDescent="0.3">
      <c r="A978" s="14">
        <v>43931.708333333336</v>
      </c>
      <c r="B978" s="13" t="s">
        <v>23</v>
      </c>
      <c r="C978" s="2">
        <v>11</v>
      </c>
      <c r="D978" s="13" t="s">
        <v>53</v>
      </c>
      <c r="E978" s="2">
        <v>4361675973</v>
      </c>
      <c r="F978" s="2">
        <v>135188753</v>
      </c>
      <c r="G978" s="2">
        <v>925</v>
      </c>
      <c r="H978" s="2">
        <v>127</v>
      </c>
      <c r="I978" s="2">
        <v>1052</v>
      </c>
      <c r="J978" s="2">
        <v>2264</v>
      </c>
      <c r="K978" s="2">
        <v>3316</v>
      </c>
      <c r="L978" s="2">
        <v>-85</v>
      </c>
      <c r="M978" s="2">
        <v>129</v>
      </c>
      <c r="N978" s="2">
        <v>1086</v>
      </c>
      <c r="O978" s="2">
        <v>682</v>
      </c>
      <c r="P978" s="2">
        <v>5084</v>
      </c>
      <c r="Q978" s="2">
        <v>18970</v>
      </c>
      <c r="R978" s="13" t="s">
        <v>27</v>
      </c>
      <c r="S978" s="13" t="s">
        <v>27</v>
      </c>
    </row>
    <row r="979" spans="1:19" hidden="1" x14ac:dyDescent="0.3">
      <c r="A979" s="14">
        <v>43931.708333333336</v>
      </c>
      <c r="B979" s="13" t="s">
        <v>23</v>
      </c>
      <c r="C979" s="2">
        <v>14</v>
      </c>
      <c r="D979" s="13" t="s">
        <v>54</v>
      </c>
      <c r="E979" s="2">
        <v>4155774754</v>
      </c>
      <c r="F979" s="2">
        <v>1465916051</v>
      </c>
      <c r="G979" s="2">
        <v>28</v>
      </c>
      <c r="H979" s="2">
        <v>4</v>
      </c>
      <c r="I979" s="2">
        <v>32</v>
      </c>
      <c r="J979" s="2">
        <v>161</v>
      </c>
      <c r="K979" s="2">
        <v>193</v>
      </c>
      <c r="L979" s="2">
        <v>4</v>
      </c>
      <c r="M979" s="2">
        <v>9</v>
      </c>
      <c r="N979" s="2">
        <v>37</v>
      </c>
      <c r="O979" s="2">
        <v>13</v>
      </c>
      <c r="P979" s="2">
        <v>243</v>
      </c>
      <c r="Q979" s="2">
        <v>2069</v>
      </c>
      <c r="R979" s="13" t="s">
        <v>126</v>
      </c>
      <c r="S979" s="13" t="s">
        <v>127</v>
      </c>
    </row>
    <row r="980" spans="1:19" hidden="1" x14ac:dyDescent="0.3">
      <c r="A980" s="14">
        <v>43931.708333333336</v>
      </c>
      <c r="B980" s="13" t="s">
        <v>23</v>
      </c>
      <c r="C980" s="2">
        <v>1</v>
      </c>
      <c r="D980" s="13" t="s">
        <v>55</v>
      </c>
      <c r="E980" s="2">
        <v>450732745</v>
      </c>
      <c r="F980" s="2">
        <v>7680687483</v>
      </c>
      <c r="G980" s="2">
        <v>3497</v>
      </c>
      <c r="H980" s="2">
        <v>394</v>
      </c>
      <c r="I980" s="2">
        <v>3891</v>
      </c>
      <c r="J980" s="2">
        <v>7685</v>
      </c>
      <c r="K980" s="2">
        <v>11576</v>
      </c>
      <c r="L980" s="2">
        <v>240</v>
      </c>
      <c r="M980" s="2">
        <v>490</v>
      </c>
      <c r="N980" s="2">
        <v>1904</v>
      </c>
      <c r="O980" s="2">
        <v>1532</v>
      </c>
      <c r="P980" s="2">
        <v>15012</v>
      </c>
      <c r="Q980" s="2">
        <v>57457</v>
      </c>
      <c r="R980" s="13" t="s">
        <v>27</v>
      </c>
      <c r="S980" s="13" t="s">
        <v>27</v>
      </c>
    </row>
    <row r="981" spans="1:19" hidden="1" x14ac:dyDescent="0.3">
      <c r="A981" s="14">
        <v>43931.708333333336</v>
      </c>
      <c r="B981" s="13" t="s">
        <v>23</v>
      </c>
      <c r="C981" s="2">
        <v>16</v>
      </c>
      <c r="D981" s="13" t="s">
        <v>56</v>
      </c>
      <c r="E981" s="2">
        <v>4112559576</v>
      </c>
      <c r="F981" s="2">
        <v>1686736689</v>
      </c>
      <c r="G981" s="2">
        <v>631</v>
      </c>
      <c r="H981" s="2">
        <v>80</v>
      </c>
      <c r="I981" s="2">
        <v>711</v>
      </c>
      <c r="J981" s="2">
        <v>1625</v>
      </c>
      <c r="K981" s="2">
        <v>2336</v>
      </c>
      <c r="L981" s="2">
        <v>35</v>
      </c>
      <c r="M981" s="2">
        <v>93</v>
      </c>
      <c r="N981" s="2">
        <v>235</v>
      </c>
      <c r="O981" s="2">
        <v>238</v>
      </c>
      <c r="P981" s="2">
        <v>2809</v>
      </c>
      <c r="Q981" s="2">
        <v>27812</v>
      </c>
      <c r="R981" s="13" t="s">
        <v>27</v>
      </c>
      <c r="S981" s="13" t="s">
        <v>27</v>
      </c>
    </row>
    <row r="982" spans="1:19" hidden="1" x14ac:dyDescent="0.3">
      <c r="A982" s="14">
        <v>43931.708333333336</v>
      </c>
      <c r="B982" s="13" t="s">
        <v>23</v>
      </c>
      <c r="C982" s="2">
        <v>20</v>
      </c>
      <c r="D982" s="13" t="s">
        <v>57</v>
      </c>
      <c r="E982" s="2">
        <v>3921531192</v>
      </c>
      <c r="F982" s="2">
        <v>9110616306</v>
      </c>
      <c r="G982" s="2">
        <v>107</v>
      </c>
      <c r="H982" s="2">
        <v>26</v>
      </c>
      <c r="I982" s="2">
        <v>133</v>
      </c>
      <c r="J982" s="2">
        <v>743</v>
      </c>
      <c r="K982" s="2">
        <v>876</v>
      </c>
      <c r="L982" s="2">
        <v>0</v>
      </c>
      <c r="M982" s="2">
        <v>37</v>
      </c>
      <c r="N982" s="2">
        <v>118</v>
      </c>
      <c r="O982" s="2">
        <v>69</v>
      </c>
      <c r="P982" s="2">
        <v>1063</v>
      </c>
      <c r="Q982" s="2">
        <v>9444</v>
      </c>
      <c r="R982" s="13" t="s">
        <v>27</v>
      </c>
      <c r="S982" s="13" t="s">
        <v>27</v>
      </c>
    </row>
    <row r="983" spans="1:19" hidden="1" x14ac:dyDescent="0.3">
      <c r="A983" s="14">
        <v>43931.708333333336</v>
      </c>
      <c r="B983" s="13" t="s">
        <v>23</v>
      </c>
      <c r="C983" s="2">
        <v>19</v>
      </c>
      <c r="D983" s="13" t="s">
        <v>58</v>
      </c>
      <c r="E983" s="2">
        <v>3811569725</v>
      </c>
      <c r="F983" s="2">
        <v>133623567</v>
      </c>
      <c r="G983" s="2">
        <v>568</v>
      </c>
      <c r="H983" s="2">
        <v>62</v>
      </c>
      <c r="I983" s="2">
        <v>630</v>
      </c>
      <c r="J983" s="2">
        <v>1337</v>
      </c>
      <c r="K983" s="2">
        <v>1967</v>
      </c>
      <c r="L983" s="2">
        <v>25</v>
      </c>
      <c r="M983" s="2">
        <v>70</v>
      </c>
      <c r="N983" s="2">
        <v>187</v>
      </c>
      <c r="O983" s="2">
        <v>148</v>
      </c>
      <c r="P983" s="2">
        <v>2302</v>
      </c>
      <c r="Q983" s="2">
        <v>31156</v>
      </c>
      <c r="R983" s="13" t="s">
        <v>27</v>
      </c>
      <c r="S983" s="13" t="s">
        <v>27</v>
      </c>
    </row>
    <row r="984" spans="1:19" hidden="1" x14ac:dyDescent="0.3">
      <c r="A984" s="14">
        <v>43931.708333333336</v>
      </c>
      <c r="B984" s="13" t="s">
        <v>23</v>
      </c>
      <c r="C984" s="2">
        <v>9</v>
      </c>
      <c r="D984" s="13" t="s">
        <v>59</v>
      </c>
      <c r="E984" s="2">
        <v>4376923077</v>
      </c>
      <c r="F984" s="2">
        <v>1125588885</v>
      </c>
      <c r="G984" s="2">
        <v>1011</v>
      </c>
      <c r="H984" s="2">
        <v>256</v>
      </c>
      <c r="I984" s="2">
        <v>1267</v>
      </c>
      <c r="J984" s="2">
        <v>4555</v>
      </c>
      <c r="K984" s="2">
        <v>5822</v>
      </c>
      <c r="L984" s="2">
        <v>119</v>
      </c>
      <c r="M984" s="2">
        <v>175</v>
      </c>
      <c r="N984" s="2">
        <v>451</v>
      </c>
      <c r="O984" s="2">
        <v>454</v>
      </c>
      <c r="P984" s="2">
        <v>6727</v>
      </c>
      <c r="Q984" s="2">
        <v>72001</v>
      </c>
      <c r="R984" s="13" t="s">
        <v>27</v>
      </c>
      <c r="S984" s="13" t="s">
        <v>27</v>
      </c>
    </row>
    <row r="985" spans="1:19" hidden="1" x14ac:dyDescent="0.3">
      <c r="A985" s="14">
        <v>43931.708333333336</v>
      </c>
      <c r="B985" s="13" t="s">
        <v>23</v>
      </c>
      <c r="C985" s="2">
        <v>4</v>
      </c>
      <c r="D985" s="13" t="s">
        <v>60</v>
      </c>
      <c r="E985" s="2">
        <v>4606893511</v>
      </c>
      <c r="F985" s="2">
        <v>1112123097</v>
      </c>
      <c r="G985" s="2">
        <v>335</v>
      </c>
      <c r="H985" s="2">
        <v>70</v>
      </c>
      <c r="I985" s="2">
        <v>405</v>
      </c>
      <c r="J985" s="2">
        <v>1589</v>
      </c>
      <c r="K985" s="2">
        <v>1994</v>
      </c>
      <c r="L985" s="2">
        <v>16</v>
      </c>
      <c r="M985" s="2">
        <v>108</v>
      </c>
      <c r="N985" s="2">
        <v>547</v>
      </c>
      <c r="O985" s="2">
        <v>275</v>
      </c>
      <c r="P985" s="2">
        <v>2816</v>
      </c>
      <c r="Q985" s="2">
        <v>14981</v>
      </c>
      <c r="R985" s="13" t="s">
        <v>27</v>
      </c>
      <c r="S985" s="13" t="s">
        <v>27</v>
      </c>
    </row>
    <row r="986" spans="1:19" hidden="1" x14ac:dyDescent="0.3">
      <c r="A986" s="14">
        <v>43931.708333333336</v>
      </c>
      <c r="B986" s="13" t="s">
        <v>23</v>
      </c>
      <c r="C986" s="2">
        <v>10</v>
      </c>
      <c r="D986" s="13" t="s">
        <v>61</v>
      </c>
      <c r="E986" s="2">
        <v>4310675841</v>
      </c>
      <c r="F986" s="2">
        <v>1238824698</v>
      </c>
      <c r="G986" s="2">
        <v>146</v>
      </c>
      <c r="H986" s="2">
        <v>39</v>
      </c>
      <c r="I986" s="2">
        <v>185</v>
      </c>
      <c r="J986" s="2">
        <v>567</v>
      </c>
      <c r="K986" s="2">
        <v>752</v>
      </c>
      <c r="L986" s="2">
        <v>-40</v>
      </c>
      <c r="M986" s="2">
        <v>4</v>
      </c>
      <c r="N986" s="2">
        <v>498</v>
      </c>
      <c r="O986" s="2">
        <v>52</v>
      </c>
      <c r="P986" s="2">
        <v>1302</v>
      </c>
      <c r="Q986" s="2">
        <v>16325</v>
      </c>
      <c r="R986" s="13" t="s">
        <v>27</v>
      </c>
      <c r="S986" s="13" t="s">
        <v>27</v>
      </c>
    </row>
    <row r="987" spans="1:19" hidden="1" x14ac:dyDescent="0.3">
      <c r="A987" s="14">
        <v>43931.708333333336</v>
      </c>
      <c r="B987" s="13" t="s">
        <v>23</v>
      </c>
      <c r="C987" s="2">
        <v>2</v>
      </c>
      <c r="D987" s="13" t="s">
        <v>62</v>
      </c>
      <c r="E987" s="2">
        <v>4573750286</v>
      </c>
      <c r="F987" s="2">
        <v>7320149366</v>
      </c>
      <c r="G987" s="2">
        <v>131</v>
      </c>
      <c r="H987" s="2">
        <v>16</v>
      </c>
      <c r="I987" s="2">
        <v>147</v>
      </c>
      <c r="J987" s="2">
        <v>455</v>
      </c>
      <c r="K987" s="2">
        <v>602</v>
      </c>
      <c r="L987" s="2">
        <v>-7</v>
      </c>
      <c r="M987" s="2">
        <v>11</v>
      </c>
      <c r="N987" s="2">
        <v>170</v>
      </c>
      <c r="O987" s="2">
        <v>107</v>
      </c>
      <c r="P987" s="2">
        <v>879</v>
      </c>
      <c r="Q987" s="2">
        <v>3328</v>
      </c>
      <c r="R987" s="13" t="s">
        <v>27</v>
      </c>
      <c r="S987" s="13" t="s">
        <v>27</v>
      </c>
    </row>
    <row r="988" spans="1:19" hidden="1" x14ac:dyDescent="0.3">
      <c r="A988" s="14">
        <v>43931.708333333336</v>
      </c>
      <c r="B988" s="13" t="s">
        <v>23</v>
      </c>
      <c r="C988" s="2">
        <v>5</v>
      </c>
      <c r="D988" s="13" t="s">
        <v>63</v>
      </c>
      <c r="E988" s="2">
        <v>4543490485</v>
      </c>
      <c r="F988" s="2">
        <v>1233845213</v>
      </c>
      <c r="G988" s="2">
        <v>1521</v>
      </c>
      <c r="H988" s="2">
        <v>257</v>
      </c>
      <c r="I988" s="2">
        <v>1778</v>
      </c>
      <c r="J988" s="2">
        <v>8869</v>
      </c>
      <c r="K988" s="2">
        <v>10647</v>
      </c>
      <c r="L988" s="2">
        <v>198</v>
      </c>
      <c r="M988" s="2">
        <v>488</v>
      </c>
      <c r="N988" s="2">
        <v>1981</v>
      </c>
      <c r="O988" s="2">
        <v>793</v>
      </c>
      <c r="P988" s="2">
        <v>13421</v>
      </c>
      <c r="Q988" s="2">
        <v>180700</v>
      </c>
      <c r="R988" s="13" t="s">
        <v>27</v>
      </c>
      <c r="S988" s="13" t="s">
        <v>27</v>
      </c>
    </row>
    <row r="989" spans="1:19" hidden="1" x14ac:dyDescent="0.3">
      <c r="A989" s="14">
        <v>43932.708333333336</v>
      </c>
      <c r="B989" s="13" t="s">
        <v>23</v>
      </c>
      <c r="C989" s="2">
        <v>13</v>
      </c>
      <c r="D989" s="13" t="s">
        <v>44</v>
      </c>
      <c r="E989" s="2">
        <v>4235122196</v>
      </c>
      <c r="F989" s="2">
        <v>1339843823</v>
      </c>
      <c r="G989" s="2">
        <v>315</v>
      </c>
      <c r="H989" s="2">
        <v>54</v>
      </c>
      <c r="I989" s="2">
        <v>369</v>
      </c>
      <c r="J989" s="2">
        <v>1355</v>
      </c>
      <c r="K989" s="2">
        <v>1724</v>
      </c>
      <c r="L989" s="2">
        <v>89</v>
      </c>
      <c r="M989" s="2">
        <v>106</v>
      </c>
      <c r="N989" s="2">
        <v>190</v>
      </c>
      <c r="O989" s="2">
        <v>206</v>
      </c>
      <c r="P989" s="2">
        <v>2120</v>
      </c>
      <c r="Q989" s="2">
        <v>19441</v>
      </c>
      <c r="R989" s="13" t="s">
        <v>27</v>
      </c>
      <c r="S989" s="13" t="s">
        <v>27</v>
      </c>
    </row>
    <row r="990" spans="1:19" hidden="1" x14ac:dyDescent="0.3">
      <c r="A990" s="14">
        <v>43932.708333333336</v>
      </c>
      <c r="B990" s="13" t="s">
        <v>23</v>
      </c>
      <c r="C990" s="2">
        <v>17</v>
      </c>
      <c r="D990" s="13" t="s">
        <v>45</v>
      </c>
      <c r="E990" s="2">
        <v>4063947052</v>
      </c>
      <c r="F990" s="2">
        <v>1580514834</v>
      </c>
      <c r="G990" s="2">
        <v>60</v>
      </c>
      <c r="H990" s="2">
        <v>12</v>
      </c>
      <c r="I990" s="2">
        <v>72</v>
      </c>
      <c r="J990" s="2">
        <v>209</v>
      </c>
      <c r="K990" s="2">
        <v>281</v>
      </c>
      <c r="L990" s="2">
        <v>2</v>
      </c>
      <c r="M990" s="2">
        <v>4</v>
      </c>
      <c r="N990" s="2">
        <v>14</v>
      </c>
      <c r="O990" s="2">
        <v>17</v>
      </c>
      <c r="P990" s="2">
        <v>312</v>
      </c>
      <c r="Q990" s="2">
        <v>4050</v>
      </c>
      <c r="R990" s="13" t="s">
        <v>27</v>
      </c>
      <c r="S990" s="13" t="s">
        <v>27</v>
      </c>
    </row>
    <row r="991" spans="1:19" hidden="1" x14ac:dyDescent="0.3">
      <c r="A991" s="14">
        <v>43932.708333333336</v>
      </c>
      <c r="B991" s="13" t="s">
        <v>23</v>
      </c>
      <c r="C991" s="2">
        <v>4</v>
      </c>
      <c r="D991" s="13" t="s">
        <v>46</v>
      </c>
      <c r="E991" s="2">
        <v>4649933453</v>
      </c>
      <c r="F991" s="2">
        <v>1135662422</v>
      </c>
      <c r="G991" s="2">
        <v>246</v>
      </c>
      <c r="H991" s="2">
        <v>56</v>
      </c>
      <c r="I991" s="2">
        <v>302</v>
      </c>
      <c r="J991" s="2">
        <v>967</v>
      </c>
      <c r="K991" s="2">
        <v>1269</v>
      </c>
      <c r="L991" s="2">
        <v>-48</v>
      </c>
      <c r="M991" s="2">
        <v>2</v>
      </c>
      <c r="N991" s="2">
        <v>488</v>
      </c>
      <c r="O991" s="2">
        <v>200</v>
      </c>
      <c r="P991" s="2">
        <v>1957</v>
      </c>
      <c r="Q991" s="2">
        <v>22186</v>
      </c>
      <c r="R991" s="13" t="s">
        <v>27</v>
      </c>
      <c r="S991" s="13" t="s">
        <v>27</v>
      </c>
    </row>
    <row r="992" spans="1:19" hidden="1" x14ac:dyDescent="0.3">
      <c r="A992" s="14">
        <v>43932.708333333336</v>
      </c>
      <c r="B992" s="13" t="s">
        <v>23</v>
      </c>
      <c r="C992" s="2">
        <v>18</v>
      </c>
      <c r="D992" s="13" t="s">
        <v>47</v>
      </c>
      <c r="E992" s="2">
        <v>3890597598</v>
      </c>
      <c r="F992" s="2">
        <v>1659440194</v>
      </c>
      <c r="G992" s="2">
        <v>169</v>
      </c>
      <c r="H992" s="2">
        <v>15</v>
      </c>
      <c r="I992" s="2">
        <v>184</v>
      </c>
      <c r="J992" s="2">
        <v>608</v>
      </c>
      <c r="K992" s="2">
        <v>792</v>
      </c>
      <c r="L992" s="2">
        <v>6</v>
      </c>
      <c r="M992" s="2">
        <v>14</v>
      </c>
      <c r="N992" s="2">
        <v>57</v>
      </c>
      <c r="O992" s="2">
        <v>66</v>
      </c>
      <c r="P992" s="2">
        <v>915</v>
      </c>
      <c r="Q992" s="2">
        <v>17493</v>
      </c>
      <c r="R992" s="13" t="s">
        <v>27</v>
      </c>
      <c r="S992" s="13" t="s">
        <v>27</v>
      </c>
    </row>
    <row r="993" spans="1:19" hidden="1" x14ac:dyDescent="0.3">
      <c r="A993" s="14">
        <v>43932.708333333336</v>
      </c>
      <c r="B993" s="13" t="s">
        <v>23</v>
      </c>
      <c r="C993" s="2">
        <v>15</v>
      </c>
      <c r="D993" s="13" t="s">
        <v>48</v>
      </c>
      <c r="E993" s="2">
        <v>4083956555</v>
      </c>
      <c r="F993" s="2">
        <v>1425084984</v>
      </c>
      <c r="G993" s="2">
        <v>582</v>
      </c>
      <c r="H993" s="2">
        <v>85</v>
      </c>
      <c r="I993" s="2">
        <v>667</v>
      </c>
      <c r="J993" s="2">
        <v>2335</v>
      </c>
      <c r="K993" s="2">
        <v>3002</v>
      </c>
      <c r="L993" s="2">
        <v>39</v>
      </c>
      <c r="M993" s="2">
        <v>75</v>
      </c>
      <c r="N993" s="2">
        <v>277</v>
      </c>
      <c r="O993" s="2">
        <v>238</v>
      </c>
      <c r="P993" s="2">
        <v>3517</v>
      </c>
      <c r="Q993" s="2">
        <v>33781</v>
      </c>
      <c r="R993" s="13" t="s">
        <v>27</v>
      </c>
      <c r="S993" s="13" t="s">
        <v>27</v>
      </c>
    </row>
    <row r="994" spans="1:19" hidden="1" x14ac:dyDescent="0.3">
      <c r="A994" s="14">
        <v>43932.708333333336</v>
      </c>
      <c r="B994" s="13" t="s">
        <v>23</v>
      </c>
      <c r="C994" s="2">
        <v>8</v>
      </c>
      <c r="D994" s="13" t="s">
        <v>98</v>
      </c>
      <c r="E994" s="2">
        <v>4449436681</v>
      </c>
      <c r="F994" s="2">
        <v>113417208</v>
      </c>
      <c r="G994" s="2">
        <v>3530</v>
      </c>
      <c r="H994" s="2">
        <v>341</v>
      </c>
      <c r="I994" s="2">
        <v>3871</v>
      </c>
      <c r="J994" s="2">
        <v>9624</v>
      </c>
      <c r="K994" s="2">
        <v>13495</v>
      </c>
      <c r="L994" s="2">
        <v>145</v>
      </c>
      <c r="M994" s="2">
        <v>507</v>
      </c>
      <c r="N994" s="2">
        <v>3659</v>
      </c>
      <c r="O994" s="2">
        <v>2481</v>
      </c>
      <c r="P994" s="2">
        <v>19635</v>
      </c>
      <c r="Q994" s="2">
        <v>91759</v>
      </c>
      <c r="R994" s="13" t="s">
        <v>27</v>
      </c>
      <c r="S994" s="13" t="s">
        <v>27</v>
      </c>
    </row>
    <row r="995" spans="1:19" hidden="1" x14ac:dyDescent="0.3">
      <c r="A995" s="14">
        <v>43932.708333333336</v>
      </c>
      <c r="B995" s="13" t="s">
        <v>23</v>
      </c>
      <c r="C995" s="2">
        <v>6</v>
      </c>
      <c r="D995" s="13" t="s">
        <v>49</v>
      </c>
      <c r="E995" s="2">
        <v>456494354</v>
      </c>
      <c r="F995" s="2">
        <v>1376813649</v>
      </c>
      <c r="G995" s="2">
        <v>172</v>
      </c>
      <c r="H995" s="2">
        <v>28</v>
      </c>
      <c r="I995" s="2">
        <v>200</v>
      </c>
      <c r="J995" s="2">
        <v>1182</v>
      </c>
      <c r="K995" s="2">
        <v>1382</v>
      </c>
      <c r="L995" s="2">
        <v>-16</v>
      </c>
      <c r="M995" s="2">
        <v>44</v>
      </c>
      <c r="N995" s="2">
        <v>826</v>
      </c>
      <c r="O995" s="2">
        <v>185</v>
      </c>
      <c r="P995" s="2">
        <v>2393</v>
      </c>
      <c r="Q995" s="2">
        <v>29685</v>
      </c>
      <c r="R995" s="13" t="s">
        <v>27</v>
      </c>
      <c r="S995" s="13" t="s">
        <v>27</v>
      </c>
    </row>
    <row r="996" spans="1:19" hidden="1" x14ac:dyDescent="0.3">
      <c r="A996" s="14">
        <v>43932.708333333336</v>
      </c>
      <c r="B996" s="13" t="s">
        <v>23</v>
      </c>
      <c r="C996" s="2">
        <v>12</v>
      </c>
      <c r="D996" s="13" t="s">
        <v>50</v>
      </c>
      <c r="E996" s="2">
        <v>4189277044</v>
      </c>
      <c r="F996" s="2">
        <v>1248366722</v>
      </c>
      <c r="G996" s="2">
        <v>1264</v>
      </c>
      <c r="H996" s="2">
        <v>203</v>
      </c>
      <c r="I996" s="2">
        <v>1467</v>
      </c>
      <c r="J996" s="2">
        <v>2263</v>
      </c>
      <c r="K996" s="2">
        <v>3730</v>
      </c>
      <c r="L996" s="2">
        <v>97</v>
      </c>
      <c r="M996" s="2">
        <v>140</v>
      </c>
      <c r="N996" s="2">
        <v>720</v>
      </c>
      <c r="O996" s="2">
        <v>273</v>
      </c>
      <c r="P996" s="2">
        <v>4723</v>
      </c>
      <c r="Q996" s="2">
        <v>65241</v>
      </c>
      <c r="R996" s="13" t="s">
        <v>27</v>
      </c>
      <c r="S996" s="13" t="s">
        <v>27</v>
      </c>
    </row>
    <row r="997" spans="1:19" hidden="1" x14ac:dyDescent="0.3">
      <c r="A997" s="14">
        <v>43932.708333333336</v>
      </c>
      <c r="B997" s="13" t="s">
        <v>23</v>
      </c>
      <c r="C997" s="2">
        <v>7</v>
      </c>
      <c r="D997" s="13" t="s">
        <v>51</v>
      </c>
      <c r="E997" s="2">
        <v>4441149315</v>
      </c>
      <c r="F997" s="2">
        <v>89326992</v>
      </c>
      <c r="G997" s="2">
        <v>1003</v>
      </c>
      <c r="H997" s="2">
        <v>146</v>
      </c>
      <c r="I997" s="2">
        <v>1149</v>
      </c>
      <c r="J997" s="2">
        <v>2184</v>
      </c>
      <c r="K997" s="2">
        <v>3333</v>
      </c>
      <c r="L997" s="2">
        <v>32</v>
      </c>
      <c r="M997" s="2">
        <v>185</v>
      </c>
      <c r="N997" s="2">
        <v>1309</v>
      </c>
      <c r="O997" s="2">
        <v>734</v>
      </c>
      <c r="P997" s="2">
        <v>5376</v>
      </c>
      <c r="Q997" s="2">
        <v>20888</v>
      </c>
      <c r="R997" s="13" t="s">
        <v>27</v>
      </c>
      <c r="S997" s="13" t="s">
        <v>27</v>
      </c>
    </row>
    <row r="998" spans="1:19" x14ac:dyDescent="0.3">
      <c r="A998" s="14">
        <v>43932.708333333336</v>
      </c>
      <c r="B998" s="13" t="s">
        <v>23</v>
      </c>
      <c r="C998" s="2">
        <v>3</v>
      </c>
      <c r="D998" s="13" t="s">
        <v>52</v>
      </c>
      <c r="E998" s="2">
        <v>4546679409</v>
      </c>
      <c r="F998" s="2">
        <v>9190347404</v>
      </c>
      <c r="G998" s="2">
        <v>12026</v>
      </c>
      <c r="H998" s="2">
        <v>1174</v>
      </c>
      <c r="I998" s="2">
        <v>13200</v>
      </c>
      <c r="J998" s="2">
        <v>17058</v>
      </c>
      <c r="K998" s="2">
        <v>30258</v>
      </c>
      <c r="L998" s="2">
        <v>728</v>
      </c>
      <c r="M998" s="2">
        <v>1544</v>
      </c>
      <c r="N998" s="2">
        <v>16823</v>
      </c>
      <c r="O998" s="2">
        <v>10511</v>
      </c>
      <c r="P998" s="2">
        <v>57592</v>
      </c>
      <c r="Q998" s="2">
        <v>196302</v>
      </c>
      <c r="R998" s="13" t="s">
        <v>27</v>
      </c>
      <c r="S998" s="13" t="s">
        <v>27</v>
      </c>
    </row>
    <row r="999" spans="1:19" hidden="1" x14ac:dyDescent="0.3">
      <c r="A999" s="14">
        <v>43932.708333333336</v>
      </c>
      <c r="B999" s="13" t="s">
        <v>23</v>
      </c>
      <c r="C999" s="2">
        <v>11</v>
      </c>
      <c r="D999" s="13" t="s">
        <v>53</v>
      </c>
      <c r="E999" s="2">
        <v>4361675973</v>
      </c>
      <c r="F999" s="2">
        <v>135188753</v>
      </c>
      <c r="G999" s="2">
        <v>960</v>
      </c>
      <c r="H999" s="2">
        <v>118</v>
      </c>
      <c r="I999" s="2">
        <v>1078</v>
      </c>
      <c r="J999" s="2">
        <v>2153</v>
      </c>
      <c r="K999" s="2">
        <v>3231</v>
      </c>
      <c r="L999" s="2">
        <v>-85</v>
      </c>
      <c r="M999" s="2">
        <v>127</v>
      </c>
      <c r="N999" s="2">
        <v>1291</v>
      </c>
      <c r="O999" s="2">
        <v>689</v>
      </c>
      <c r="P999" s="2">
        <v>5211</v>
      </c>
      <c r="Q999" s="2">
        <v>20060</v>
      </c>
      <c r="R999" s="13" t="s">
        <v>27</v>
      </c>
      <c r="S999" s="13" t="s">
        <v>27</v>
      </c>
    </row>
    <row r="1000" spans="1:19" hidden="1" x14ac:dyDescent="0.3">
      <c r="A1000" s="14">
        <v>43932.708333333336</v>
      </c>
      <c r="B1000" s="13" t="s">
        <v>23</v>
      </c>
      <c r="C1000" s="2">
        <v>14</v>
      </c>
      <c r="D1000" s="13" t="s">
        <v>54</v>
      </c>
      <c r="E1000" s="2">
        <v>4155774754</v>
      </c>
      <c r="F1000" s="2">
        <v>1465916051</v>
      </c>
      <c r="G1000" s="2">
        <v>28</v>
      </c>
      <c r="H1000" s="2">
        <v>4</v>
      </c>
      <c r="I1000" s="2">
        <v>32</v>
      </c>
      <c r="J1000" s="2">
        <v>161</v>
      </c>
      <c r="K1000" s="2">
        <v>193</v>
      </c>
      <c r="L1000" s="2">
        <v>0</v>
      </c>
      <c r="M1000" s="2">
        <v>3</v>
      </c>
      <c r="N1000" s="2">
        <v>39</v>
      </c>
      <c r="O1000" s="2">
        <v>14</v>
      </c>
      <c r="P1000" s="2">
        <v>246</v>
      </c>
      <c r="Q1000" s="2">
        <v>2201</v>
      </c>
      <c r="R1000" s="13" t="s">
        <v>27</v>
      </c>
      <c r="S1000" s="13" t="s">
        <v>27</v>
      </c>
    </row>
    <row r="1001" spans="1:19" hidden="1" x14ac:dyDescent="0.3">
      <c r="A1001" s="14">
        <v>43932.708333333336</v>
      </c>
      <c r="B1001" s="13" t="s">
        <v>23</v>
      </c>
      <c r="C1001" s="2">
        <v>1</v>
      </c>
      <c r="D1001" s="13" t="s">
        <v>55</v>
      </c>
      <c r="E1001" s="2">
        <v>450732745</v>
      </c>
      <c r="F1001" s="2">
        <v>7680687483</v>
      </c>
      <c r="G1001" s="2">
        <v>3435</v>
      </c>
      <c r="H1001" s="2">
        <v>384</v>
      </c>
      <c r="I1001" s="2">
        <v>3819</v>
      </c>
      <c r="J1001" s="2">
        <v>8351</v>
      </c>
      <c r="K1001" s="2">
        <v>12170</v>
      </c>
      <c r="L1001" s="2">
        <v>594</v>
      </c>
      <c r="M1001" s="2">
        <v>996</v>
      </c>
      <c r="N1001" s="2">
        <v>2205</v>
      </c>
      <c r="O1001" s="2">
        <v>1633</v>
      </c>
      <c r="P1001" s="2">
        <v>16008</v>
      </c>
      <c r="Q1001" s="2">
        <v>62577</v>
      </c>
      <c r="R1001" s="13" t="s">
        <v>27</v>
      </c>
      <c r="S1001" s="13" t="s">
        <v>27</v>
      </c>
    </row>
    <row r="1002" spans="1:19" hidden="1" x14ac:dyDescent="0.3">
      <c r="A1002" s="14">
        <v>43932.708333333336</v>
      </c>
      <c r="B1002" s="13" t="s">
        <v>23</v>
      </c>
      <c r="C1002" s="2">
        <v>16</v>
      </c>
      <c r="D1002" s="13" t="s">
        <v>56</v>
      </c>
      <c r="E1002" s="2">
        <v>4112559576</v>
      </c>
      <c r="F1002" s="2">
        <v>1686736689</v>
      </c>
      <c r="G1002" s="2">
        <v>627</v>
      </c>
      <c r="H1002" s="2">
        <v>73</v>
      </c>
      <c r="I1002" s="2">
        <v>700</v>
      </c>
      <c r="J1002" s="2">
        <v>1702</v>
      </c>
      <c r="K1002" s="2">
        <v>2402</v>
      </c>
      <c r="L1002" s="2">
        <v>66</v>
      </c>
      <c r="M1002" s="2">
        <v>95</v>
      </c>
      <c r="N1002" s="2">
        <v>249</v>
      </c>
      <c r="O1002" s="2">
        <v>253</v>
      </c>
      <c r="P1002" s="2">
        <v>2904</v>
      </c>
      <c r="Q1002" s="2">
        <v>29463</v>
      </c>
      <c r="R1002" s="13" t="s">
        <v>27</v>
      </c>
      <c r="S1002" s="13" t="s">
        <v>27</v>
      </c>
    </row>
    <row r="1003" spans="1:19" hidden="1" x14ac:dyDescent="0.3">
      <c r="A1003" s="14">
        <v>43932.708333333336</v>
      </c>
      <c r="B1003" s="13" t="s">
        <v>23</v>
      </c>
      <c r="C1003" s="2">
        <v>20</v>
      </c>
      <c r="D1003" s="13" t="s">
        <v>57</v>
      </c>
      <c r="E1003" s="2">
        <v>3921531192</v>
      </c>
      <c r="F1003" s="2">
        <v>9110616306</v>
      </c>
      <c r="G1003" s="2">
        <v>113</v>
      </c>
      <c r="H1003" s="2">
        <v>24</v>
      </c>
      <c r="I1003" s="2">
        <v>137</v>
      </c>
      <c r="J1003" s="2">
        <v>751</v>
      </c>
      <c r="K1003" s="2">
        <v>888</v>
      </c>
      <c r="L1003" s="2">
        <v>12</v>
      </c>
      <c r="M1003" s="2">
        <v>28</v>
      </c>
      <c r="N1003" s="2">
        <v>130</v>
      </c>
      <c r="O1003" s="2">
        <v>73</v>
      </c>
      <c r="P1003" s="2">
        <v>1091</v>
      </c>
      <c r="Q1003" s="2">
        <v>10120</v>
      </c>
      <c r="R1003" s="13" t="s">
        <v>27</v>
      </c>
      <c r="S1003" s="13" t="s">
        <v>27</v>
      </c>
    </row>
    <row r="1004" spans="1:19" hidden="1" x14ac:dyDescent="0.3">
      <c r="A1004" s="14">
        <v>43932.708333333336</v>
      </c>
      <c r="B1004" s="13" t="s">
        <v>23</v>
      </c>
      <c r="C1004" s="2">
        <v>19</v>
      </c>
      <c r="D1004" s="13" t="s">
        <v>58</v>
      </c>
      <c r="E1004" s="2">
        <v>3811569725</v>
      </c>
      <c r="F1004" s="2">
        <v>133623567</v>
      </c>
      <c r="G1004" s="2">
        <v>562</v>
      </c>
      <c r="H1004" s="2">
        <v>58</v>
      </c>
      <c r="I1004" s="2">
        <v>620</v>
      </c>
      <c r="J1004" s="2">
        <v>1381</v>
      </c>
      <c r="K1004" s="2">
        <v>2001</v>
      </c>
      <c r="L1004" s="2">
        <v>34</v>
      </c>
      <c r="M1004" s="2">
        <v>62</v>
      </c>
      <c r="N1004" s="2">
        <v>209</v>
      </c>
      <c r="O1004" s="2">
        <v>154</v>
      </c>
      <c r="P1004" s="2">
        <v>2364</v>
      </c>
      <c r="Q1004" s="2">
        <v>33787</v>
      </c>
      <c r="R1004" s="13" t="s">
        <v>27</v>
      </c>
      <c r="S1004" s="13" t="s">
        <v>27</v>
      </c>
    </row>
    <row r="1005" spans="1:19" hidden="1" x14ac:dyDescent="0.3">
      <c r="A1005" s="14">
        <v>43932.708333333336</v>
      </c>
      <c r="B1005" s="13" t="s">
        <v>23</v>
      </c>
      <c r="C1005" s="2">
        <v>9</v>
      </c>
      <c r="D1005" s="13" t="s">
        <v>59</v>
      </c>
      <c r="E1005" s="2">
        <v>4376923077</v>
      </c>
      <c r="F1005" s="2">
        <v>1125588885</v>
      </c>
      <c r="G1005" s="2">
        <v>997</v>
      </c>
      <c r="H1005" s="2">
        <v>237</v>
      </c>
      <c r="I1005" s="2">
        <v>1234</v>
      </c>
      <c r="J1005" s="2">
        <v>4758</v>
      </c>
      <c r="K1005" s="2">
        <v>5992</v>
      </c>
      <c r="L1005" s="2">
        <v>170</v>
      </c>
      <c r="M1005" s="2">
        <v>231</v>
      </c>
      <c r="N1005" s="2">
        <v>499</v>
      </c>
      <c r="O1005" s="2">
        <v>467</v>
      </c>
      <c r="P1005" s="2">
        <v>6958</v>
      </c>
      <c r="Q1005" s="2">
        <v>75756</v>
      </c>
      <c r="R1005" s="13" t="s">
        <v>27</v>
      </c>
      <c r="S1005" s="13" t="s">
        <v>27</v>
      </c>
    </row>
    <row r="1006" spans="1:19" hidden="1" x14ac:dyDescent="0.3">
      <c r="A1006" s="14">
        <v>43932.708333333336</v>
      </c>
      <c r="B1006" s="13" t="s">
        <v>23</v>
      </c>
      <c r="C1006" s="2">
        <v>4</v>
      </c>
      <c r="D1006" s="13" t="s">
        <v>60</v>
      </c>
      <c r="E1006" s="2">
        <v>4606893511</v>
      </c>
      <c r="F1006" s="2">
        <v>1112123097</v>
      </c>
      <c r="G1006" s="2">
        <v>335</v>
      </c>
      <c r="H1006" s="2">
        <v>62</v>
      </c>
      <c r="I1006" s="2">
        <v>397</v>
      </c>
      <c r="J1006" s="2">
        <v>1667</v>
      </c>
      <c r="K1006" s="2">
        <v>2064</v>
      </c>
      <c r="L1006" s="2">
        <v>70</v>
      </c>
      <c r="M1006" s="2">
        <v>154</v>
      </c>
      <c r="N1006" s="2">
        <v>622</v>
      </c>
      <c r="O1006" s="2">
        <v>284</v>
      </c>
      <c r="P1006" s="2">
        <v>2970</v>
      </c>
      <c r="Q1006" s="2">
        <v>16646</v>
      </c>
      <c r="R1006" s="13" t="s">
        <v>27</v>
      </c>
      <c r="S1006" s="13" t="s">
        <v>27</v>
      </c>
    </row>
    <row r="1007" spans="1:19" hidden="1" x14ac:dyDescent="0.3">
      <c r="A1007" s="14">
        <v>43932.708333333336</v>
      </c>
      <c r="B1007" s="13" t="s">
        <v>23</v>
      </c>
      <c r="C1007" s="2">
        <v>10</v>
      </c>
      <c r="D1007" s="13" t="s">
        <v>61</v>
      </c>
      <c r="E1007" s="2">
        <v>4310675841</v>
      </c>
      <c r="F1007" s="2">
        <v>1238824698</v>
      </c>
      <c r="G1007" s="2">
        <v>137</v>
      </c>
      <c r="H1007" s="2">
        <v>39</v>
      </c>
      <c r="I1007" s="2">
        <v>176</v>
      </c>
      <c r="J1007" s="2">
        <v>547</v>
      </c>
      <c r="K1007" s="2">
        <v>723</v>
      </c>
      <c r="L1007" s="2">
        <v>-29</v>
      </c>
      <c r="M1007" s="2">
        <v>7</v>
      </c>
      <c r="N1007" s="2">
        <v>534</v>
      </c>
      <c r="O1007" s="2">
        <v>52</v>
      </c>
      <c r="P1007" s="2">
        <v>1309</v>
      </c>
      <c r="Q1007" s="2">
        <v>17661</v>
      </c>
      <c r="R1007" s="13" t="s">
        <v>27</v>
      </c>
      <c r="S1007" s="13" t="s">
        <v>27</v>
      </c>
    </row>
    <row r="1008" spans="1:19" hidden="1" x14ac:dyDescent="0.3">
      <c r="A1008" s="14">
        <v>43932.708333333336</v>
      </c>
      <c r="B1008" s="13" t="s">
        <v>23</v>
      </c>
      <c r="C1008" s="2">
        <v>2</v>
      </c>
      <c r="D1008" s="13" t="s">
        <v>62</v>
      </c>
      <c r="E1008" s="2">
        <v>4573750286</v>
      </c>
      <c r="F1008" s="2">
        <v>7320149366</v>
      </c>
      <c r="G1008" s="2">
        <v>118</v>
      </c>
      <c r="H1008" s="2">
        <v>17</v>
      </c>
      <c r="I1008" s="2">
        <v>135</v>
      </c>
      <c r="J1008" s="2">
        <v>455</v>
      </c>
      <c r="K1008" s="2">
        <v>590</v>
      </c>
      <c r="L1008" s="2">
        <v>-12</v>
      </c>
      <c r="M1008" s="2">
        <v>23</v>
      </c>
      <c r="N1008" s="2">
        <v>205</v>
      </c>
      <c r="O1008" s="2">
        <v>107</v>
      </c>
      <c r="P1008" s="2">
        <v>902</v>
      </c>
      <c r="Q1008" s="2">
        <v>3464</v>
      </c>
      <c r="R1008" s="13" t="s">
        <v>27</v>
      </c>
      <c r="S1008" s="13" t="s">
        <v>27</v>
      </c>
    </row>
    <row r="1009" spans="1:19" hidden="1" x14ac:dyDescent="0.3">
      <c r="A1009" s="14">
        <v>43932.708333333336</v>
      </c>
      <c r="B1009" s="13" t="s">
        <v>23</v>
      </c>
      <c r="C1009" s="2">
        <v>5</v>
      </c>
      <c r="D1009" s="13" t="s">
        <v>63</v>
      </c>
      <c r="E1009" s="2">
        <v>4543490485</v>
      </c>
      <c r="F1009" s="2">
        <v>1233845213</v>
      </c>
      <c r="G1009" s="2">
        <v>1465</v>
      </c>
      <c r="H1009" s="2">
        <v>251</v>
      </c>
      <c r="I1009" s="2">
        <v>1716</v>
      </c>
      <c r="J1009" s="2">
        <v>9033</v>
      </c>
      <c r="K1009" s="2">
        <v>10749</v>
      </c>
      <c r="L1009" s="2">
        <v>102</v>
      </c>
      <c r="M1009" s="2">
        <v>347</v>
      </c>
      <c r="N1009" s="2">
        <v>2188</v>
      </c>
      <c r="O1009" s="2">
        <v>831</v>
      </c>
      <c r="P1009" s="2">
        <v>13768</v>
      </c>
      <c r="Q1009" s="2">
        <v>190912</v>
      </c>
      <c r="R1009" s="13" t="s">
        <v>27</v>
      </c>
      <c r="S1009" s="13" t="s">
        <v>27</v>
      </c>
    </row>
    <row r="1010" spans="1:19" hidden="1" x14ac:dyDescent="0.3">
      <c r="A1010" s="14">
        <v>43933.708333333336</v>
      </c>
      <c r="B1010" s="13" t="s">
        <v>23</v>
      </c>
      <c r="C1010" s="2">
        <v>13</v>
      </c>
      <c r="D1010" s="13" t="s">
        <v>44</v>
      </c>
      <c r="E1010" s="2">
        <v>4235122196</v>
      </c>
      <c r="F1010" s="2">
        <v>1339843823</v>
      </c>
      <c r="G1010" s="2">
        <v>346</v>
      </c>
      <c r="H1010" s="2">
        <v>54</v>
      </c>
      <c r="I1010" s="2">
        <v>400</v>
      </c>
      <c r="J1010" s="2">
        <v>1342</v>
      </c>
      <c r="K1010" s="2">
        <v>1742</v>
      </c>
      <c r="L1010" s="2">
        <v>18</v>
      </c>
      <c r="M1010" s="2">
        <v>40</v>
      </c>
      <c r="N1010" s="2">
        <v>206</v>
      </c>
      <c r="O1010" s="2">
        <v>212</v>
      </c>
      <c r="P1010" s="2">
        <v>2160</v>
      </c>
      <c r="Q1010" s="2">
        <v>20594</v>
      </c>
      <c r="R1010" s="13" t="s">
        <v>27</v>
      </c>
      <c r="S1010" s="13" t="s">
        <v>27</v>
      </c>
    </row>
    <row r="1011" spans="1:19" hidden="1" x14ac:dyDescent="0.3">
      <c r="A1011" s="14">
        <v>43933.708333333336</v>
      </c>
      <c r="B1011" s="13" t="s">
        <v>23</v>
      </c>
      <c r="C1011" s="2">
        <v>17</v>
      </c>
      <c r="D1011" s="13" t="s">
        <v>45</v>
      </c>
      <c r="E1011" s="2">
        <v>4063947052</v>
      </c>
      <c r="F1011" s="2">
        <v>1580514834</v>
      </c>
      <c r="G1011" s="2">
        <v>61</v>
      </c>
      <c r="H1011" s="2">
        <v>12</v>
      </c>
      <c r="I1011" s="2">
        <v>73</v>
      </c>
      <c r="J1011" s="2">
        <v>204</v>
      </c>
      <c r="K1011" s="2">
        <v>277</v>
      </c>
      <c r="L1011" s="2">
        <v>-4</v>
      </c>
      <c r="M1011" s="2">
        <v>3</v>
      </c>
      <c r="N1011" s="2">
        <v>20</v>
      </c>
      <c r="O1011" s="2">
        <v>18</v>
      </c>
      <c r="P1011" s="2">
        <v>315</v>
      </c>
      <c r="Q1011" s="2">
        <v>4355</v>
      </c>
      <c r="R1011" s="13" t="s">
        <v>27</v>
      </c>
      <c r="S1011" s="13" t="s">
        <v>27</v>
      </c>
    </row>
    <row r="1012" spans="1:19" hidden="1" x14ac:dyDescent="0.3">
      <c r="A1012" s="14">
        <v>43933.708333333336</v>
      </c>
      <c r="B1012" s="13" t="s">
        <v>23</v>
      </c>
      <c r="C1012" s="2">
        <v>4</v>
      </c>
      <c r="D1012" s="13" t="s">
        <v>46</v>
      </c>
      <c r="E1012" s="2">
        <v>4649933453</v>
      </c>
      <c r="F1012" s="2">
        <v>1135662422</v>
      </c>
      <c r="G1012" s="2">
        <v>183</v>
      </c>
      <c r="H1012" s="2">
        <v>45</v>
      </c>
      <c r="I1012" s="2">
        <v>228</v>
      </c>
      <c r="J1012" s="2">
        <v>1287</v>
      </c>
      <c r="K1012" s="2">
        <v>1515</v>
      </c>
      <c r="L1012" s="2">
        <v>246</v>
      </c>
      <c r="M1012" s="2">
        <v>141</v>
      </c>
      <c r="N1012" s="2">
        <v>378</v>
      </c>
      <c r="O1012" s="2">
        <v>205</v>
      </c>
      <c r="P1012" s="2">
        <v>2098</v>
      </c>
      <c r="Q1012" s="2">
        <v>23246</v>
      </c>
      <c r="R1012" s="13" t="s">
        <v>128</v>
      </c>
      <c r="S1012" s="13" t="s">
        <v>129</v>
      </c>
    </row>
    <row r="1013" spans="1:19" hidden="1" x14ac:dyDescent="0.3">
      <c r="A1013" s="14">
        <v>43933.708333333336</v>
      </c>
      <c r="B1013" s="13" t="s">
        <v>23</v>
      </c>
      <c r="C1013" s="2">
        <v>18</v>
      </c>
      <c r="D1013" s="13" t="s">
        <v>47</v>
      </c>
      <c r="E1013" s="2">
        <v>3890597598</v>
      </c>
      <c r="F1013" s="2">
        <v>1659440194</v>
      </c>
      <c r="G1013" s="2">
        <v>165</v>
      </c>
      <c r="H1013" s="2">
        <v>14</v>
      </c>
      <c r="I1013" s="2">
        <v>179</v>
      </c>
      <c r="J1013" s="2">
        <v>616</v>
      </c>
      <c r="K1013" s="2">
        <v>795</v>
      </c>
      <c r="L1013" s="2">
        <v>3</v>
      </c>
      <c r="M1013" s="2">
        <v>8</v>
      </c>
      <c r="N1013" s="2">
        <v>62</v>
      </c>
      <c r="O1013" s="2">
        <v>66</v>
      </c>
      <c r="P1013" s="2">
        <v>923</v>
      </c>
      <c r="Q1013" s="2">
        <v>18211</v>
      </c>
      <c r="R1013" s="13" t="s">
        <v>27</v>
      </c>
      <c r="S1013" s="13" t="s">
        <v>27</v>
      </c>
    </row>
    <row r="1014" spans="1:19" hidden="1" x14ac:dyDescent="0.3">
      <c r="A1014" s="14">
        <v>43933.708333333336</v>
      </c>
      <c r="B1014" s="13" t="s">
        <v>23</v>
      </c>
      <c r="C1014" s="2">
        <v>15</v>
      </c>
      <c r="D1014" s="13" t="s">
        <v>48</v>
      </c>
      <c r="E1014" s="2">
        <v>4083956555</v>
      </c>
      <c r="F1014" s="2">
        <v>1425084984</v>
      </c>
      <c r="G1014" s="2">
        <v>526</v>
      </c>
      <c r="H1014" s="2">
        <v>82</v>
      </c>
      <c r="I1014" s="2">
        <v>608</v>
      </c>
      <c r="J1014" s="2">
        <v>2449</v>
      </c>
      <c r="K1014" s="2">
        <v>3057</v>
      </c>
      <c r="L1014" s="2">
        <v>55</v>
      </c>
      <c r="M1014" s="2">
        <v>87</v>
      </c>
      <c r="N1014" s="2">
        <v>305</v>
      </c>
      <c r="O1014" s="2">
        <v>242</v>
      </c>
      <c r="P1014" s="2">
        <v>3604</v>
      </c>
      <c r="Q1014" s="2">
        <v>35448</v>
      </c>
      <c r="R1014" s="13" t="s">
        <v>27</v>
      </c>
      <c r="S1014" s="13" t="s">
        <v>27</v>
      </c>
    </row>
    <row r="1015" spans="1:19" hidden="1" x14ac:dyDescent="0.3">
      <c r="A1015" s="14">
        <v>43933.708333333336</v>
      </c>
      <c r="B1015" s="13" t="s">
        <v>23</v>
      </c>
      <c r="C1015" s="2">
        <v>8</v>
      </c>
      <c r="D1015" s="13" t="s">
        <v>98</v>
      </c>
      <c r="E1015" s="2">
        <v>4449436681</v>
      </c>
      <c r="F1015" s="2">
        <v>113417208</v>
      </c>
      <c r="G1015" s="2">
        <v>3491</v>
      </c>
      <c r="H1015" s="2">
        <v>335</v>
      </c>
      <c r="I1015" s="2">
        <v>3826</v>
      </c>
      <c r="J1015" s="2">
        <v>9846</v>
      </c>
      <c r="K1015" s="2">
        <v>13672</v>
      </c>
      <c r="L1015" s="2">
        <v>177</v>
      </c>
      <c r="M1015" s="2">
        <v>463</v>
      </c>
      <c r="N1015" s="2">
        <v>3862</v>
      </c>
      <c r="O1015" s="2">
        <v>2564</v>
      </c>
      <c r="P1015" s="2">
        <v>20098</v>
      </c>
      <c r="Q1015" s="2">
        <v>96704</v>
      </c>
      <c r="R1015" s="13" t="s">
        <v>27</v>
      </c>
      <c r="S1015" s="13" t="s">
        <v>27</v>
      </c>
    </row>
    <row r="1016" spans="1:19" hidden="1" x14ac:dyDescent="0.3">
      <c r="A1016" s="14">
        <v>43933.708333333336</v>
      </c>
      <c r="B1016" s="13" t="s">
        <v>23</v>
      </c>
      <c r="C1016" s="2">
        <v>6</v>
      </c>
      <c r="D1016" s="13" t="s">
        <v>49</v>
      </c>
      <c r="E1016" s="2">
        <v>456494354</v>
      </c>
      <c r="F1016" s="2">
        <v>1376813649</v>
      </c>
      <c r="G1016" s="2">
        <v>160</v>
      </c>
      <c r="H1016" s="2">
        <v>28</v>
      </c>
      <c r="I1016" s="2">
        <v>188</v>
      </c>
      <c r="J1016" s="2">
        <v>1138</v>
      </c>
      <c r="K1016" s="2">
        <v>1326</v>
      </c>
      <c r="L1016" s="2">
        <v>-56</v>
      </c>
      <c r="M1016" s="2">
        <v>38</v>
      </c>
      <c r="N1016" s="2">
        <v>910</v>
      </c>
      <c r="O1016" s="2">
        <v>195</v>
      </c>
      <c r="P1016" s="2">
        <v>2431</v>
      </c>
      <c r="Q1016" s="2">
        <v>29988</v>
      </c>
      <c r="R1016" s="13" t="s">
        <v>27</v>
      </c>
      <c r="S1016" s="13" t="s">
        <v>27</v>
      </c>
    </row>
    <row r="1017" spans="1:19" hidden="1" x14ac:dyDescent="0.3">
      <c r="A1017" s="14">
        <v>43933.708333333336</v>
      </c>
      <c r="B1017" s="13" t="s">
        <v>23</v>
      </c>
      <c r="C1017" s="2">
        <v>12</v>
      </c>
      <c r="D1017" s="13" t="s">
        <v>50</v>
      </c>
      <c r="E1017" s="2">
        <v>4189277044</v>
      </c>
      <c r="F1017" s="2">
        <v>1248366722</v>
      </c>
      <c r="G1017" s="2">
        <v>1268</v>
      </c>
      <c r="H1017" s="2">
        <v>201</v>
      </c>
      <c r="I1017" s="2">
        <v>1469</v>
      </c>
      <c r="J1017" s="2">
        <v>2348</v>
      </c>
      <c r="K1017" s="2">
        <v>3817</v>
      </c>
      <c r="L1017" s="2">
        <v>87</v>
      </c>
      <c r="M1017" s="2">
        <v>122</v>
      </c>
      <c r="N1017" s="2">
        <v>749</v>
      </c>
      <c r="O1017" s="2">
        <v>279</v>
      </c>
      <c r="P1017" s="2">
        <v>4845</v>
      </c>
      <c r="Q1017" s="2">
        <v>68954</v>
      </c>
      <c r="R1017" s="13" t="s">
        <v>27</v>
      </c>
      <c r="S1017" s="13" t="s">
        <v>27</v>
      </c>
    </row>
    <row r="1018" spans="1:19" hidden="1" x14ac:dyDescent="0.3">
      <c r="A1018" s="14">
        <v>43933.708333333336</v>
      </c>
      <c r="B1018" s="13" t="s">
        <v>23</v>
      </c>
      <c r="C1018" s="2">
        <v>7</v>
      </c>
      <c r="D1018" s="13" t="s">
        <v>51</v>
      </c>
      <c r="E1018" s="2">
        <v>4441149315</v>
      </c>
      <c r="F1018" s="2">
        <v>89326992</v>
      </c>
      <c r="G1018" s="2">
        <v>1032</v>
      </c>
      <c r="H1018" s="2">
        <v>144</v>
      </c>
      <c r="I1018" s="2">
        <v>1176</v>
      </c>
      <c r="J1018" s="2">
        <v>2157</v>
      </c>
      <c r="K1018" s="2">
        <v>3333</v>
      </c>
      <c r="L1018" s="2">
        <v>0</v>
      </c>
      <c r="M1018" s="2">
        <v>118</v>
      </c>
      <c r="N1018" s="2">
        <v>1412</v>
      </c>
      <c r="O1018" s="2">
        <v>749</v>
      </c>
      <c r="P1018" s="2">
        <v>5494</v>
      </c>
      <c r="Q1018" s="2">
        <v>21983</v>
      </c>
      <c r="R1018" s="13" t="s">
        <v>27</v>
      </c>
      <c r="S1018" s="13" t="s">
        <v>27</v>
      </c>
    </row>
    <row r="1019" spans="1:19" x14ac:dyDescent="0.3">
      <c r="A1019" s="14">
        <v>43933.708333333336</v>
      </c>
      <c r="B1019" s="13" t="s">
        <v>23</v>
      </c>
      <c r="C1019" s="2">
        <v>3</v>
      </c>
      <c r="D1019" s="13" t="s">
        <v>52</v>
      </c>
      <c r="E1019" s="2">
        <v>4546679409</v>
      </c>
      <c r="F1019" s="2">
        <v>9190347404</v>
      </c>
      <c r="G1019" s="2">
        <v>11969</v>
      </c>
      <c r="H1019" s="2">
        <v>1176</v>
      </c>
      <c r="I1019" s="2">
        <v>13145</v>
      </c>
      <c r="J1019" s="2">
        <v>18120</v>
      </c>
      <c r="K1019" s="2">
        <v>31265</v>
      </c>
      <c r="L1019" s="2">
        <v>1007</v>
      </c>
      <c r="M1019" s="2">
        <v>1460</v>
      </c>
      <c r="N1019" s="2">
        <v>17166</v>
      </c>
      <c r="O1019" s="2">
        <v>10621</v>
      </c>
      <c r="P1019" s="2">
        <v>59052</v>
      </c>
      <c r="Q1019" s="2">
        <v>205832</v>
      </c>
      <c r="R1019" s="13" t="s">
        <v>27</v>
      </c>
      <c r="S1019" s="13" t="s">
        <v>27</v>
      </c>
    </row>
    <row r="1020" spans="1:19" hidden="1" x14ac:dyDescent="0.3">
      <c r="A1020" s="14">
        <v>43933.708333333336</v>
      </c>
      <c r="B1020" s="13" t="s">
        <v>23</v>
      </c>
      <c r="C1020" s="2">
        <v>11</v>
      </c>
      <c r="D1020" s="13" t="s">
        <v>53</v>
      </c>
      <c r="E1020" s="2">
        <v>4361675973</v>
      </c>
      <c r="F1020" s="2">
        <v>135188753</v>
      </c>
      <c r="G1020" s="2">
        <v>949</v>
      </c>
      <c r="H1020" s="2">
        <v>114</v>
      </c>
      <c r="I1020" s="2">
        <v>1063</v>
      </c>
      <c r="J1020" s="2">
        <v>2051</v>
      </c>
      <c r="K1020" s="2">
        <v>3114</v>
      </c>
      <c r="L1020" s="2">
        <v>-117</v>
      </c>
      <c r="M1020" s="2">
        <v>92</v>
      </c>
      <c r="N1020" s="2">
        <v>1489</v>
      </c>
      <c r="O1020" s="2">
        <v>700</v>
      </c>
      <c r="P1020" s="2">
        <v>5303</v>
      </c>
      <c r="Q1020" s="2">
        <v>21057</v>
      </c>
      <c r="R1020" s="13" t="s">
        <v>27</v>
      </c>
      <c r="S1020" s="13" t="s">
        <v>27</v>
      </c>
    </row>
    <row r="1021" spans="1:19" hidden="1" x14ac:dyDescent="0.3">
      <c r="A1021" s="14">
        <v>43933.708333333336</v>
      </c>
      <c r="B1021" s="13" t="s">
        <v>23</v>
      </c>
      <c r="C1021" s="2">
        <v>14</v>
      </c>
      <c r="D1021" s="13" t="s">
        <v>54</v>
      </c>
      <c r="E1021" s="2">
        <v>4155774754</v>
      </c>
      <c r="F1021" s="2">
        <v>1465916051</v>
      </c>
      <c r="G1021" s="2">
        <v>27</v>
      </c>
      <c r="H1021" s="2">
        <v>4</v>
      </c>
      <c r="I1021" s="2">
        <v>31</v>
      </c>
      <c r="J1021" s="2">
        <v>171</v>
      </c>
      <c r="K1021" s="2">
        <v>202</v>
      </c>
      <c r="L1021" s="2">
        <v>9</v>
      </c>
      <c r="M1021" s="2">
        <v>11</v>
      </c>
      <c r="N1021" s="2">
        <v>40</v>
      </c>
      <c r="O1021" s="2">
        <v>15</v>
      </c>
      <c r="P1021" s="2">
        <v>257</v>
      </c>
      <c r="Q1021" s="2">
        <v>2471</v>
      </c>
      <c r="R1021" s="13" t="s">
        <v>27</v>
      </c>
      <c r="S1021" s="13" t="s">
        <v>27</v>
      </c>
    </row>
    <row r="1022" spans="1:19" hidden="1" x14ac:dyDescent="0.3">
      <c r="A1022" s="14">
        <v>43933.708333333336</v>
      </c>
      <c r="B1022" s="13" t="s">
        <v>23</v>
      </c>
      <c r="C1022" s="2">
        <v>1</v>
      </c>
      <c r="D1022" s="13" t="s">
        <v>55</v>
      </c>
      <c r="E1022" s="2">
        <v>450732745</v>
      </c>
      <c r="F1022" s="2">
        <v>7680687483</v>
      </c>
      <c r="G1022" s="2">
        <v>3429</v>
      </c>
      <c r="H1022" s="2">
        <v>381</v>
      </c>
      <c r="I1022" s="2">
        <v>3810</v>
      </c>
      <c r="J1022" s="2">
        <v>8695</v>
      </c>
      <c r="K1022" s="2">
        <v>12505</v>
      </c>
      <c r="L1022" s="2">
        <v>335</v>
      </c>
      <c r="M1022" s="2">
        <v>652</v>
      </c>
      <c r="N1022" s="2">
        <v>2426</v>
      </c>
      <c r="O1022" s="2">
        <v>1729</v>
      </c>
      <c r="P1022" s="2">
        <v>16660</v>
      </c>
      <c r="Q1022" s="2">
        <v>66555</v>
      </c>
      <c r="R1022" s="13" t="s">
        <v>27</v>
      </c>
      <c r="S1022" s="13" t="s">
        <v>27</v>
      </c>
    </row>
    <row r="1023" spans="1:19" hidden="1" x14ac:dyDescent="0.3">
      <c r="A1023" s="14">
        <v>43933.708333333336</v>
      </c>
      <c r="B1023" s="13" t="s">
        <v>23</v>
      </c>
      <c r="C1023" s="2">
        <v>16</v>
      </c>
      <c r="D1023" s="13" t="s">
        <v>56</v>
      </c>
      <c r="E1023" s="2">
        <v>4112559576</v>
      </c>
      <c r="F1023" s="2">
        <v>1686736689</v>
      </c>
      <c r="G1023" s="2">
        <v>609</v>
      </c>
      <c r="H1023" s="2">
        <v>71</v>
      </c>
      <c r="I1023" s="2">
        <v>680</v>
      </c>
      <c r="J1023" s="2">
        <v>1772</v>
      </c>
      <c r="K1023" s="2">
        <v>2452</v>
      </c>
      <c r="L1023" s="2">
        <v>50</v>
      </c>
      <c r="M1023" s="2">
        <v>85</v>
      </c>
      <c r="N1023" s="2">
        <v>277</v>
      </c>
      <c r="O1023" s="2">
        <v>260</v>
      </c>
      <c r="P1023" s="2">
        <v>2989</v>
      </c>
      <c r="Q1023" s="2">
        <v>30973</v>
      </c>
      <c r="R1023" s="13" t="s">
        <v>27</v>
      </c>
      <c r="S1023" s="13" t="s">
        <v>27</v>
      </c>
    </row>
    <row r="1024" spans="1:19" hidden="1" x14ac:dyDescent="0.3">
      <c r="A1024" s="14">
        <v>43933.708333333336</v>
      </c>
      <c r="B1024" s="13" t="s">
        <v>23</v>
      </c>
      <c r="C1024" s="2">
        <v>20</v>
      </c>
      <c r="D1024" s="13" t="s">
        <v>57</v>
      </c>
      <c r="E1024" s="2">
        <v>3921531192</v>
      </c>
      <c r="F1024" s="2">
        <v>9110616306</v>
      </c>
      <c r="G1024" s="2">
        <v>109</v>
      </c>
      <c r="H1024" s="2">
        <v>26</v>
      </c>
      <c r="I1024" s="2">
        <v>135</v>
      </c>
      <c r="J1024" s="2">
        <v>768</v>
      </c>
      <c r="K1024" s="2">
        <v>903</v>
      </c>
      <c r="L1024" s="2">
        <v>15</v>
      </c>
      <c r="M1024" s="2">
        <v>22</v>
      </c>
      <c r="N1024" s="2">
        <v>137</v>
      </c>
      <c r="O1024" s="2">
        <v>73</v>
      </c>
      <c r="P1024" s="2">
        <v>1113</v>
      </c>
      <c r="Q1024" s="2">
        <v>10663</v>
      </c>
      <c r="R1024" s="13" t="s">
        <v>27</v>
      </c>
      <c r="S1024" s="13" t="s">
        <v>27</v>
      </c>
    </row>
    <row r="1025" spans="1:19" hidden="1" x14ac:dyDescent="0.3">
      <c r="A1025" s="14">
        <v>43933.708333333336</v>
      </c>
      <c r="B1025" s="13" t="s">
        <v>23</v>
      </c>
      <c r="C1025" s="2">
        <v>19</v>
      </c>
      <c r="D1025" s="13" t="s">
        <v>58</v>
      </c>
      <c r="E1025" s="2">
        <v>3811569725</v>
      </c>
      <c r="F1025" s="2">
        <v>133623567</v>
      </c>
      <c r="G1025" s="2">
        <v>552</v>
      </c>
      <c r="H1025" s="2">
        <v>53</v>
      </c>
      <c r="I1025" s="2">
        <v>605</v>
      </c>
      <c r="J1025" s="2">
        <v>1425</v>
      </c>
      <c r="K1025" s="2">
        <v>2030</v>
      </c>
      <c r="L1025" s="2">
        <v>29</v>
      </c>
      <c r="M1025" s="2">
        <v>52</v>
      </c>
      <c r="N1025" s="2">
        <v>223</v>
      </c>
      <c r="O1025" s="2">
        <v>163</v>
      </c>
      <c r="P1025" s="2">
        <v>2416</v>
      </c>
      <c r="Q1025" s="2">
        <v>36098</v>
      </c>
      <c r="R1025" s="13" t="s">
        <v>27</v>
      </c>
      <c r="S1025" s="13" t="s">
        <v>27</v>
      </c>
    </row>
    <row r="1026" spans="1:19" hidden="1" x14ac:dyDescent="0.3">
      <c r="A1026" s="14">
        <v>43933.708333333336</v>
      </c>
      <c r="B1026" s="13" t="s">
        <v>23</v>
      </c>
      <c r="C1026" s="2">
        <v>9</v>
      </c>
      <c r="D1026" s="13" t="s">
        <v>59</v>
      </c>
      <c r="E1026" s="2">
        <v>4376923077</v>
      </c>
      <c r="F1026" s="2">
        <v>1125588885</v>
      </c>
      <c r="G1026" s="2">
        <v>983</v>
      </c>
      <c r="H1026" s="2">
        <v>238</v>
      </c>
      <c r="I1026" s="2">
        <v>1221</v>
      </c>
      <c r="J1026" s="2">
        <v>4941</v>
      </c>
      <c r="K1026" s="2">
        <v>6162</v>
      </c>
      <c r="L1026" s="2">
        <v>170</v>
      </c>
      <c r="M1026" s="2">
        <v>277</v>
      </c>
      <c r="N1026" s="2">
        <v>578</v>
      </c>
      <c r="O1026" s="2">
        <v>495</v>
      </c>
      <c r="P1026" s="2">
        <v>7235</v>
      </c>
      <c r="Q1026" s="2">
        <v>78640</v>
      </c>
      <c r="R1026" s="13" t="s">
        <v>27</v>
      </c>
      <c r="S1026" s="13" t="s">
        <v>27</v>
      </c>
    </row>
    <row r="1027" spans="1:19" hidden="1" x14ac:dyDescent="0.3">
      <c r="A1027" s="14">
        <v>43933.708333333336</v>
      </c>
      <c r="B1027" s="13" t="s">
        <v>23</v>
      </c>
      <c r="C1027" s="2">
        <v>4</v>
      </c>
      <c r="D1027" s="13" t="s">
        <v>60</v>
      </c>
      <c r="E1027" s="2">
        <v>4606893511</v>
      </c>
      <c r="F1027" s="2">
        <v>1112123097</v>
      </c>
      <c r="G1027" s="2">
        <v>322</v>
      </c>
      <c r="H1027" s="2">
        <v>61</v>
      </c>
      <c r="I1027" s="2">
        <v>383</v>
      </c>
      <c r="J1027" s="2">
        <v>1699</v>
      </c>
      <c r="K1027" s="2">
        <v>2082</v>
      </c>
      <c r="L1027" s="2">
        <v>18</v>
      </c>
      <c r="M1027" s="2">
        <v>83</v>
      </c>
      <c r="N1027" s="2">
        <v>678</v>
      </c>
      <c r="O1027" s="2">
        <v>293</v>
      </c>
      <c r="P1027" s="2">
        <v>3053</v>
      </c>
      <c r="Q1027" s="2">
        <v>17797</v>
      </c>
      <c r="R1027" s="13" t="s">
        <v>27</v>
      </c>
      <c r="S1027" s="13" t="s">
        <v>27</v>
      </c>
    </row>
    <row r="1028" spans="1:19" hidden="1" x14ac:dyDescent="0.3">
      <c r="A1028" s="14">
        <v>43933.708333333336</v>
      </c>
      <c r="B1028" s="13" t="s">
        <v>23</v>
      </c>
      <c r="C1028" s="2">
        <v>10</v>
      </c>
      <c r="D1028" s="13" t="s">
        <v>61</v>
      </c>
      <c r="E1028" s="2">
        <v>4310675841</v>
      </c>
      <c r="F1028" s="2">
        <v>1238824698</v>
      </c>
      <c r="G1028" s="2">
        <v>129</v>
      </c>
      <c r="H1028" s="2">
        <v>39</v>
      </c>
      <c r="I1028" s="2">
        <v>168</v>
      </c>
      <c r="J1028" s="2">
        <v>519</v>
      </c>
      <c r="K1028" s="2">
        <v>687</v>
      </c>
      <c r="L1028" s="2">
        <v>-36</v>
      </c>
      <c r="M1028" s="2">
        <v>10</v>
      </c>
      <c r="N1028" s="2">
        <v>580</v>
      </c>
      <c r="O1028" s="2">
        <v>52</v>
      </c>
      <c r="P1028" s="2">
        <v>1319</v>
      </c>
      <c r="Q1028" s="2">
        <v>18672</v>
      </c>
      <c r="R1028" s="13" t="s">
        <v>27</v>
      </c>
      <c r="S1028" s="13" t="s">
        <v>27</v>
      </c>
    </row>
    <row r="1029" spans="1:19" hidden="1" x14ac:dyDescent="0.3">
      <c r="A1029" s="14">
        <v>43933.708333333336</v>
      </c>
      <c r="B1029" s="13" t="s">
        <v>23</v>
      </c>
      <c r="C1029" s="2">
        <v>2</v>
      </c>
      <c r="D1029" s="13" t="s">
        <v>62</v>
      </c>
      <c r="E1029" s="2">
        <v>4573750286</v>
      </c>
      <c r="F1029" s="2">
        <v>7320149366</v>
      </c>
      <c r="G1029" s="2">
        <v>109</v>
      </c>
      <c r="H1029" s="2">
        <v>16</v>
      </c>
      <c r="I1029" s="2">
        <v>125</v>
      </c>
      <c r="J1029" s="2">
        <v>463</v>
      </c>
      <c r="K1029" s="2">
        <v>588</v>
      </c>
      <c r="L1029" s="2">
        <v>-2</v>
      </c>
      <c r="M1029" s="2">
        <v>19</v>
      </c>
      <c r="N1029" s="2">
        <v>221</v>
      </c>
      <c r="O1029" s="2">
        <v>112</v>
      </c>
      <c r="P1029" s="2">
        <v>921</v>
      </c>
      <c r="Q1029" s="2">
        <v>3510</v>
      </c>
      <c r="R1029" s="13" t="s">
        <v>27</v>
      </c>
      <c r="S1029" s="13" t="s">
        <v>27</v>
      </c>
    </row>
    <row r="1030" spans="1:19" hidden="1" x14ac:dyDescent="0.3">
      <c r="A1030" s="14">
        <v>43933.708333333336</v>
      </c>
      <c r="B1030" s="13" t="s">
        <v>23</v>
      </c>
      <c r="C1030" s="2">
        <v>5</v>
      </c>
      <c r="D1030" s="13" t="s">
        <v>63</v>
      </c>
      <c r="E1030" s="2">
        <v>4543490485</v>
      </c>
      <c r="F1030" s="2">
        <v>1233845213</v>
      </c>
      <c r="G1030" s="2">
        <v>1428</v>
      </c>
      <c r="H1030" s="2">
        <v>249</v>
      </c>
      <c r="I1030" s="2">
        <v>1677</v>
      </c>
      <c r="J1030" s="2">
        <v>9052</v>
      </c>
      <c r="K1030" s="2">
        <v>10729</v>
      </c>
      <c r="L1030" s="2">
        <v>-20</v>
      </c>
      <c r="M1030" s="2">
        <v>309</v>
      </c>
      <c r="N1030" s="2">
        <v>2492</v>
      </c>
      <c r="O1030" s="2">
        <v>856</v>
      </c>
      <c r="P1030" s="2">
        <v>14077</v>
      </c>
      <c r="Q1030" s="2">
        <v>198442</v>
      </c>
      <c r="R1030" s="13" t="s">
        <v>27</v>
      </c>
      <c r="S1030" s="13" t="s">
        <v>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23BE1-A73A-4B3E-A39D-9FF5F0128F57}">
  <dimension ref="B2:AN78"/>
  <sheetViews>
    <sheetView tabSelected="1" zoomScale="55" zoomScaleNormal="55" workbookViewId="0"/>
  </sheetViews>
  <sheetFormatPr defaultRowHeight="14.4" x14ac:dyDescent="0.3"/>
  <cols>
    <col min="1" max="1" width="2.77734375" style="2" customWidth="1"/>
    <col min="2" max="2" width="15.109375" style="2" bestFit="1" customWidth="1"/>
    <col min="3" max="3" width="14" style="2" bestFit="1" customWidth="1"/>
    <col min="4" max="4" width="27.33203125" style="2" bestFit="1" customWidth="1"/>
    <col min="5" max="5" width="15.5546875" style="2" bestFit="1" customWidth="1"/>
    <col min="6" max="6" width="14.44140625" style="2" bestFit="1" customWidth="1"/>
    <col min="7" max="7" width="16.21875" style="2" bestFit="1" customWidth="1"/>
    <col min="8" max="8" width="9.33203125" style="2" customWidth="1"/>
    <col min="9" max="9" width="16.21875" style="2" bestFit="1" customWidth="1"/>
    <col min="10" max="10" width="16.44140625" style="2" bestFit="1" customWidth="1"/>
    <col min="11" max="11" width="10.33203125" style="2" customWidth="1"/>
    <col min="12" max="12" width="11.5546875" style="2" customWidth="1"/>
    <col min="13" max="13" width="15.5546875" style="2" bestFit="1" customWidth="1"/>
    <col min="14" max="14" width="13.44140625" style="2" bestFit="1" customWidth="1"/>
    <col min="15" max="15" width="15.5546875" style="2" bestFit="1" customWidth="1"/>
    <col min="16" max="16" width="12.21875" style="2" customWidth="1"/>
    <col min="17" max="17" width="12.109375" style="2" customWidth="1"/>
    <col min="18" max="19" width="10" style="2" customWidth="1"/>
    <col min="20" max="21" width="13.6640625" style="2" customWidth="1"/>
    <col min="22" max="22" width="13.77734375" style="2" customWidth="1"/>
    <col min="23" max="23" width="13.6640625" style="2" customWidth="1"/>
    <col min="24" max="24" width="1.77734375" style="2" customWidth="1"/>
    <col min="25" max="25" width="16.6640625" style="2" customWidth="1"/>
    <col min="26" max="26" width="14.88671875" style="2" customWidth="1"/>
    <col min="27" max="30" width="8.88671875" style="2"/>
    <col min="31" max="31" width="11" style="2" bestFit="1" customWidth="1"/>
    <col min="32" max="39" width="8.88671875" style="2"/>
    <col min="40" max="40" width="9.5546875" style="2" bestFit="1" customWidth="1"/>
    <col min="41" max="16384" width="8.88671875" style="2"/>
  </cols>
  <sheetData>
    <row r="2" spans="2:40" ht="24" thickBot="1" x14ac:dyDescent="0.5">
      <c r="B2" s="86" t="s">
        <v>12</v>
      </c>
      <c r="C2" s="86"/>
      <c r="D2" s="86"/>
      <c r="E2" s="86"/>
      <c r="F2" s="86"/>
      <c r="G2" s="86"/>
      <c r="H2" s="86"/>
      <c r="I2" s="86"/>
    </row>
    <row r="3" spans="2:40" ht="17.399999999999999" customHeight="1" thickBot="1" x14ac:dyDescent="0.65">
      <c r="B3" s="11"/>
      <c r="H3" s="87"/>
      <c r="I3" s="87"/>
      <c r="AA3" s="26" t="s">
        <v>0</v>
      </c>
      <c r="AB3" s="88" t="s">
        <v>130</v>
      </c>
      <c r="AC3" s="88"/>
      <c r="AD3" s="88"/>
      <c r="AE3" s="88"/>
      <c r="AF3" s="88"/>
    </row>
    <row r="4" spans="2:40" ht="20.399999999999999" thickBot="1" x14ac:dyDescent="0.45">
      <c r="B4" s="89" t="s">
        <v>149</v>
      </c>
      <c r="C4" s="89"/>
      <c r="D4" s="89"/>
      <c r="E4" s="89"/>
      <c r="F4" s="89"/>
      <c r="G4" s="89"/>
      <c r="H4" s="87"/>
      <c r="I4" s="87"/>
      <c r="AA4" s="26" t="s">
        <v>131</v>
      </c>
      <c r="AB4" s="88" t="s">
        <v>130</v>
      </c>
      <c r="AC4" s="88"/>
      <c r="AD4" s="88"/>
      <c r="AE4" s="88"/>
      <c r="AF4" s="88"/>
    </row>
    <row r="5" spans="2:40" ht="18.600000000000001" thickTop="1" thickBot="1" x14ac:dyDescent="0.4">
      <c r="B5" s="90" t="s">
        <v>150</v>
      </c>
      <c r="C5" s="90"/>
      <c r="D5" s="90"/>
      <c r="E5" s="90"/>
      <c r="F5" s="90"/>
      <c r="G5" s="90"/>
      <c r="H5" s="87"/>
      <c r="I5" s="87"/>
      <c r="AA5" s="26" t="s">
        <v>1</v>
      </c>
      <c r="AB5" s="91" t="s">
        <v>130</v>
      </c>
      <c r="AC5" s="91"/>
      <c r="AD5" s="91"/>
      <c r="AE5" s="91"/>
      <c r="AF5" s="91"/>
    </row>
    <row r="6" spans="2:40" ht="19.2" thickTop="1" thickBot="1" x14ac:dyDescent="0.4">
      <c r="B6" s="19"/>
      <c r="C6" s="19"/>
      <c r="D6" s="19"/>
      <c r="E6" s="19"/>
      <c r="F6" s="19"/>
      <c r="G6" s="19"/>
      <c r="H6" s="87"/>
      <c r="I6" s="87"/>
      <c r="AA6" s="16"/>
      <c r="AB6" s="15"/>
      <c r="AC6" s="12"/>
      <c r="AD6" s="12"/>
    </row>
    <row r="7" spans="2:40" ht="28.8" x14ac:dyDescent="0.3">
      <c r="B7" s="4" t="s">
        <v>10</v>
      </c>
      <c r="C7" s="4" t="s">
        <v>11</v>
      </c>
      <c r="D7" s="4" t="s">
        <v>87</v>
      </c>
      <c r="E7" s="4" t="s">
        <v>115</v>
      </c>
      <c r="F7" s="8" t="s">
        <v>132</v>
      </c>
      <c r="G7" s="8" t="s">
        <v>116</v>
      </c>
      <c r="H7" s="8" t="s">
        <v>88</v>
      </c>
      <c r="I7" s="8" t="s">
        <v>117</v>
      </c>
      <c r="J7" s="8" t="s">
        <v>8</v>
      </c>
      <c r="K7" s="8" t="s">
        <v>9</v>
      </c>
      <c r="L7" s="4" t="s">
        <v>86</v>
      </c>
      <c r="M7" s="4" t="s">
        <v>118</v>
      </c>
      <c r="N7" s="8" t="s">
        <v>133</v>
      </c>
      <c r="O7" s="8" t="s">
        <v>119</v>
      </c>
      <c r="P7" s="8" t="s">
        <v>81</v>
      </c>
      <c r="Q7" s="8" t="s">
        <v>82</v>
      </c>
      <c r="R7" s="4" t="s">
        <v>134</v>
      </c>
      <c r="S7" s="4" t="s">
        <v>120</v>
      </c>
      <c r="T7" s="8" t="s">
        <v>135</v>
      </c>
      <c r="U7" s="8" t="s">
        <v>121</v>
      </c>
      <c r="V7" s="8" t="s">
        <v>83</v>
      </c>
      <c r="W7" s="8" t="s">
        <v>84</v>
      </c>
      <c r="X7" s="8"/>
      <c r="Y7" s="27" t="s">
        <v>136</v>
      </c>
      <c r="Z7" s="28" t="s">
        <v>132</v>
      </c>
      <c r="AA7" s="3"/>
      <c r="AN7" s="58" t="s">
        <v>114</v>
      </c>
    </row>
    <row r="8" spans="2:40" x14ac:dyDescent="0.3">
      <c r="B8" s="18">
        <v>43885</v>
      </c>
      <c r="C8" s="4">
        <v>0</v>
      </c>
      <c r="D8" s="10">
        <f>'dpc-covid19-ita-andamento-naz'!K2</f>
        <v>7</v>
      </c>
      <c r="E8" s="10">
        <f>Tabella8[[#This Row],[Italy cumulative]]*NOT(ISBLANK(Tabella8[[#This Row],[Italy cumulative]]))</f>
        <v>7</v>
      </c>
      <c r="F8" s="10">
        <f>Tabella8[[#This Row],[Lombardy fit]]+Tabella8[[#This Row],[rest of Italy fit]]</f>
        <v>5.2638232508796755E-2</v>
      </c>
      <c r="G8" s="10">
        <f>Tabella8[[#This Row],[Italy sum]]*NOT(ISBLANK(Tabella8[[#This Row],[Italy cumulative]]))</f>
        <v>5.2638232508796755E-2</v>
      </c>
      <c r="H8" s="29">
        <f>Kt*EXP(-EXP(-(Tabella8[[#This Row],[Day]]-t0t)/wt))</f>
        <v>6.2963556191806172E-2</v>
      </c>
      <c r="I8" s="10">
        <f>Tabella8[[#This Row],[Italy fit]]*NOT(ISBLANK(Tabella8[[#This Row],[Italy cumulative]]))</f>
        <v>6.2963556191806172E-2</v>
      </c>
      <c r="J8" s="10">
        <f>Tabella8[[#This Row],[Italy sum]]+CI</f>
        <v>212.66617636655684</v>
      </c>
      <c r="K8" s="10">
        <f>MAX(Tabella8[[#This Row],[Italy sum]]-CI,0)</f>
        <v>0</v>
      </c>
      <c r="L8" s="4">
        <v>6</v>
      </c>
      <c r="M8" s="10">
        <f>Tabella8[[#This Row],[Lombardy]]*NOT(ISBLANK(Tabella8[[#This Row],[Lombardy]]))</f>
        <v>6</v>
      </c>
      <c r="N8" s="29">
        <f>Kr*EXP(-EXP(-(Tabella8[[#This Row],[Day]]-t0r)/wr))</f>
        <v>4.1937547951869318E-2</v>
      </c>
      <c r="O8" s="10">
        <f>Tabella8[[#This Row],[Lombardy fit]]*NOT(ISBLANK(Tabella8[[#This Row],[Lombardy]]))</f>
        <v>4.1937547951869318E-2</v>
      </c>
      <c r="P8" s="10">
        <f>Tabella8[[#This Row],[Lombardy fit]]+CIr</f>
        <v>179.37815475522257</v>
      </c>
      <c r="Q8" s="10">
        <f>MAX(Tabella8[[#This Row],[Lombardy fit]]-CIr,0)</f>
        <v>0</v>
      </c>
      <c r="R8" s="10">
        <f>Tabella8[[#This Row],[Italy cumulative]]-Tabella8[[#This Row],[Lombardy]]</f>
        <v>1</v>
      </c>
      <c r="S8" s="10">
        <f>Tabella8[[#This Row],[rest of Italy ]]*NOT(ISBLANK(Tabella8[[#This Row],[rest of Italy ]]))</f>
        <v>1</v>
      </c>
      <c r="T8" s="29">
        <f>Ko*EXP(-EXP(-(Tabella8[[#This Row],[Day]]-t0o)/wo))</f>
        <v>1.0700684556927438E-2</v>
      </c>
      <c r="U8" s="29">
        <f>Tabella8[[#This Row],[rest of Italy fit]]*NOT(ISBLANK(Tabella8[[#This Row],[rest of Italy ]]))</f>
        <v>1.0700684556927438E-2</v>
      </c>
      <c r="V8" s="10">
        <f>Tabella8[[#This Row],[rest of Italy fit]]+CIo</f>
        <v>73.761504505045679</v>
      </c>
      <c r="W8" s="10">
        <f>MAX(Tabella8[[#This Row],[rest of Italy fit]]-CIo,0)</f>
        <v>0</v>
      </c>
      <c r="X8" s="1"/>
      <c r="Y8" s="30"/>
      <c r="Z8" s="31"/>
      <c r="AN8" s="95"/>
    </row>
    <row r="9" spans="2:40" x14ac:dyDescent="0.3">
      <c r="B9" s="9">
        <v>43886</v>
      </c>
      <c r="C9" s="4">
        <f>C8+1</f>
        <v>1</v>
      </c>
      <c r="D9" s="10">
        <f>'dpc-covid19-ita-andamento-naz'!K3</f>
        <v>10</v>
      </c>
      <c r="E9" s="10">
        <f>Tabella8[[#This Row],[Italy cumulative]]*NOT(ISBLANK(Tabella8[[#This Row],[Italy cumulative]]))</f>
        <v>10</v>
      </c>
      <c r="F9" s="10">
        <f>Tabella8[[#This Row],[Lombardy fit]]+Tabella8[[#This Row],[rest of Italy fit]]</f>
        <v>0.14311613765579281</v>
      </c>
      <c r="G9" s="10">
        <f>Tabella8[[#This Row],[Italy sum]]*NOT(ISBLANK(Tabella8[[#This Row],[Italy cumulative]]))</f>
        <v>0.14311613765579281</v>
      </c>
      <c r="H9" s="29">
        <f>Kt*EXP(-EXP(-(Tabella8[[#This Row],[Day]]-t0t)/wt))</f>
        <v>0.16543383275506249</v>
      </c>
      <c r="I9" s="10">
        <f>Tabella8[[#This Row],[Italy fit]]*NOT(ISBLANK(Tabella8[[#This Row],[Italy cumulative]]))</f>
        <v>0.16543383275506249</v>
      </c>
      <c r="J9" s="10">
        <f>Tabella8[[#This Row],[Italy sum]]+CI</f>
        <v>212.75665427170384</v>
      </c>
      <c r="K9" s="10">
        <f>MAX(Tabella8[[#This Row],[Italy sum]]-CI,0)</f>
        <v>0</v>
      </c>
      <c r="L9" s="4">
        <v>9</v>
      </c>
      <c r="M9" s="10">
        <f>Tabella8[[#This Row],[Lombardy]]*NOT(ISBLANK(Tabella8[[#This Row],[Lombardy]]))</f>
        <v>9</v>
      </c>
      <c r="N9" s="29">
        <f>Kr*EXP(-EXP(-(Tabella8[[#This Row],[Day]]-t0r)/wr))</f>
        <v>0.11391387560367425</v>
      </c>
      <c r="O9" s="10">
        <f>Tabella8[[#This Row],[Lombardy fit]]*NOT(ISBLANK(Tabella8[[#This Row],[Lombardy]]))</f>
        <v>0.11391387560367425</v>
      </c>
      <c r="P9" s="10">
        <f>Tabella8[[#This Row],[Lombardy fit]]+CIr</f>
        <v>179.45013108287438</v>
      </c>
      <c r="Q9" s="10">
        <f>MAX(Tabella8[[#This Row],[Lombardy fit]]-CIr,0)</f>
        <v>0</v>
      </c>
      <c r="R9" s="10">
        <f>Tabella8[[#This Row],[Italy cumulative]]-Tabella8[[#This Row],[Lombardy]]</f>
        <v>1</v>
      </c>
      <c r="S9" s="10">
        <f>Tabella8[[#This Row],[rest of Italy ]]*NOT(ISBLANK(Tabella8[[#This Row],[rest of Italy ]]))</f>
        <v>1</v>
      </c>
      <c r="T9" s="29">
        <f>Ko*EXP(-EXP(-(Tabella8[[#This Row],[Day]]-t0o)/wo))</f>
        <v>2.9202262052118566E-2</v>
      </c>
      <c r="U9" s="29">
        <f>Tabella8[[#This Row],[rest of Italy fit]]*NOT(ISBLANK(Tabella8[[#This Row],[rest of Italy ]]))</f>
        <v>2.9202262052118566E-2</v>
      </c>
      <c r="V9" s="10">
        <f>Tabella8[[#This Row],[rest of Italy fit]]+CIo</f>
        <v>73.780006082540879</v>
      </c>
      <c r="W9" s="10">
        <f>MAX(Tabella8[[#This Row],[rest of Italy fit]]-CIo,0)</f>
        <v>0</v>
      </c>
      <c r="X9" s="1"/>
      <c r="Y9" s="30"/>
      <c r="Z9" s="31"/>
      <c r="AN9" s="71"/>
    </row>
    <row r="10" spans="2:40" x14ac:dyDescent="0.3">
      <c r="B10" s="9">
        <v>43887</v>
      </c>
      <c r="C10" s="4">
        <f t="shared" ref="C10:C73" si="0">C9+1</f>
        <v>2</v>
      </c>
      <c r="D10" s="10">
        <f>'dpc-covid19-ita-andamento-naz'!K4</f>
        <v>12</v>
      </c>
      <c r="E10" s="10">
        <f>Tabella8[[#This Row],[Italy cumulative]]*NOT(ISBLANK(Tabella8[[#This Row],[Italy cumulative]]))</f>
        <v>12</v>
      </c>
      <c r="F10" s="10">
        <f>Tabella8[[#This Row],[Lombardy fit]]+Tabella8[[#This Row],[rest of Italy fit]]</f>
        <v>0.36021622897722455</v>
      </c>
      <c r="G10" s="10">
        <f>Tabella8[[#This Row],[Italy sum]]*NOT(ISBLANK(Tabella8[[#This Row],[Italy cumulative]]))</f>
        <v>0.36021622897722455</v>
      </c>
      <c r="H10" s="29">
        <f>Kt*EXP(-EXP(-(Tabella8[[#This Row],[Day]]-t0t)/wt))</f>
        <v>0.40452485664261978</v>
      </c>
      <c r="I10" s="10">
        <f>Tabella8[[#This Row],[Italy fit]]*NOT(ISBLANK(Tabella8[[#This Row],[Italy cumulative]]))</f>
        <v>0.40452485664261978</v>
      </c>
      <c r="J10" s="10">
        <f>Tabella8[[#This Row],[Italy sum]]+CI</f>
        <v>212.97375436302528</v>
      </c>
      <c r="K10" s="10">
        <f>MAX(Tabella8[[#This Row],[Italy sum]]-CI,0)</f>
        <v>0</v>
      </c>
      <c r="L10" s="4">
        <v>9</v>
      </c>
      <c r="M10" s="10">
        <f>Tabella8[[#This Row],[Lombardy]]*NOT(ISBLANK(Tabella8[[#This Row],[Lombardy]]))</f>
        <v>9</v>
      </c>
      <c r="N10" s="29">
        <f>Kr*EXP(-EXP(-(Tabella8[[#This Row],[Day]]-t0r)/wr))</f>
        <v>0.28603294294396803</v>
      </c>
      <c r="O10" s="10">
        <f>Tabella8[[#This Row],[Lombardy fit]]*NOT(ISBLANK(Tabella8[[#This Row],[Lombardy]]))</f>
        <v>0.28603294294396803</v>
      </c>
      <c r="P10" s="10">
        <f>Tabella8[[#This Row],[Lombardy fit]]+CIr</f>
        <v>179.62225015021465</v>
      </c>
      <c r="Q10" s="10">
        <f>MAX(Tabella8[[#This Row],[Lombardy fit]]-CIr,0)</f>
        <v>0</v>
      </c>
      <c r="R10" s="10">
        <f>Tabella8[[#This Row],[Italy cumulative]]-Tabella8[[#This Row],[Lombardy]]</f>
        <v>3</v>
      </c>
      <c r="S10" s="10">
        <f>Tabella8[[#This Row],[rest of Italy ]]*NOT(ISBLANK(Tabella8[[#This Row],[rest of Italy ]]))</f>
        <v>3</v>
      </c>
      <c r="T10" s="29">
        <f>Ko*EXP(-EXP(-(Tabella8[[#This Row],[Day]]-t0o)/wo))</f>
        <v>7.4183286033256524E-2</v>
      </c>
      <c r="U10" s="29">
        <f>Tabella8[[#This Row],[rest of Italy fit]]*NOT(ISBLANK(Tabella8[[#This Row],[rest of Italy ]]))</f>
        <v>7.4183286033256524E-2</v>
      </c>
      <c r="V10" s="10">
        <f>Tabella8[[#This Row],[rest of Italy fit]]+CIo</f>
        <v>73.824987106522016</v>
      </c>
      <c r="W10" s="10">
        <f>MAX(Tabella8[[#This Row],[rest of Italy fit]]-CIo,0)</f>
        <v>0</v>
      </c>
      <c r="X10" s="1"/>
      <c r="Y10" s="30"/>
      <c r="Z10" s="31"/>
      <c r="AN10" s="71"/>
    </row>
    <row r="11" spans="2:40" x14ac:dyDescent="0.3">
      <c r="B11" s="9">
        <v>43888</v>
      </c>
      <c r="C11" s="4">
        <f t="shared" si="0"/>
        <v>3</v>
      </c>
      <c r="D11" s="10">
        <f>'dpc-covid19-ita-andamento-naz'!K5</f>
        <v>17</v>
      </c>
      <c r="E11" s="10">
        <f>Tabella8[[#This Row],[Italy cumulative]]*NOT(ISBLANK(Tabella8[[#This Row],[Italy cumulative]]))</f>
        <v>17</v>
      </c>
      <c r="F11" s="10">
        <f>Tabella8[[#This Row],[Lombardy fit]]+Tabella8[[#This Row],[rest of Italy fit]]</f>
        <v>0.84436533416991399</v>
      </c>
      <c r="G11" s="10">
        <f>Tabella8[[#This Row],[Italy sum]]*NOT(ISBLANK(Tabella8[[#This Row],[Italy cumulative]]))</f>
        <v>0.84436533416991399</v>
      </c>
      <c r="H11" s="29">
        <f>Kt*EXP(-EXP(-(Tabella8[[#This Row],[Day]]-t0t)/wt))</f>
        <v>0.92549544963960084</v>
      </c>
      <c r="I11" s="10">
        <f>Tabella8[[#This Row],[Italy fit]]*NOT(ISBLANK(Tabella8[[#This Row],[Italy cumulative]]))</f>
        <v>0.92549544963960084</v>
      </c>
      <c r="J11" s="10">
        <f>Tabella8[[#This Row],[Italy sum]]+CI</f>
        <v>213.45790346821795</v>
      </c>
      <c r="K11" s="10">
        <f>MAX(Tabella8[[#This Row],[Italy sum]]-CI,0)</f>
        <v>0</v>
      </c>
      <c r="L11" s="4">
        <v>14</v>
      </c>
      <c r="M11" s="10">
        <f>Tabella8[[#This Row],[Lombardy]]*NOT(ISBLANK(Tabella8[[#This Row],[Lombardy]]))</f>
        <v>14</v>
      </c>
      <c r="N11" s="29">
        <f>Kr*EXP(-EXP(-(Tabella8[[#This Row],[Day]]-t0r)/wr))</f>
        <v>0.66804564188629179</v>
      </c>
      <c r="O11" s="10">
        <f>Tabella8[[#This Row],[Lombardy fit]]*NOT(ISBLANK(Tabella8[[#This Row],[Lombardy]]))</f>
        <v>0.66804564188629179</v>
      </c>
      <c r="P11" s="10">
        <f>Tabella8[[#This Row],[Lombardy fit]]+CIr</f>
        <v>180.00426284915699</v>
      </c>
      <c r="Q11" s="10">
        <f>MAX(Tabella8[[#This Row],[Lombardy fit]]-CIr,0)</f>
        <v>0</v>
      </c>
      <c r="R11" s="10">
        <f>Tabella8[[#This Row],[Italy cumulative]]-Tabella8[[#This Row],[Lombardy]]</f>
        <v>3</v>
      </c>
      <c r="S11" s="10">
        <f>Tabella8[[#This Row],[rest of Italy ]]*NOT(ISBLANK(Tabella8[[#This Row],[rest of Italy ]]))</f>
        <v>3</v>
      </c>
      <c r="T11" s="29">
        <f>Ko*EXP(-EXP(-(Tabella8[[#This Row],[Day]]-t0o)/wo))</f>
        <v>0.17631969228362226</v>
      </c>
      <c r="U11" s="29">
        <f>Tabella8[[#This Row],[rest of Italy fit]]*NOT(ISBLANK(Tabella8[[#This Row],[rest of Italy ]]))</f>
        <v>0.17631969228362226</v>
      </c>
      <c r="V11" s="10">
        <f>Tabella8[[#This Row],[rest of Italy fit]]+CIo</f>
        <v>73.927123512772383</v>
      </c>
      <c r="W11" s="10">
        <f>MAX(Tabella8[[#This Row],[rest of Italy fit]]-CIo,0)</f>
        <v>0</v>
      </c>
      <c r="X11" s="1"/>
      <c r="Y11" s="32" t="s">
        <v>2</v>
      </c>
      <c r="Z11" s="33">
        <f>AVERAGE(Tabella8[Italy cumulative])</f>
        <v>6479.1020408163267</v>
      </c>
      <c r="AN11" s="71"/>
    </row>
    <row r="12" spans="2:40" x14ac:dyDescent="0.3">
      <c r="B12" s="9">
        <v>43889</v>
      </c>
      <c r="C12" s="4">
        <f t="shared" si="0"/>
        <v>4</v>
      </c>
      <c r="D12" s="10">
        <f>'dpc-covid19-ita-andamento-naz'!K6</f>
        <v>21</v>
      </c>
      <c r="E12" s="10">
        <f>Tabella8[[#This Row],[Italy cumulative]]*NOT(ISBLANK(Tabella8[[#This Row],[Italy cumulative]]))</f>
        <v>21</v>
      </c>
      <c r="F12" s="10">
        <f>Tabella8[[#This Row],[Lombardy fit]]+Tabella8[[#This Row],[rest of Italy fit]]</f>
        <v>1.8535248706888041</v>
      </c>
      <c r="G12" s="10">
        <f>Tabella8[[#This Row],[Italy sum]]*NOT(ISBLANK(Tabella8[[#This Row],[Italy cumulative]]))</f>
        <v>1.8535248706888041</v>
      </c>
      <c r="H12" s="29">
        <f>Kt*EXP(-EXP(-(Tabella8[[#This Row],[Day]]-t0t)/wt))</f>
        <v>1.9909537061316547</v>
      </c>
      <c r="I12" s="10">
        <f>Tabella8[[#This Row],[Italy fit]]*NOT(ISBLANK(Tabella8[[#This Row],[Italy cumulative]]))</f>
        <v>1.9909537061316547</v>
      </c>
      <c r="J12" s="10">
        <f>Tabella8[[#This Row],[Italy sum]]+CI</f>
        <v>214.46706300473684</v>
      </c>
      <c r="K12" s="10">
        <f>MAX(Tabella8[[#This Row],[Italy sum]]-CI,0)</f>
        <v>0</v>
      </c>
      <c r="L12" s="4">
        <v>17</v>
      </c>
      <c r="M12" s="10">
        <f>Tabella8[[#This Row],[Lombardy]]*NOT(ISBLANK(Tabella8[[#This Row],[Lombardy]]))</f>
        <v>17</v>
      </c>
      <c r="N12" s="29">
        <f>Kr*EXP(-EXP(-(Tabella8[[#This Row],[Day]]-t0r)/wr))</f>
        <v>1.4595551716583999</v>
      </c>
      <c r="O12" s="10">
        <f>Tabella8[[#This Row],[Lombardy fit]]*NOT(ISBLANK(Tabella8[[#This Row],[Lombardy]]))</f>
        <v>1.4595551716583999</v>
      </c>
      <c r="P12" s="10">
        <f>Tabella8[[#This Row],[Lombardy fit]]+CIr</f>
        <v>180.79577237892909</v>
      </c>
      <c r="Q12" s="10">
        <f>MAX(Tabella8[[#This Row],[Lombardy fit]]-CIr,0)</f>
        <v>0</v>
      </c>
      <c r="R12" s="10">
        <f>Tabella8[[#This Row],[Italy cumulative]]-Tabella8[[#This Row],[Lombardy]]</f>
        <v>4</v>
      </c>
      <c r="S12" s="10">
        <f>Tabella8[[#This Row],[rest of Italy ]]*NOT(ISBLANK(Tabella8[[#This Row],[rest of Italy ]]))</f>
        <v>4</v>
      </c>
      <c r="T12" s="29">
        <f>Ko*EXP(-EXP(-(Tabella8[[#This Row],[Day]]-t0o)/wo))</f>
        <v>0.39396969903040424</v>
      </c>
      <c r="U12" s="29">
        <f>Tabella8[[#This Row],[rest of Italy fit]]*NOT(ISBLANK(Tabella8[[#This Row],[rest of Italy ]]))</f>
        <v>0.39396969903040424</v>
      </c>
      <c r="V12" s="10">
        <f>Tabella8[[#This Row],[rest of Italy fit]]+CIo</f>
        <v>74.144773519519163</v>
      </c>
      <c r="W12" s="10">
        <f>MAX(Tabella8[[#This Row],[rest of Italy fit]]-CIo,0)</f>
        <v>0</v>
      </c>
      <c r="X12" s="1"/>
      <c r="Y12" s="32" t="s">
        <v>3</v>
      </c>
      <c r="Z12" s="33">
        <f>COUNT(Tabella8[Italy cumulative])-COUNT(Z8:Z10)</f>
        <v>49</v>
      </c>
      <c r="AN12" s="71"/>
    </row>
    <row r="13" spans="2:40" x14ac:dyDescent="0.3">
      <c r="B13" s="9">
        <v>43890</v>
      </c>
      <c r="C13" s="4">
        <f t="shared" si="0"/>
        <v>5</v>
      </c>
      <c r="D13" s="10">
        <f>'dpc-covid19-ita-andamento-naz'!K7</f>
        <v>29</v>
      </c>
      <c r="E13" s="10">
        <f>Tabella8[[#This Row],[Italy cumulative]]*NOT(ISBLANK(Tabella8[[#This Row],[Italy cumulative]]))</f>
        <v>29</v>
      </c>
      <c r="F13" s="10">
        <f>Tabella8[[#This Row],[Lombardy fit]]+Tabella8[[#This Row],[rest of Italy fit]]</f>
        <v>3.8299390879984276</v>
      </c>
      <c r="G13" s="10">
        <f>Tabella8[[#This Row],[Italy sum]]*NOT(ISBLANK(Tabella8[[#This Row],[Italy cumulative]]))</f>
        <v>3.8299390879984276</v>
      </c>
      <c r="H13" s="29">
        <f>Kt*EXP(-EXP(-(Tabella8[[#This Row],[Day]]-t0t)/wt))</f>
        <v>4.0457170437450047</v>
      </c>
      <c r="I13" s="10">
        <f>Tabella8[[#This Row],[Italy fit]]*NOT(ISBLANK(Tabella8[[#This Row],[Italy cumulative]]))</f>
        <v>4.0457170437450047</v>
      </c>
      <c r="J13" s="10">
        <f>Tabella8[[#This Row],[Italy sum]]+CI</f>
        <v>216.44347722204648</v>
      </c>
      <c r="K13" s="10">
        <f>MAX(Tabella8[[#This Row],[Italy sum]]-CI,0)</f>
        <v>0</v>
      </c>
      <c r="L13" s="4">
        <v>23</v>
      </c>
      <c r="M13" s="10">
        <f>Tabella8[[#This Row],[Lombardy]]*NOT(ISBLANK(Tabella8[[#This Row],[Lombardy]]))</f>
        <v>23</v>
      </c>
      <c r="N13" s="29">
        <f>Kr*EXP(-EXP(-(Tabella8[[#This Row],[Day]]-t0r)/wr))</f>
        <v>2.9987363169143402</v>
      </c>
      <c r="O13" s="10">
        <f>Tabella8[[#This Row],[Lombardy fit]]*NOT(ISBLANK(Tabella8[[#This Row],[Lombardy]]))</f>
        <v>2.9987363169143402</v>
      </c>
      <c r="P13" s="10">
        <f>Tabella8[[#This Row],[Lombardy fit]]+CIr</f>
        <v>182.33495352418504</v>
      </c>
      <c r="Q13" s="10">
        <f>MAX(Tabella8[[#This Row],[Lombardy fit]]-CIr,0)</f>
        <v>0</v>
      </c>
      <c r="R13" s="10">
        <f>Tabella8[[#This Row],[Italy cumulative]]-Tabella8[[#This Row],[Lombardy]]</f>
        <v>6</v>
      </c>
      <c r="S13" s="10">
        <f>Tabella8[[#This Row],[rest of Italy ]]*NOT(ISBLANK(Tabella8[[#This Row],[rest of Italy ]]))</f>
        <v>6</v>
      </c>
      <c r="T13" s="29">
        <f>Ko*EXP(-EXP(-(Tabella8[[#This Row],[Day]]-t0o)/wo))</f>
        <v>0.83120277108408736</v>
      </c>
      <c r="U13" s="29">
        <f>Tabella8[[#This Row],[rest of Italy fit]]*NOT(ISBLANK(Tabella8[[#This Row],[rest of Italy ]]))</f>
        <v>0.83120277108408736</v>
      </c>
      <c r="V13" s="10">
        <f>Tabella8[[#This Row],[rest of Italy fit]]+CIo</f>
        <v>74.582006591572849</v>
      </c>
      <c r="W13" s="10">
        <f>MAX(Tabella8[[#This Row],[rest of Italy fit]]-CIo,0)</f>
        <v>0</v>
      </c>
      <c r="X13" s="1"/>
      <c r="Y13" s="32" t="s">
        <v>4</v>
      </c>
      <c r="Z13" s="34" cm="1">
        <f t="array" ref="Z13">SQRT(SUM((Tabella8[Colonna1]-Tabella8[Colonna2])^2)/df)</f>
        <v>105.80023788398948</v>
      </c>
      <c r="AN13" s="71"/>
    </row>
    <row r="14" spans="2:40" ht="16.2" x14ac:dyDescent="0.3">
      <c r="B14" s="18">
        <v>43891</v>
      </c>
      <c r="C14" s="4">
        <f t="shared" si="0"/>
        <v>6</v>
      </c>
      <c r="D14" s="10">
        <f>'dpc-covid19-ita-andamento-naz'!K8</f>
        <v>34</v>
      </c>
      <c r="E14" s="10">
        <f>Tabella8[[#This Row],[Italy cumulative]]*NOT(ISBLANK(Tabella8[[#This Row],[Italy cumulative]]))</f>
        <v>34</v>
      </c>
      <c r="F14" s="10">
        <f>Tabella8[[#This Row],[Lombardy fit]]+Tabella8[[#This Row],[rest of Italy fit]]</f>
        <v>7.4845173738673818</v>
      </c>
      <c r="G14" s="10">
        <f>Tabella8[[#This Row],[Italy sum]]*NOT(ISBLANK(Tabella8[[#This Row],[Italy cumulative]]))</f>
        <v>7.4845173738673818</v>
      </c>
      <c r="H14" s="29">
        <f>Kt*EXP(-EXP(-(Tabella8[[#This Row],[Day]]-t0t)/wt))</f>
        <v>7.7986414258185768</v>
      </c>
      <c r="I14" s="10">
        <f>Tabella8[[#This Row],[Italy fit]]*NOT(ISBLANK(Tabella8[[#This Row],[Italy cumulative]]))</f>
        <v>7.7986414258185768</v>
      </c>
      <c r="J14" s="10">
        <f>Tabella8[[#This Row],[Italy sum]]+CI</f>
        <v>220.09805550791543</v>
      </c>
      <c r="K14" s="10">
        <f>MAX(Tabella8[[#This Row],[Italy sum]]-CI,0)</f>
        <v>0</v>
      </c>
      <c r="L14" s="4">
        <v>24</v>
      </c>
      <c r="M14" s="10">
        <f>Tabella8[[#This Row],[Lombardy]]*NOT(ISBLANK(Tabella8[[#This Row],[Lombardy]]))</f>
        <v>24</v>
      </c>
      <c r="N14" s="29">
        <f>Kr*EXP(-EXP(-(Tabella8[[#This Row],[Day]]-t0r)/wr))</f>
        <v>5.8218263261705205</v>
      </c>
      <c r="O14" s="10">
        <f>Tabella8[[#This Row],[Lombardy fit]]*NOT(ISBLANK(Tabella8[[#This Row],[Lombardy]]))</f>
        <v>5.8218263261705205</v>
      </c>
      <c r="P14" s="10">
        <f>Tabella8[[#This Row],[Lombardy fit]]+CIr</f>
        <v>185.1580435334412</v>
      </c>
      <c r="Q14" s="10">
        <f>MAX(Tabella8[[#This Row],[Lombardy fit]]-CIr,0)</f>
        <v>0</v>
      </c>
      <c r="R14" s="10">
        <f>Tabella8[[#This Row],[Italy cumulative]]-Tabella8[[#This Row],[Lombardy]]</f>
        <v>10</v>
      </c>
      <c r="S14" s="10">
        <f>Tabella8[[#This Row],[rest of Italy ]]*NOT(ISBLANK(Tabella8[[#This Row],[rest of Italy ]]))</f>
        <v>10</v>
      </c>
      <c r="T14" s="29">
        <f>Ko*EXP(-EXP(-(Tabella8[[#This Row],[Day]]-t0o)/wo))</f>
        <v>1.6626910476968617</v>
      </c>
      <c r="U14" s="29">
        <f>Tabella8[[#This Row],[rest of Italy fit]]*NOT(ISBLANK(Tabella8[[#This Row],[rest of Italy ]]))</f>
        <v>1.6626910476968617</v>
      </c>
      <c r="V14" s="10">
        <f>Tabella8[[#This Row],[rest of Italy fit]]+CIo</f>
        <v>75.413494868185623</v>
      </c>
      <c r="W14" s="10">
        <f>MAX(Tabella8[[#This Row],[rest of Italy fit]]-CIo,0)</f>
        <v>0</v>
      </c>
      <c r="X14" s="1"/>
      <c r="Y14" s="32" t="s">
        <v>137</v>
      </c>
      <c r="Z14" s="35" cm="1">
        <f t="array" ref="Z14">1-SUM((Tabella8[Colonna1]-Tabella8[Colonna2])^2)/SUM((Tabella8[Colonna1]-Mean_of_y)^2)</f>
        <v>0.99982783484877713</v>
      </c>
      <c r="AN14" s="71"/>
    </row>
    <row r="15" spans="2:40" x14ac:dyDescent="0.3">
      <c r="B15" s="9">
        <v>43892</v>
      </c>
      <c r="C15" s="4">
        <f t="shared" si="0"/>
        <v>7</v>
      </c>
      <c r="D15" s="10">
        <f>'dpc-covid19-ita-andamento-naz'!K9</f>
        <v>52</v>
      </c>
      <c r="E15" s="10">
        <f>Tabella8[[#This Row],[Italy cumulative]]*NOT(ISBLANK(Tabella8[[#This Row],[Italy cumulative]]))</f>
        <v>52</v>
      </c>
      <c r="F15" s="10">
        <f>Tabella8[[#This Row],[Lombardy fit]]+Tabella8[[#This Row],[rest of Italy fit]]</f>
        <v>13.893377850749623</v>
      </c>
      <c r="G15" s="10">
        <f>Tabella8[[#This Row],[Italy sum]]*NOT(ISBLANK(Tabella8[[#This Row],[Italy cumulative]]))</f>
        <v>13.893377850749623</v>
      </c>
      <c r="H15" s="29">
        <f>Kt*EXP(-EXP(-(Tabella8[[#This Row],[Day]]-t0t)/wt))</f>
        <v>14.316475605506053</v>
      </c>
      <c r="I15" s="10">
        <f>Tabella8[[#This Row],[Italy fit]]*NOT(ISBLANK(Tabella8[[#This Row],[Italy cumulative]]))</f>
        <v>14.316475605506053</v>
      </c>
      <c r="J15" s="10">
        <f>Tabella8[[#This Row],[Italy sum]]+CI</f>
        <v>226.50691598479767</v>
      </c>
      <c r="K15" s="10">
        <f>MAX(Tabella8[[#This Row],[Italy sum]]-CI,0)</f>
        <v>0</v>
      </c>
      <c r="L15" s="4">
        <v>38</v>
      </c>
      <c r="M15" s="10">
        <f>Tabella8[[#This Row],[Lombardy]]*NOT(ISBLANK(Tabella8[[#This Row],[Lombardy]]))</f>
        <v>38</v>
      </c>
      <c r="N15" s="29">
        <f>Kr*EXP(-EXP(-(Tabella8[[#This Row],[Day]]-t0r)/wr))</f>
        <v>10.727982950929871</v>
      </c>
      <c r="O15" s="10">
        <f>Tabella8[[#This Row],[Lombardy fit]]*NOT(ISBLANK(Tabella8[[#This Row],[Lombardy]]))</f>
        <v>10.727982950929871</v>
      </c>
      <c r="P15" s="10">
        <f>Tabella8[[#This Row],[Lombardy fit]]+CIr</f>
        <v>190.06420015820055</v>
      </c>
      <c r="Q15" s="10">
        <f>MAX(Tabella8[[#This Row],[Lombardy fit]]-CIr,0)</f>
        <v>0</v>
      </c>
      <c r="R15" s="10">
        <f>Tabella8[[#This Row],[Italy cumulative]]-Tabella8[[#This Row],[Lombardy]]</f>
        <v>14</v>
      </c>
      <c r="S15" s="10">
        <f>Tabella8[[#This Row],[rest of Italy ]]*NOT(ISBLANK(Tabella8[[#This Row],[rest of Italy ]]))</f>
        <v>14</v>
      </c>
      <c r="T15" s="29">
        <f>Ko*EXP(-EXP(-(Tabella8[[#This Row],[Day]]-t0o)/wo))</f>
        <v>3.165394899819753</v>
      </c>
      <c r="U15" s="29">
        <f>Tabella8[[#This Row],[rest of Italy fit]]*NOT(ISBLANK(Tabella8[[#This Row],[rest of Italy ]]))</f>
        <v>3.165394899819753</v>
      </c>
      <c r="V15" s="10">
        <f>Tabella8[[#This Row],[rest of Italy fit]]+CIo</f>
        <v>76.916198720308515</v>
      </c>
      <c r="W15" s="10">
        <f>MAX(Tabella8[[#This Row],[rest of Italy fit]]-CIo,0)</f>
        <v>0</v>
      </c>
      <c r="X15" s="1"/>
      <c r="Y15" s="32" t="s">
        <v>6</v>
      </c>
      <c r="Z15" s="35">
        <f>TINV(0.05,df)</f>
        <v>2.0095752371292388</v>
      </c>
      <c r="AN15" s="71"/>
    </row>
    <row r="16" spans="2:40" x14ac:dyDescent="0.3">
      <c r="B16" s="9">
        <v>43893</v>
      </c>
      <c r="C16" s="4">
        <f t="shared" si="0"/>
        <v>8</v>
      </c>
      <c r="D16" s="10">
        <f>'dpc-covid19-ita-andamento-naz'!K10</f>
        <v>79</v>
      </c>
      <c r="E16" s="10">
        <f>Tabella8[[#This Row],[Italy cumulative]]*NOT(ISBLANK(Tabella8[[#This Row],[Italy cumulative]]))</f>
        <v>79</v>
      </c>
      <c r="F16" s="10">
        <f>Tabella8[[#This Row],[Lombardy fit]]+Tabella8[[#This Row],[rest of Italy fit]]</f>
        <v>24.596295003735815</v>
      </c>
      <c r="G16" s="10">
        <f>Tabella8[[#This Row],[Italy sum]]*NOT(ISBLANK(Tabella8[[#This Row],[Italy cumulative]]))</f>
        <v>24.596295003735815</v>
      </c>
      <c r="H16" s="29">
        <f>Kt*EXP(-EXP(-(Tabella8[[#This Row],[Day]]-t0t)/wt))</f>
        <v>25.12029806219266</v>
      </c>
      <c r="I16" s="10">
        <f>Tabella8[[#This Row],[Italy fit]]*NOT(ISBLANK(Tabella8[[#This Row],[Italy cumulative]]))</f>
        <v>25.12029806219266</v>
      </c>
      <c r="J16" s="10">
        <f>Tabella8[[#This Row],[Italy sum]]+CI</f>
        <v>237.20983313778385</v>
      </c>
      <c r="K16" s="10">
        <f>MAX(Tabella8[[#This Row],[Italy sum]]-CI,0)</f>
        <v>0</v>
      </c>
      <c r="L16" s="4">
        <v>55</v>
      </c>
      <c r="M16" s="10">
        <f>Tabella8[[#This Row],[Lombardy]]*NOT(ISBLANK(Tabella8[[#This Row],[Lombardy]]))</f>
        <v>55</v>
      </c>
      <c r="N16" s="29">
        <f>Kr*EXP(-EXP(-(Tabella8[[#This Row],[Day]]-t0r)/wr))</f>
        <v>18.840709589875217</v>
      </c>
      <c r="O16" s="10">
        <f>Tabella8[[#This Row],[Lombardy fit]]*NOT(ISBLANK(Tabella8[[#This Row],[Lombardy]]))</f>
        <v>18.840709589875217</v>
      </c>
      <c r="P16" s="10">
        <f>Tabella8[[#This Row],[Lombardy fit]]+CIr</f>
        <v>198.17692679714591</v>
      </c>
      <c r="Q16" s="10">
        <f>MAX(Tabella8[[#This Row],[Lombardy fit]]-CIr,0)</f>
        <v>0</v>
      </c>
      <c r="R16" s="10">
        <f>Tabella8[[#This Row],[Italy cumulative]]-Tabella8[[#This Row],[Lombardy]]</f>
        <v>24</v>
      </c>
      <c r="S16" s="10">
        <f>Tabella8[[#This Row],[rest of Italy ]]*NOT(ISBLANK(Tabella8[[#This Row],[rest of Italy ]]))</f>
        <v>24</v>
      </c>
      <c r="T16" s="29">
        <f>Ko*EXP(-EXP(-(Tabella8[[#This Row],[Day]]-t0o)/wo))</f>
        <v>5.7555854138605982</v>
      </c>
      <c r="U16" s="29">
        <f>Tabella8[[#This Row],[rest of Italy fit]]*NOT(ISBLANK(Tabella8[[#This Row],[rest of Italy ]]))</f>
        <v>5.7555854138605982</v>
      </c>
      <c r="V16" s="10">
        <f>Tabella8[[#This Row],[rest of Italy fit]]+CIo</f>
        <v>79.506389234349356</v>
      </c>
      <c r="W16" s="10">
        <f>MAX(Tabella8[[#This Row],[rest of Italy fit]]-CIo,0)</f>
        <v>0</v>
      </c>
      <c r="X16" s="1"/>
      <c r="Y16" s="32" t="s">
        <v>7</v>
      </c>
      <c r="Z16" s="33">
        <f>Critical_t*SE_of_y</f>
        <v>212.61353813404804</v>
      </c>
      <c r="AN16" s="71"/>
    </row>
    <row r="17" spans="2:40" ht="15" thickBot="1" x14ac:dyDescent="0.35">
      <c r="B17" s="9">
        <v>43894</v>
      </c>
      <c r="C17" s="4">
        <f t="shared" si="0"/>
        <v>9</v>
      </c>
      <c r="D17" s="10">
        <f>'dpc-covid19-ita-andamento-naz'!K11</f>
        <v>107</v>
      </c>
      <c r="E17" s="10">
        <f>Tabella8[[#This Row],[Italy cumulative]]*NOT(ISBLANK(Tabella8[[#This Row],[Italy cumulative]]))</f>
        <v>107</v>
      </c>
      <c r="F17" s="10">
        <f>Tabella8[[#This Row],[Lombardy fit]]+Tabella8[[#This Row],[rest of Italy fit]]</f>
        <v>41.682904788721139</v>
      </c>
      <c r="G17" s="10">
        <f>Tabella8[[#This Row],[Italy sum]]*NOT(ISBLANK(Tabella8[[#This Row],[Italy cumulative]]))</f>
        <v>41.682904788721139</v>
      </c>
      <c r="H17" s="29">
        <f>Kt*EXP(-EXP(-(Tabella8[[#This Row],[Day]]-t0t)/wt))</f>
        <v>42.271276338722252</v>
      </c>
      <c r="I17" s="10">
        <f>Tabella8[[#This Row],[Italy fit]]*NOT(ISBLANK(Tabella8[[#This Row],[Italy cumulative]]))</f>
        <v>42.271276338722252</v>
      </c>
      <c r="J17" s="10">
        <f>Tabella8[[#This Row],[Italy sum]]+CI</f>
        <v>254.29644292276919</v>
      </c>
      <c r="K17" s="10">
        <f>MAX(Tabella8[[#This Row],[Italy sum]]-CI,0)</f>
        <v>0</v>
      </c>
      <c r="L17" s="4">
        <v>73</v>
      </c>
      <c r="M17" s="10">
        <f>Tabella8[[#This Row],[Lombardy]]*NOT(ISBLANK(Tabella8[[#This Row],[Lombardy]]))</f>
        <v>73</v>
      </c>
      <c r="N17" s="29">
        <f>Kr*EXP(-EXP(-(Tabella8[[#This Row],[Day]]-t0r)/wr))</f>
        <v>31.654763663909648</v>
      </c>
      <c r="O17" s="10">
        <f>Tabella8[[#This Row],[Lombardy fit]]*NOT(ISBLANK(Tabella8[[#This Row],[Lombardy]]))</f>
        <v>31.654763663909648</v>
      </c>
      <c r="P17" s="10">
        <f>Tabella8[[#This Row],[Lombardy fit]]+CIr</f>
        <v>210.99098087118034</v>
      </c>
      <c r="Q17" s="10">
        <f>MAX(Tabella8[[#This Row],[Lombardy fit]]-CIr,0)</f>
        <v>0</v>
      </c>
      <c r="R17" s="10">
        <f>Tabella8[[#This Row],[Italy cumulative]]-Tabella8[[#This Row],[Lombardy]]</f>
        <v>34</v>
      </c>
      <c r="S17" s="10">
        <f>Tabella8[[#This Row],[rest of Italy ]]*NOT(ISBLANK(Tabella8[[#This Row],[rest of Italy ]]))</f>
        <v>34</v>
      </c>
      <c r="T17" s="29">
        <f>Ko*EXP(-EXP(-(Tabella8[[#This Row],[Day]]-t0o)/wo))</f>
        <v>10.028141124811492</v>
      </c>
      <c r="U17" s="29">
        <f>Tabella8[[#This Row],[rest of Italy fit]]*NOT(ISBLANK(Tabella8[[#This Row],[rest of Italy ]]))</f>
        <v>10.028141124811492</v>
      </c>
      <c r="V17" s="10">
        <f>Tabella8[[#This Row],[rest of Italy fit]]+CIo</f>
        <v>83.778944945300253</v>
      </c>
      <c r="W17" s="10">
        <f>MAX(Tabella8[[#This Row],[rest of Italy fit]]-CIo,0)</f>
        <v>0</v>
      </c>
      <c r="X17" s="1"/>
      <c r="Y17" s="32" t="s">
        <v>147</v>
      </c>
      <c r="Z17" s="33">
        <f>Kr+Ko</f>
        <v>27575.40683985097</v>
      </c>
      <c r="AN17" s="96"/>
    </row>
    <row r="18" spans="2:40" x14ac:dyDescent="0.3">
      <c r="B18" s="18">
        <v>43895</v>
      </c>
      <c r="C18" s="4">
        <f t="shared" si="0"/>
        <v>10</v>
      </c>
      <c r="D18" s="10">
        <f>'dpc-covid19-ita-andamento-naz'!K12</f>
        <v>148</v>
      </c>
      <c r="E18" s="10">
        <f>Tabella8[[#This Row],[Italy cumulative]]*NOT(ISBLANK(Tabella8[[#This Row],[Italy cumulative]]))</f>
        <v>148</v>
      </c>
      <c r="F18" s="10">
        <f>Tabella8[[#This Row],[Lombardy fit]]+Tabella8[[#This Row],[rest of Italy fit]]</f>
        <v>67.850733424393667</v>
      </c>
      <c r="G18" s="10">
        <f>Tabella8[[#This Row],[Italy sum]]*NOT(ISBLANK(Tabella8[[#This Row],[Italy cumulative]]))</f>
        <v>67.850733424393667</v>
      </c>
      <c r="H18" s="29">
        <f>Kt*EXP(-EXP(-(Tabella8[[#This Row],[Day]]-t0t)/wt))</f>
        <v>68.430478553050122</v>
      </c>
      <c r="I18" s="10">
        <f>Tabella8[[#This Row],[Italy fit]]*NOT(ISBLANK(Tabella8[[#This Row],[Italy cumulative]]))</f>
        <v>68.430478553050122</v>
      </c>
      <c r="J18" s="10">
        <f>Tabella8[[#This Row],[Italy sum]]+CI</f>
        <v>280.46427155844174</v>
      </c>
      <c r="K18" s="10">
        <f>MAX(Tabella8[[#This Row],[Italy sum]]-CI,0)</f>
        <v>0</v>
      </c>
      <c r="L18" s="4">
        <v>98</v>
      </c>
      <c r="M18" s="10">
        <f>Tabella8[[#This Row],[Lombardy]]*NOT(ISBLANK(Tabella8[[#This Row],[Lombardy]]))</f>
        <v>98</v>
      </c>
      <c r="N18" s="29">
        <f>Kr*EXP(-EXP(-(Tabella8[[#This Row],[Day]]-t0r)/wr))</f>
        <v>51.057159306112283</v>
      </c>
      <c r="O18" s="10">
        <f>Tabella8[[#This Row],[Lombardy fit]]*NOT(ISBLANK(Tabella8[[#This Row],[Lombardy]]))</f>
        <v>51.057159306112283</v>
      </c>
      <c r="P18" s="10">
        <f>Tabella8[[#This Row],[Lombardy fit]]+CIr</f>
        <v>230.39337651338298</v>
      </c>
      <c r="Q18" s="10">
        <f>MAX(Tabella8[[#This Row],[Lombardy fit]]-CIr,0)</f>
        <v>0</v>
      </c>
      <c r="R18" s="10">
        <f>Tabella8[[#This Row],[Italy cumulative]]-Tabella8[[#This Row],[Lombardy]]</f>
        <v>50</v>
      </c>
      <c r="S18" s="10">
        <f>Tabella8[[#This Row],[rest of Italy ]]*NOT(ISBLANK(Tabella8[[#This Row],[rest of Italy ]]))</f>
        <v>50</v>
      </c>
      <c r="T18" s="29">
        <f>Ko*EXP(-EXP(-(Tabella8[[#This Row],[Day]]-t0o)/wo))</f>
        <v>16.793574118281388</v>
      </c>
      <c r="U18" s="29">
        <f>Tabella8[[#This Row],[rest of Italy fit]]*NOT(ISBLANK(Tabella8[[#This Row],[rest of Italy ]]))</f>
        <v>16.793574118281388</v>
      </c>
      <c r="V18" s="10">
        <f>Tabella8[[#This Row],[rest of Italy fit]]+CIo</f>
        <v>90.54437793877014</v>
      </c>
      <c r="W18" s="10">
        <f>MAX(Tabella8[[#This Row],[rest of Italy fit]]-CIo,0)</f>
        <v>0</v>
      </c>
      <c r="X18" s="1"/>
      <c r="Y18" s="36" t="s">
        <v>80</v>
      </c>
      <c r="Z18" s="2" t="s">
        <v>133</v>
      </c>
      <c r="AN18" s="59">
        <f>MAX($Z$25)</f>
        <v>0.99963163082377915</v>
      </c>
    </row>
    <row r="19" spans="2:40" x14ac:dyDescent="0.3">
      <c r="B19" s="9">
        <v>43896</v>
      </c>
      <c r="C19" s="4">
        <f t="shared" si="0"/>
        <v>11</v>
      </c>
      <c r="D19" s="10">
        <f>'dpc-covid19-ita-andamento-naz'!K13</f>
        <v>197</v>
      </c>
      <c r="E19" s="10">
        <f>Tabella8[[#This Row],[Italy cumulative]]*NOT(ISBLANK(Tabella8[[#This Row],[Italy cumulative]]))</f>
        <v>197</v>
      </c>
      <c r="F19" s="10">
        <f>Tabella8[[#This Row],[Lombardy fit]]+Tabella8[[#This Row],[rest of Italy fit]]</f>
        <v>106.42020675641278</v>
      </c>
      <c r="G19" s="10">
        <f>Tabella8[[#This Row],[Italy sum]]*NOT(ISBLANK(Tabella8[[#This Row],[Italy cumulative]]))</f>
        <v>106.42020675641278</v>
      </c>
      <c r="H19" s="29">
        <f>Kt*EXP(-EXP(-(Tabella8[[#This Row],[Day]]-t0t)/wt))</f>
        <v>106.8780705448565</v>
      </c>
      <c r="I19" s="10">
        <f>Tabella8[[#This Row],[Italy fit]]*NOT(ISBLANK(Tabella8[[#This Row],[Italy cumulative]]))</f>
        <v>106.8780705448565</v>
      </c>
      <c r="J19" s="10">
        <f>Tabella8[[#This Row],[Italy sum]]+CI</f>
        <v>319.03374489046081</v>
      </c>
      <c r="K19" s="10">
        <f>MAX(Tabella8[[#This Row],[Italy sum]]-CI,0)</f>
        <v>0</v>
      </c>
      <c r="L19" s="4">
        <v>135</v>
      </c>
      <c r="M19" s="10">
        <f>Tabella8[[#This Row],[Lombardy]]*NOT(ISBLANK(Tabella8[[#This Row],[Lombardy]]))</f>
        <v>135</v>
      </c>
      <c r="N19" s="29">
        <f>Kr*EXP(-EXP(-(Tabella8[[#This Row],[Day]]-t0r)/wr))</f>
        <v>79.312944432239163</v>
      </c>
      <c r="O19" s="10">
        <f>Tabella8[[#This Row],[Lombardy fit]]*NOT(ISBLANK(Tabella8[[#This Row],[Lombardy]]))</f>
        <v>79.312944432239163</v>
      </c>
      <c r="P19" s="10">
        <f>Tabella8[[#This Row],[Lombardy fit]]+CIr</f>
        <v>258.64916163950988</v>
      </c>
      <c r="Q19" s="10">
        <f>MAX(Tabella8[[#This Row],[Lombardy fit]]-CIr,0)</f>
        <v>0</v>
      </c>
      <c r="R19" s="10">
        <f>Tabella8[[#This Row],[Italy cumulative]]-Tabella8[[#This Row],[Lombardy]]</f>
        <v>62</v>
      </c>
      <c r="S19" s="10">
        <f>Tabella8[[#This Row],[rest of Italy ]]*NOT(ISBLANK(Tabella8[[#This Row],[rest of Italy ]]))</f>
        <v>62</v>
      </c>
      <c r="T19" s="29">
        <f>Ko*EXP(-EXP(-(Tabella8[[#This Row],[Day]]-t0o)/wo))</f>
        <v>27.107262324173615</v>
      </c>
      <c r="U19" s="29">
        <f>Tabella8[[#This Row],[rest of Italy fit]]*NOT(ISBLANK(Tabella8[[#This Row],[rest of Italy ]]))</f>
        <v>27.107262324173615</v>
      </c>
      <c r="V19" s="10">
        <f>Tabella8[[#This Row],[rest of Italy fit]]+CIo</f>
        <v>100.85806614466237</v>
      </c>
      <c r="W19" s="10">
        <f>MAX(Tabella8[[#This Row],[rest of Italy fit]]-CIo,0)</f>
        <v>0</v>
      </c>
      <c r="X19" s="1"/>
      <c r="Y19" s="17" t="s">
        <v>0</v>
      </c>
      <c r="Z19" s="5">
        <v>13805.081935152721</v>
      </c>
      <c r="AN19" s="60">
        <f>COUNT($Z$19,$Z$20,$Z$21)</f>
        <v>3</v>
      </c>
    </row>
    <row r="20" spans="2:40" ht="15.6" x14ac:dyDescent="0.35">
      <c r="B20" s="9">
        <v>43897</v>
      </c>
      <c r="C20" s="4">
        <f t="shared" si="0"/>
        <v>12</v>
      </c>
      <c r="D20" s="10">
        <f>'dpc-covid19-ita-andamento-naz'!K14</f>
        <v>233</v>
      </c>
      <c r="E20" s="10">
        <f>Tabella8[[#This Row],[Italy cumulative]]*NOT(ISBLANK(Tabella8[[#This Row],[Italy cumulative]]))</f>
        <v>233</v>
      </c>
      <c r="F20" s="10">
        <f>Tabella8[[#This Row],[Lombardy fit]]+Tabella8[[#This Row],[rest of Italy fit]]</f>
        <v>161.29584544454693</v>
      </c>
      <c r="G20" s="10">
        <f>Tabella8[[#This Row],[Italy sum]]*NOT(ISBLANK(Tabella8[[#This Row],[Italy cumulative]]))</f>
        <v>161.29584544454693</v>
      </c>
      <c r="H20" s="29">
        <f>Kt*EXP(-EXP(-(Tabella8[[#This Row],[Day]]-t0t)/wt))</f>
        <v>161.48066300553273</v>
      </c>
      <c r="I20" s="10">
        <f>Tabella8[[#This Row],[Italy fit]]*NOT(ISBLANK(Tabella8[[#This Row],[Italy cumulative]]))</f>
        <v>161.48066300553273</v>
      </c>
      <c r="J20" s="10">
        <f>Tabella8[[#This Row],[Italy sum]]+CI</f>
        <v>373.909383578595</v>
      </c>
      <c r="K20" s="10">
        <f>MAX(Tabella8[[#This Row],[Italy sum]]-CI,0)</f>
        <v>0</v>
      </c>
      <c r="L20" s="4">
        <v>154</v>
      </c>
      <c r="M20" s="10">
        <f>Tabella8[[#This Row],[Lombardy]]*NOT(ISBLANK(Tabella8[[#This Row],[Lombardy]]))</f>
        <v>154</v>
      </c>
      <c r="N20" s="29">
        <f>Kr*EXP(-EXP(-(Tabella8[[#This Row],[Day]]-t0r)/wr))</f>
        <v>119.01064174449056</v>
      </c>
      <c r="O20" s="10">
        <f>Tabella8[[#This Row],[Lombardy fit]]*NOT(ISBLANK(Tabella8[[#This Row],[Lombardy]]))</f>
        <v>119.01064174449056</v>
      </c>
      <c r="P20" s="10">
        <f>Tabella8[[#This Row],[Lombardy fit]]+CIr</f>
        <v>298.34685895176125</v>
      </c>
      <c r="Q20" s="10">
        <f>MAX(Tabella8[[#This Row],[Lombardy fit]]-CIr,0)</f>
        <v>0</v>
      </c>
      <c r="R20" s="10">
        <f>Tabella8[[#This Row],[Italy cumulative]]-Tabella8[[#This Row],[Lombardy]]</f>
        <v>79</v>
      </c>
      <c r="S20" s="10">
        <f>Tabella8[[#This Row],[rest of Italy ]]*NOT(ISBLANK(Tabella8[[#This Row],[rest of Italy ]]))</f>
        <v>79</v>
      </c>
      <c r="T20" s="29">
        <f>Ko*EXP(-EXP(-(Tabella8[[#This Row],[Day]]-t0o)/wo))</f>
        <v>42.285203700056371</v>
      </c>
      <c r="U20" s="29">
        <f>Tabella8[[#This Row],[rest of Italy fit]]*NOT(ISBLANK(Tabella8[[#This Row],[rest of Italy ]]))</f>
        <v>42.285203700056371</v>
      </c>
      <c r="V20" s="10">
        <f>Tabella8[[#This Row],[rest of Italy fit]]+CIo</f>
        <v>116.03600752054513</v>
      </c>
      <c r="W20" s="10">
        <f>MAX(Tabella8[[#This Row],[rest of Italy fit]]-CIo,0)</f>
        <v>0</v>
      </c>
      <c r="X20" s="1"/>
      <c r="Y20" s="17" t="s">
        <v>24</v>
      </c>
      <c r="Z20" s="37">
        <v>31.029362508909827</v>
      </c>
      <c r="AN20" s="60">
        <f>{32767;32767;0.000001;0.01;FALSE;FALSE;FALSE;1;2;1;0.0001;TRUE}</f>
        <v>32767</v>
      </c>
    </row>
    <row r="21" spans="2:40" x14ac:dyDescent="0.3">
      <c r="B21" s="18">
        <v>43898</v>
      </c>
      <c r="C21" s="4">
        <f t="shared" si="0"/>
        <v>13</v>
      </c>
      <c r="D21" s="10">
        <f>'dpc-covid19-ita-andamento-naz'!K15</f>
        <v>366</v>
      </c>
      <c r="E21" s="10">
        <f>Tabella8[[#This Row],[Italy cumulative]]*NOT(ISBLANK(Tabella8[[#This Row],[Italy cumulative]]))</f>
        <v>366</v>
      </c>
      <c r="F21" s="10">
        <f>Tabella8[[#This Row],[Lombardy fit]]+Tabella8[[#This Row],[rest of Italy fit]]</f>
        <v>236.8692059911252</v>
      </c>
      <c r="G21" s="10">
        <f>Tabella8[[#This Row],[Italy sum]]*NOT(ISBLANK(Tabella8[[#This Row],[Italy cumulative]]))</f>
        <v>236.8692059911252</v>
      </c>
      <c r="H21" s="29">
        <f>Kt*EXP(-EXP(-(Tabella8[[#This Row],[Day]]-t0t)/wt))</f>
        <v>236.6013672606729</v>
      </c>
      <c r="I21" s="10">
        <f>Tabella8[[#This Row],[Italy fit]]*NOT(ISBLANK(Tabella8[[#This Row],[Italy cumulative]]))</f>
        <v>236.6013672606729</v>
      </c>
      <c r="J21" s="10">
        <f>Tabella8[[#This Row],[Italy sum]]+CI</f>
        <v>449.48274412517321</v>
      </c>
      <c r="K21" s="10">
        <f>MAX(Tabella8[[#This Row],[Italy sum]]-CI,0)</f>
        <v>24.255667857077157</v>
      </c>
      <c r="L21" s="4">
        <v>267</v>
      </c>
      <c r="M21" s="10">
        <f>Tabella8[[#This Row],[Lombardy]]*NOT(ISBLANK(Tabella8[[#This Row],[Lombardy]]))</f>
        <v>267</v>
      </c>
      <c r="N21" s="29">
        <f>Kr*EXP(-EXP(-(Tabella8[[#This Row],[Day]]-t0r)/wr))</f>
        <v>172.96779094601177</v>
      </c>
      <c r="O21" s="10">
        <f>Tabella8[[#This Row],[Lombardy fit]]*NOT(ISBLANK(Tabella8[[#This Row],[Lombardy]]))</f>
        <v>172.96779094601177</v>
      </c>
      <c r="P21" s="10">
        <f>Tabella8[[#This Row],[Lombardy fit]]+CIr</f>
        <v>352.30400815328244</v>
      </c>
      <c r="Q21" s="10">
        <f>MAX(Tabella8[[#This Row],[Lombardy fit]]-CIr,0)</f>
        <v>0</v>
      </c>
      <c r="R21" s="10">
        <f>Tabella8[[#This Row],[Italy cumulative]]-Tabella8[[#This Row],[Lombardy]]</f>
        <v>99</v>
      </c>
      <c r="S21" s="10">
        <f>Tabella8[[#This Row],[rest of Italy ]]*NOT(ISBLANK(Tabella8[[#This Row],[rest of Italy ]]))</f>
        <v>99</v>
      </c>
      <c r="T21" s="29">
        <f>Ko*EXP(-EXP(-(Tabella8[[#This Row],[Day]]-t0o)/wo))</f>
        <v>63.901415045113417</v>
      </c>
      <c r="U21" s="29">
        <f>Tabella8[[#This Row],[rest of Italy fit]]*NOT(ISBLANK(Tabella8[[#This Row],[rest of Italy ]]))</f>
        <v>63.901415045113417</v>
      </c>
      <c r="V21" s="10">
        <f>Tabella8[[#This Row],[rest of Italy fit]]+CIo</f>
        <v>137.65221886560218</v>
      </c>
      <c r="W21" s="10">
        <f>MAX(Tabella8[[#This Row],[rest of Italy fit]]-CIo,0)</f>
        <v>0</v>
      </c>
      <c r="X21" s="1"/>
      <c r="Y21" s="17" t="s">
        <v>1</v>
      </c>
      <c r="Z21" s="37">
        <v>12.206933669002085</v>
      </c>
      <c r="AN21" s="60">
        <f>{0;0;1;100;0;FALSE;FALSE;0.075;0;0;FALSE;30}</f>
        <v>0</v>
      </c>
    </row>
    <row r="22" spans="2:40" x14ac:dyDescent="0.3">
      <c r="B22" s="9">
        <v>43899</v>
      </c>
      <c r="C22" s="4">
        <f t="shared" si="0"/>
        <v>14</v>
      </c>
      <c r="D22" s="10">
        <f>'dpc-covid19-ita-andamento-naz'!K16</f>
        <v>463</v>
      </c>
      <c r="E22" s="10">
        <f>Tabella8[[#This Row],[Italy cumulative]]*NOT(ISBLANK(Tabella8[[#This Row],[Italy cumulative]]))</f>
        <v>463</v>
      </c>
      <c r="F22" s="10">
        <f>Tabella8[[#This Row],[Lombardy fit]]+Tabella8[[#This Row],[rest of Italy fit]]</f>
        <v>337.86659867552828</v>
      </c>
      <c r="G22" s="10">
        <f>Tabella8[[#This Row],[Italy sum]]*NOT(ISBLANK(Tabella8[[#This Row],[Italy cumulative]]))</f>
        <v>337.86659867552828</v>
      </c>
      <c r="H22" s="29">
        <f>Kt*EXP(-EXP(-(Tabella8[[#This Row],[Day]]-t0t)/wt))</f>
        <v>336.95425643422038</v>
      </c>
      <c r="I22" s="10">
        <f>Tabella8[[#This Row],[Italy fit]]*NOT(ISBLANK(Tabella8[[#This Row],[Italy cumulative]]))</f>
        <v>336.95425643422038</v>
      </c>
      <c r="J22" s="10">
        <f>Tabella8[[#This Row],[Italy sum]]+CI</f>
        <v>550.48013680957638</v>
      </c>
      <c r="K22" s="10">
        <f>MAX(Tabella8[[#This Row],[Italy sum]]-CI,0)</f>
        <v>125.25306054148024</v>
      </c>
      <c r="L22" s="4">
        <v>333</v>
      </c>
      <c r="M22" s="10">
        <f>Tabella8[[#This Row],[Lombardy]]*NOT(ISBLANK(Tabella8[[#This Row],[Lombardy]]))</f>
        <v>333</v>
      </c>
      <c r="N22" s="29">
        <f>Kr*EXP(-EXP(-(Tabella8[[#This Row],[Day]]-t0r)/wr))</f>
        <v>244.10278560129476</v>
      </c>
      <c r="O22" s="10">
        <f>Tabella8[[#This Row],[Lombardy fit]]*NOT(ISBLANK(Tabella8[[#This Row],[Lombardy]]))</f>
        <v>244.10278560129476</v>
      </c>
      <c r="P22" s="10">
        <f>Tabella8[[#This Row],[Lombardy fit]]+CIr</f>
        <v>423.43900280856542</v>
      </c>
      <c r="Q22" s="10">
        <f>MAX(Tabella8[[#This Row],[Lombardy fit]]-CIr,0)</f>
        <v>64.766568394024063</v>
      </c>
      <c r="R22" s="10">
        <f>Tabella8[[#This Row],[Italy cumulative]]-Tabella8[[#This Row],[Lombardy]]</f>
        <v>130</v>
      </c>
      <c r="S22" s="10">
        <f>Tabella8[[#This Row],[rest of Italy ]]*NOT(ISBLANK(Tabella8[[#This Row],[rest of Italy ]]))</f>
        <v>130</v>
      </c>
      <c r="T22" s="29">
        <f>Ko*EXP(-EXP(-(Tabella8[[#This Row],[Day]]-t0o)/wo))</f>
        <v>93.763813074233511</v>
      </c>
      <c r="U22" s="29">
        <f>Tabella8[[#This Row],[rest of Italy fit]]*NOT(ISBLANK(Tabella8[[#This Row],[rest of Italy ]]))</f>
        <v>93.763813074233511</v>
      </c>
      <c r="V22" s="10">
        <f>Tabella8[[#This Row],[rest of Italy fit]]+CIo</f>
        <v>167.51461689472228</v>
      </c>
      <c r="W22" s="10">
        <f>MAX(Tabella8[[#This Row],[rest of Italy fit]]-CIo,0)</f>
        <v>20.013009253744755</v>
      </c>
      <c r="X22" s="1"/>
      <c r="Y22" s="2" t="s">
        <v>2</v>
      </c>
      <c r="Z22" s="1">
        <f>AVERAGE(Tabella8[Lombardy])</f>
        <v>3728.204081632653</v>
      </c>
      <c r="AN22" s="60">
        <f>{32767;32767;0.000001;0;FALSE;FALSE;FALSE;1;2;1;0.0001;TRUE}</f>
        <v>32767</v>
      </c>
    </row>
    <row r="23" spans="2:40" x14ac:dyDescent="0.3">
      <c r="B23" s="18">
        <v>43900</v>
      </c>
      <c r="C23" s="4">
        <f t="shared" si="0"/>
        <v>15</v>
      </c>
      <c r="D23" s="10">
        <f>'dpc-covid19-ita-andamento-naz'!K17</f>
        <v>631</v>
      </c>
      <c r="E23" s="10">
        <f>Tabella8[[#This Row],[Italy cumulative]]*NOT(ISBLANK(Tabella8[[#This Row],[Italy cumulative]]))</f>
        <v>631</v>
      </c>
      <c r="F23" s="10">
        <f>Tabella8[[#This Row],[Lombardy fit]]+Tabella8[[#This Row],[rest of Italy fit]]</f>
        <v>469.15180449915442</v>
      </c>
      <c r="G23" s="10">
        <f>Tabella8[[#This Row],[Italy sum]]*NOT(ISBLANK(Tabella8[[#This Row],[Italy cumulative]]))</f>
        <v>469.15180449915442</v>
      </c>
      <c r="H23" s="29">
        <f>Kt*EXP(-EXP(-(Tabella8[[#This Row],[Day]]-t0t)/wt))</f>
        <v>467.41210868093719</v>
      </c>
      <c r="I23" s="10">
        <f>Tabella8[[#This Row],[Italy fit]]*NOT(ISBLANK(Tabella8[[#This Row],[Italy cumulative]]))</f>
        <v>467.41210868093719</v>
      </c>
      <c r="J23" s="10">
        <f>Tabella8[[#This Row],[Italy sum]]+CI</f>
        <v>681.76534263320241</v>
      </c>
      <c r="K23" s="10">
        <f>MAX(Tabella8[[#This Row],[Italy sum]]-CI,0)</f>
        <v>256.53826636510638</v>
      </c>
      <c r="L23" s="4">
        <v>468</v>
      </c>
      <c r="M23" s="10">
        <f>Tabella8[[#This Row],[Lombardy]]*NOT(ISBLANK(Tabella8[[#This Row],[Lombardy]]))</f>
        <v>468</v>
      </c>
      <c r="N23" s="29">
        <f>Kr*EXP(-EXP(-(Tabella8[[#This Row],[Day]]-t0r)/wr))</f>
        <v>335.28402646061807</v>
      </c>
      <c r="O23" s="10">
        <f>Tabella8[[#This Row],[Lombardy fit]]*NOT(ISBLANK(Tabella8[[#This Row],[Lombardy]]))</f>
        <v>335.28402646061807</v>
      </c>
      <c r="P23" s="10">
        <f>Tabella8[[#This Row],[Lombardy fit]]+CIr</f>
        <v>514.62024366788876</v>
      </c>
      <c r="Q23" s="10">
        <f>MAX(Tabella8[[#This Row],[Lombardy fit]]-CIr,0)</f>
        <v>155.94780925334737</v>
      </c>
      <c r="R23" s="10">
        <f>Tabella8[[#This Row],[Italy cumulative]]-Tabella8[[#This Row],[Lombardy]]</f>
        <v>163</v>
      </c>
      <c r="S23" s="10">
        <f>Tabella8[[#This Row],[rest of Italy ]]*NOT(ISBLANK(Tabella8[[#This Row],[rest of Italy ]]))</f>
        <v>163</v>
      </c>
      <c r="T23" s="29">
        <f>Ko*EXP(-EXP(-(Tabella8[[#This Row],[Day]]-t0o)/wo))</f>
        <v>133.86777803853636</v>
      </c>
      <c r="U23" s="29">
        <f>Tabella8[[#This Row],[rest of Italy fit]]*NOT(ISBLANK(Tabella8[[#This Row],[rest of Italy ]]))</f>
        <v>133.86777803853636</v>
      </c>
      <c r="V23" s="10">
        <f>Tabella8[[#This Row],[rest of Italy fit]]+CIo</f>
        <v>207.61858185902511</v>
      </c>
      <c r="W23" s="10">
        <f>MAX(Tabella8[[#This Row],[rest of Italy fit]]-CIo,0)</f>
        <v>60.116974218047602</v>
      </c>
      <c r="X23" s="1"/>
      <c r="Y23" s="2" t="s">
        <v>3</v>
      </c>
      <c r="Z23" s="1">
        <f>COUNT(Tabella8[Lombardy])-COUNT(Z19:Z21)</f>
        <v>46</v>
      </c>
      <c r="AN23" s="61">
        <f>{0;0;1;100;0;FALSE;FALSE;0.075;0;0;FALSE;30}</f>
        <v>0</v>
      </c>
    </row>
    <row r="24" spans="2:40" x14ac:dyDescent="0.3">
      <c r="B24" s="9">
        <v>43901</v>
      </c>
      <c r="C24" s="4">
        <f t="shared" si="0"/>
        <v>16</v>
      </c>
      <c r="D24" s="10">
        <f>'dpc-covid19-ita-andamento-naz'!K18</f>
        <v>827</v>
      </c>
      <c r="E24" s="10">
        <f>Tabella8[[#This Row],[Italy cumulative]]*NOT(ISBLANK(Tabella8[[#This Row],[Italy cumulative]]))</f>
        <v>827</v>
      </c>
      <c r="F24" s="10">
        <f>Tabella8[[#This Row],[Lombardy fit]]+Tabella8[[#This Row],[rest of Italy fit]]</f>
        <v>635.49967321224733</v>
      </c>
      <c r="G24" s="10">
        <f>Tabella8[[#This Row],[Italy sum]]*NOT(ISBLANK(Tabella8[[#This Row],[Italy cumulative]]))</f>
        <v>635.49967321224733</v>
      </c>
      <c r="H24" s="29">
        <f>Kt*EXP(-EXP(-(Tabella8[[#This Row],[Day]]-t0t)/wt))</f>
        <v>632.78227353520288</v>
      </c>
      <c r="I24" s="10">
        <f>Tabella8[[#This Row],[Italy fit]]*NOT(ISBLANK(Tabella8[[#This Row],[Italy cumulative]]))</f>
        <v>632.78227353520288</v>
      </c>
      <c r="J24" s="10">
        <f>Tabella8[[#This Row],[Italy sum]]+CI</f>
        <v>848.11321134629543</v>
      </c>
      <c r="K24" s="10">
        <f>MAX(Tabella8[[#This Row],[Italy sum]]-CI,0)</f>
        <v>422.88613507819929</v>
      </c>
      <c r="L24" s="4">
        <v>617</v>
      </c>
      <c r="M24" s="10">
        <f>Tabella8[[#This Row],[Lombardy]]*NOT(ISBLANK(Tabella8[[#This Row],[Lombardy]]))</f>
        <v>617</v>
      </c>
      <c r="N24" s="29">
        <f>Kr*EXP(-EXP(-(Tabella8[[#This Row],[Day]]-t0r)/wr))</f>
        <v>449.17045732287943</v>
      </c>
      <c r="O24" s="10">
        <f>Tabella8[[#This Row],[Lombardy fit]]*NOT(ISBLANK(Tabella8[[#This Row],[Lombardy]]))</f>
        <v>449.17045732287943</v>
      </c>
      <c r="P24" s="10">
        <f>Tabella8[[#This Row],[Lombardy fit]]+CIr</f>
        <v>628.50667453015012</v>
      </c>
      <c r="Q24" s="10">
        <f>MAX(Tabella8[[#This Row],[Lombardy fit]]-CIr,0)</f>
        <v>269.83424011560874</v>
      </c>
      <c r="R24" s="10">
        <f>Tabella8[[#This Row],[Italy cumulative]]-Tabella8[[#This Row],[Lombardy]]</f>
        <v>210</v>
      </c>
      <c r="S24" s="10">
        <f>Tabella8[[#This Row],[rest of Italy ]]*NOT(ISBLANK(Tabella8[[#This Row],[rest of Italy ]]))</f>
        <v>210</v>
      </c>
      <c r="T24" s="29">
        <f>Ko*EXP(-EXP(-(Tabella8[[#This Row],[Day]]-t0o)/wo))</f>
        <v>186.32921588936787</v>
      </c>
      <c r="U24" s="29">
        <f>Tabella8[[#This Row],[rest of Italy fit]]*NOT(ISBLANK(Tabella8[[#This Row],[rest of Italy ]]))</f>
        <v>186.32921588936787</v>
      </c>
      <c r="V24" s="10">
        <f>Tabella8[[#This Row],[rest of Italy fit]]+CIo</f>
        <v>260.08001970985663</v>
      </c>
      <c r="W24" s="10">
        <f>MAX(Tabella8[[#This Row],[rest of Italy fit]]-CIo,0)</f>
        <v>112.57841206887912</v>
      </c>
      <c r="X24" s="1"/>
      <c r="Y24" s="2" t="s">
        <v>4</v>
      </c>
      <c r="Z24" s="6" cm="1">
        <f t="array" ref="Z24">SQRT(SUM((Tabella8[Colonna4]-Tabella8[Colonna5])^2)/dfr)</f>
        <v>89.093650611359394</v>
      </c>
      <c r="AN24" s="62"/>
    </row>
    <row r="25" spans="2:40" ht="16.2" x14ac:dyDescent="0.3">
      <c r="B25" s="18">
        <v>43902</v>
      </c>
      <c r="C25" s="4">
        <f t="shared" si="0"/>
        <v>17</v>
      </c>
      <c r="D25" s="10">
        <f>'dpc-covid19-ita-andamento-naz'!K19</f>
        <v>1016</v>
      </c>
      <c r="E25" s="10">
        <f>Tabella8[[#This Row],[Italy cumulative]]*NOT(ISBLANK(Tabella8[[#This Row],[Italy cumulative]]))</f>
        <v>1016</v>
      </c>
      <c r="F25" s="10">
        <f>Tabella8[[#This Row],[Lombardy fit]]+Tabella8[[#This Row],[rest of Italy fit]]</f>
        <v>841.35977210422482</v>
      </c>
      <c r="G25" s="10">
        <f>Tabella8[[#This Row],[Italy sum]]*NOT(ISBLANK(Tabella8[[#This Row],[Italy cumulative]]))</f>
        <v>841.35977210422482</v>
      </c>
      <c r="H25" s="29">
        <f>Kt*EXP(-EXP(-(Tabella8[[#This Row],[Day]]-t0t)/wt))</f>
        <v>837.56931588314865</v>
      </c>
      <c r="I25" s="10">
        <f>Tabella8[[#This Row],[Italy fit]]*NOT(ISBLANK(Tabella8[[#This Row],[Italy cumulative]]))</f>
        <v>837.56931588314865</v>
      </c>
      <c r="J25" s="10">
        <f>Tabella8[[#This Row],[Italy sum]]+CI</f>
        <v>1053.9733102382729</v>
      </c>
      <c r="K25" s="10">
        <f>MAX(Tabella8[[#This Row],[Italy sum]]-CI,0)</f>
        <v>628.74623397017672</v>
      </c>
      <c r="L25" s="4">
        <v>744</v>
      </c>
      <c r="M25" s="10">
        <f>Tabella8[[#This Row],[Lombardy]]*NOT(ISBLANK(Tabella8[[#This Row],[Lombardy]]))</f>
        <v>744</v>
      </c>
      <c r="N25" s="29">
        <f>Kr*EXP(-EXP(-(Tabella8[[#This Row],[Day]]-t0r)/wr))</f>
        <v>588.05840263096559</v>
      </c>
      <c r="O25" s="10">
        <f>Tabella8[[#This Row],[Lombardy fit]]*NOT(ISBLANK(Tabella8[[#This Row],[Lombardy]]))</f>
        <v>588.05840263096559</v>
      </c>
      <c r="P25" s="10">
        <f>Tabella8[[#This Row],[Lombardy fit]]+CIr</f>
        <v>767.39461983823628</v>
      </c>
      <c r="Q25" s="10">
        <f>MAX(Tabella8[[#This Row],[Lombardy fit]]-CIr,0)</f>
        <v>408.7221854236949</v>
      </c>
      <c r="R25" s="10">
        <f>Tabella8[[#This Row],[Italy cumulative]]-Tabella8[[#This Row],[Lombardy]]</f>
        <v>272</v>
      </c>
      <c r="S25" s="10">
        <f>Tabella8[[#This Row],[rest of Italy ]]*NOT(ISBLANK(Tabella8[[#This Row],[rest of Italy ]]))</f>
        <v>272</v>
      </c>
      <c r="T25" s="29">
        <f>Ko*EXP(-EXP(-(Tabella8[[#This Row],[Day]]-t0o)/wo))</f>
        <v>253.3013694732592</v>
      </c>
      <c r="U25" s="29">
        <f>Tabella8[[#This Row],[rest of Italy fit]]*NOT(ISBLANK(Tabella8[[#This Row],[rest of Italy ]]))</f>
        <v>253.3013694732592</v>
      </c>
      <c r="V25" s="10">
        <f>Tabella8[[#This Row],[rest of Italy fit]]+CIo</f>
        <v>327.05217329374796</v>
      </c>
      <c r="W25" s="10">
        <f>MAX(Tabella8[[#This Row],[rest of Italy fit]]-CIo,0)</f>
        <v>179.55056565277044</v>
      </c>
      <c r="X25" s="1"/>
      <c r="Y25" s="2" t="s">
        <v>5</v>
      </c>
      <c r="Z25" s="7" cm="1">
        <f t="array" ref="Z25">1-SUM((Tabella8[Colonna4]-Tabella8[Colonna5])^2)/SUM((Tabella8[Colonna4]-Mean_of_yr)^2)</f>
        <v>0.99963163082377915</v>
      </c>
      <c r="AN25" s="63"/>
    </row>
    <row r="26" spans="2:40" x14ac:dyDescent="0.3">
      <c r="B26" s="9">
        <v>43903</v>
      </c>
      <c r="C26" s="4">
        <f t="shared" si="0"/>
        <v>18</v>
      </c>
      <c r="D26" s="10">
        <f>'dpc-covid19-ita-andamento-naz'!K20</f>
        <v>1266</v>
      </c>
      <c r="E26" s="10">
        <f>Tabella8[[#This Row],[Italy cumulative]]*NOT(ISBLANK(Tabella8[[#This Row],[Italy cumulative]]))</f>
        <v>1266</v>
      </c>
      <c r="F26" s="10">
        <f>Tabella8[[#This Row],[Lombardy fit]]+Tabella8[[#This Row],[rest of Italy fit]]</f>
        <v>1090.6298602218505</v>
      </c>
      <c r="G26" s="10">
        <f>Tabella8[[#This Row],[Italy sum]]*NOT(ISBLANK(Tabella8[[#This Row],[Italy cumulative]]))</f>
        <v>1090.6298602218505</v>
      </c>
      <c r="H26" s="29">
        <f>Kt*EXP(-EXP(-(Tabella8[[#This Row],[Day]]-t0t)/wt))</f>
        <v>1085.7443024262623</v>
      </c>
      <c r="I26" s="10">
        <f>Tabella8[[#This Row],[Italy fit]]*NOT(ISBLANK(Tabella8[[#This Row],[Italy cumulative]]))</f>
        <v>1085.7443024262623</v>
      </c>
      <c r="J26" s="10">
        <f>Tabella8[[#This Row],[Italy sum]]+CI</f>
        <v>1303.2433983558985</v>
      </c>
      <c r="K26" s="10">
        <f>MAX(Tabella8[[#This Row],[Italy sum]]-CI,0)</f>
        <v>878.01632208780256</v>
      </c>
      <c r="L26" s="4">
        <v>890</v>
      </c>
      <c r="M26" s="10">
        <f>Tabella8[[#This Row],[Lombardy]]*NOT(ISBLANK(Tabella8[[#This Row],[Lombardy]]))</f>
        <v>890</v>
      </c>
      <c r="N26" s="29">
        <f>Kr*EXP(-EXP(-(Tabella8[[#This Row],[Day]]-t0r)/wr))</f>
        <v>753.74835608304932</v>
      </c>
      <c r="O26" s="10">
        <f>Tabella8[[#This Row],[Lombardy fit]]*NOT(ISBLANK(Tabella8[[#This Row],[Lombardy]]))</f>
        <v>753.74835608304932</v>
      </c>
      <c r="P26" s="10">
        <f>Tabella8[[#This Row],[Lombardy fit]]+CIr</f>
        <v>933.08457329032001</v>
      </c>
      <c r="Q26" s="10">
        <f>MAX(Tabella8[[#This Row],[Lombardy fit]]-CIr,0)</f>
        <v>574.41213887577862</v>
      </c>
      <c r="R26" s="10">
        <f>Tabella8[[#This Row],[Italy cumulative]]-Tabella8[[#This Row],[Lombardy]]</f>
        <v>376</v>
      </c>
      <c r="S26" s="10">
        <f>Tabella8[[#This Row],[rest of Italy ]]*NOT(ISBLANK(Tabella8[[#This Row],[rest of Italy ]]))</f>
        <v>376</v>
      </c>
      <c r="T26" s="29">
        <f>Ko*EXP(-EXP(-(Tabella8[[#This Row],[Day]]-t0o)/wo))</f>
        <v>336.88150413880123</v>
      </c>
      <c r="U26" s="29">
        <f>Tabella8[[#This Row],[rest of Italy fit]]*NOT(ISBLANK(Tabella8[[#This Row],[rest of Italy ]]))</f>
        <v>336.88150413880123</v>
      </c>
      <c r="V26" s="10">
        <f>Tabella8[[#This Row],[rest of Italy fit]]+CIo</f>
        <v>410.63230795928996</v>
      </c>
      <c r="W26" s="10">
        <f>MAX(Tabella8[[#This Row],[rest of Italy fit]]-CIo,0)</f>
        <v>263.13070031831251</v>
      </c>
      <c r="X26" s="1"/>
      <c r="Y26" s="2" t="s">
        <v>6</v>
      </c>
      <c r="Z26" s="7">
        <f>TINV(0.05,dfr)</f>
        <v>2.0128955989194299</v>
      </c>
      <c r="AN26" s="63"/>
    </row>
    <row r="27" spans="2:40" ht="15" thickBot="1" x14ac:dyDescent="0.35">
      <c r="B27" s="9">
        <v>43904</v>
      </c>
      <c r="C27" s="4">
        <f t="shared" si="0"/>
        <v>19</v>
      </c>
      <c r="D27" s="10">
        <f>'dpc-covid19-ita-andamento-naz'!K21</f>
        <v>1441</v>
      </c>
      <c r="E27" s="10">
        <f>Tabella8[[#This Row],[Italy cumulative]]*NOT(ISBLANK(Tabella8[[#This Row],[Italy cumulative]]))</f>
        <v>1441</v>
      </c>
      <c r="F27" s="10">
        <f>Tabella8[[#This Row],[Lombardy fit]]+Tabella8[[#This Row],[rest of Italy fit]]</f>
        <v>1386.4570822278151</v>
      </c>
      <c r="G27" s="10">
        <f>Tabella8[[#This Row],[Italy sum]]*NOT(ISBLANK(Tabella8[[#This Row],[Italy cumulative]]))</f>
        <v>1386.4570822278151</v>
      </c>
      <c r="H27" s="29">
        <f>Kt*EXP(-EXP(-(Tabella8[[#This Row],[Day]]-t0t)/wt))</f>
        <v>1380.5392572968995</v>
      </c>
      <c r="I27" s="10">
        <f>Tabella8[[#This Row],[Italy fit]]*NOT(ISBLANK(Tabella8[[#This Row],[Italy cumulative]]))</f>
        <v>1380.5392572968995</v>
      </c>
      <c r="J27" s="10">
        <f>Tabella8[[#This Row],[Italy sum]]+CI</f>
        <v>1599.0706203618631</v>
      </c>
      <c r="K27" s="10">
        <f>MAX(Tabella8[[#This Row],[Italy sum]]-CI,0)</f>
        <v>1173.8435440937672</v>
      </c>
      <c r="L27" s="4">
        <v>966</v>
      </c>
      <c r="M27" s="10">
        <f>Tabella8[[#This Row],[Lombardy]]*NOT(ISBLANK(Tabella8[[#This Row],[Lombardy]]))</f>
        <v>966</v>
      </c>
      <c r="N27" s="29">
        <f>Kr*EXP(-EXP(-(Tabella8[[#This Row],[Day]]-t0r)/wr))</f>
        <v>947.44242534147713</v>
      </c>
      <c r="O27" s="10">
        <f>Tabella8[[#This Row],[Lombardy fit]]*NOT(ISBLANK(Tabella8[[#This Row],[Lombardy]]))</f>
        <v>947.44242534147713</v>
      </c>
      <c r="P27" s="10">
        <f>Tabella8[[#This Row],[Lombardy fit]]+CIr</f>
        <v>1126.7786425487479</v>
      </c>
      <c r="Q27" s="10">
        <f>MAX(Tabella8[[#This Row],[Lombardy fit]]-CIr,0)</f>
        <v>768.10620813420644</v>
      </c>
      <c r="R27" s="10">
        <f>Tabella8[[#This Row],[Italy cumulative]]-Tabella8[[#This Row],[Lombardy]]</f>
        <v>475</v>
      </c>
      <c r="S27" s="10">
        <f>Tabella8[[#This Row],[rest of Italy ]]*NOT(ISBLANK(Tabella8[[#This Row],[rest of Italy ]]))</f>
        <v>475</v>
      </c>
      <c r="T27" s="29">
        <f>Ko*EXP(-EXP(-(Tabella8[[#This Row],[Day]]-t0o)/wo))</f>
        <v>439.01465688633789</v>
      </c>
      <c r="U27" s="29">
        <f>Tabella8[[#This Row],[rest of Italy fit]]*NOT(ISBLANK(Tabella8[[#This Row],[rest of Italy ]]))</f>
        <v>439.01465688633789</v>
      </c>
      <c r="V27" s="10">
        <f>Tabella8[[#This Row],[rest of Italy fit]]+CIo</f>
        <v>512.76546070682662</v>
      </c>
      <c r="W27" s="10">
        <f>MAX(Tabella8[[#This Row],[rest of Italy fit]]-CIo,0)</f>
        <v>365.26385306584916</v>
      </c>
      <c r="X27" s="1"/>
      <c r="Y27" s="2" t="s">
        <v>7</v>
      </c>
      <c r="Z27" s="1">
        <f>Critical_tr*SE_of_yr</f>
        <v>179.33621720727069</v>
      </c>
      <c r="AN27" s="64"/>
    </row>
    <row r="28" spans="2:40" ht="15" thickTop="1" x14ac:dyDescent="0.3">
      <c r="B28" s="9">
        <v>43905</v>
      </c>
      <c r="C28" s="4">
        <f t="shared" si="0"/>
        <v>20</v>
      </c>
      <c r="D28" s="10">
        <f>'dpc-covid19-ita-andamento-naz'!K22</f>
        <v>1809</v>
      </c>
      <c r="E28" s="10">
        <f>Tabella8[[#This Row],[Italy cumulative]]*NOT(ISBLANK(Tabella8[[#This Row],[Italy cumulative]]))</f>
        <v>1809</v>
      </c>
      <c r="F28" s="10">
        <f>Tabella8[[#This Row],[Lombardy fit]]+Tabella8[[#This Row],[rest of Italy fit]]</f>
        <v>1731.0809856175497</v>
      </c>
      <c r="G28" s="10">
        <f>Tabella8[[#This Row],[Italy sum]]*NOT(ISBLANK(Tabella8[[#This Row],[Italy cumulative]]))</f>
        <v>1731.0809856175497</v>
      </c>
      <c r="H28" s="29">
        <f>Kt*EXP(-EXP(-(Tabella8[[#This Row],[Day]]-t0t)/wt))</f>
        <v>1724.2818964240855</v>
      </c>
      <c r="I28" s="10">
        <f>Tabella8[[#This Row],[Italy fit]]*NOT(ISBLANK(Tabella8[[#This Row],[Italy cumulative]]))</f>
        <v>1724.2818964240855</v>
      </c>
      <c r="J28" s="10">
        <f>Tabella8[[#This Row],[Italy sum]]+CI</f>
        <v>1943.6945237515977</v>
      </c>
      <c r="K28" s="10">
        <f>MAX(Tabella8[[#This Row],[Italy sum]]-CI,0)</f>
        <v>1518.4674474835017</v>
      </c>
      <c r="L28" s="4">
        <v>1218</v>
      </c>
      <c r="M28" s="10">
        <f>Tabella8[[#This Row],[Lombardy]]*NOT(ISBLANK(Tabella8[[#This Row],[Lombardy]]))</f>
        <v>1218</v>
      </c>
      <c r="N28" s="29">
        <f>Kr*EXP(-EXP(-(Tabella8[[#This Row],[Day]]-t0r)/wr))</f>
        <v>1169.6791866457431</v>
      </c>
      <c r="O28" s="10">
        <f>Tabella8[[#This Row],[Lombardy fit]]*NOT(ISBLANK(Tabella8[[#This Row],[Lombardy]]))</f>
        <v>1169.6791866457431</v>
      </c>
      <c r="P28" s="10">
        <f>Tabella8[[#This Row],[Lombardy fit]]+CIr</f>
        <v>1349.0154038530138</v>
      </c>
      <c r="Q28" s="10">
        <f>MAX(Tabella8[[#This Row],[Lombardy fit]]-CIr,0)</f>
        <v>990.34296943847244</v>
      </c>
      <c r="R28" s="10">
        <f>Tabella8[[#This Row],[Italy cumulative]]-Tabella8[[#This Row],[Lombardy]]</f>
        <v>591</v>
      </c>
      <c r="S28" s="10">
        <f>Tabella8[[#This Row],[rest of Italy ]]*NOT(ISBLANK(Tabella8[[#This Row],[rest of Italy ]]))</f>
        <v>591</v>
      </c>
      <c r="T28" s="29">
        <f>Ko*EXP(-EXP(-(Tabella8[[#This Row],[Day]]-t0o)/wo))</f>
        <v>561.40179897180644</v>
      </c>
      <c r="U28" s="29">
        <f>Tabella8[[#This Row],[rest of Italy fit]]*NOT(ISBLANK(Tabella8[[#This Row],[rest of Italy ]]))</f>
        <v>561.40179897180644</v>
      </c>
      <c r="V28" s="10">
        <f>Tabella8[[#This Row],[rest of Italy fit]]+CIo</f>
        <v>635.15260279229517</v>
      </c>
      <c r="W28" s="10">
        <f>MAX(Tabella8[[#This Row],[rest of Italy fit]]-CIo,0)</f>
        <v>487.65099515131772</v>
      </c>
      <c r="X28" s="1"/>
      <c r="Y28" s="22"/>
      <c r="Z28" s="38"/>
      <c r="AN28" s="65">
        <f>MAX($Z$36)</f>
        <v>0.99990147991998624</v>
      </c>
    </row>
    <row r="29" spans="2:40" x14ac:dyDescent="0.3">
      <c r="B29" s="9">
        <v>43906</v>
      </c>
      <c r="C29" s="4">
        <f t="shared" si="0"/>
        <v>21</v>
      </c>
      <c r="D29" s="10">
        <f>'dpc-covid19-ita-andamento-naz'!K23</f>
        <v>2158</v>
      </c>
      <c r="E29" s="10">
        <f>Tabella8[[#This Row],[Italy cumulative]]*NOT(ISBLANK(Tabella8[[#This Row],[Italy cumulative]]))</f>
        <v>2158</v>
      </c>
      <c r="F29" s="10">
        <f>Tabella8[[#This Row],[Lombardy fit]]+Tabella8[[#This Row],[rest of Italy fit]]</f>
        <v>2125.727539440381</v>
      </c>
      <c r="G29" s="10">
        <f>Tabella8[[#This Row],[Italy sum]]*NOT(ISBLANK(Tabella8[[#This Row],[Italy cumulative]]))</f>
        <v>2125.727539440381</v>
      </c>
      <c r="H29" s="29">
        <f>Kt*EXP(-EXP(-(Tabella8[[#This Row],[Day]]-t0t)/wt))</f>
        <v>2118.2809796551219</v>
      </c>
      <c r="I29" s="10">
        <f>Tabella8[[#This Row],[Italy fit]]*NOT(ISBLANK(Tabella8[[#This Row],[Italy cumulative]]))</f>
        <v>2118.2809796551219</v>
      </c>
      <c r="J29" s="10">
        <f>Tabella8[[#This Row],[Italy sum]]+CI</f>
        <v>2338.3410775744292</v>
      </c>
      <c r="K29" s="10">
        <f>MAX(Tabella8[[#This Row],[Italy sum]]-CI,0)</f>
        <v>1913.114001306333</v>
      </c>
      <c r="L29" s="4">
        <v>1420</v>
      </c>
      <c r="M29" s="10">
        <f>Tabella8[[#This Row],[Lombardy]]*NOT(ISBLANK(Tabella8[[#This Row],[Lombardy]]))</f>
        <v>1420</v>
      </c>
      <c r="N29" s="29">
        <f>Kr*EXP(-EXP(-(Tabella8[[#This Row],[Day]]-t0r)/wr))</f>
        <v>1420.3084577190118</v>
      </c>
      <c r="O29" s="10">
        <f>Tabella8[[#This Row],[Lombardy fit]]*NOT(ISBLANK(Tabella8[[#This Row],[Lombardy]]))</f>
        <v>1420.3084577190118</v>
      </c>
      <c r="P29" s="10">
        <f>Tabella8[[#This Row],[Lombardy fit]]+CIr</f>
        <v>1599.6446749262825</v>
      </c>
      <c r="Q29" s="10">
        <f>MAX(Tabella8[[#This Row],[Lombardy fit]]-CIr,0)</f>
        <v>1240.9722405117411</v>
      </c>
      <c r="R29" s="10">
        <f>Tabella8[[#This Row],[Italy cumulative]]-Tabella8[[#This Row],[Lombardy]]</f>
        <v>738</v>
      </c>
      <c r="S29" s="10">
        <f>Tabella8[[#This Row],[rest of Italy ]]*NOT(ISBLANK(Tabella8[[#This Row],[rest of Italy ]]))</f>
        <v>738</v>
      </c>
      <c r="T29" s="29">
        <f>Ko*EXP(-EXP(-(Tabella8[[#This Row],[Day]]-t0o)/wo))</f>
        <v>705.41908172136925</v>
      </c>
      <c r="U29" s="29">
        <f>Tabella8[[#This Row],[rest of Italy fit]]*NOT(ISBLANK(Tabella8[[#This Row],[rest of Italy ]]))</f>
        <v>705.41908172136925</v>
      </c>
      <c r="V29" s="10">
        <f>Tabella8[[#This Row],[rest of Italy fit]]+CIo</f>
        <v>779.16988554185798</v>
      </c>
      <c r="W29" s="10">
        <f>MAX(Tabella8[[#This Row],[rest of Italy fit]]-CIo,0)</f>
        <v>631.66827790088053</v>
      </c>
      <c r="X29" s="1"/>
      <c r="Y29" s="39" t="s">
        <v>85</v>
      </c>
      <c r="Z29" s="40" t="s">
        <v>138</v>
      </c>
      <c r="AN29" s="66">
        <f>COUNT($Z$30,$Z$31,$Z$32)</f>
        <v>3</v>
      </c>
    </row>
    <row r="30" spans="2:40" x14ac:dyDescent="0.3">
      <c r="B30" s="9">
        <v>43907</v>
      </c>
      <c r="C30" s="4">
        <f t="shared" si="0"/>
        <v>22</v>
      </c>
      <c r="D30" s="10">
        <f>'dpc-covid19-ita-andamento-naz'!K24</f>
        <v>2503</v>
      </c>
      <c r="E30" s="10">
        <f>Tabella8[[#This Row],[Italy cumulative]]*NOT(ISBLANK(Tabella8[[#This Row],[Italy cumulative]]))</f>
        <v>2503</v>
      </c>
      <c r="F30" s="10">
        <f>Tabella8[[#This Row],[Lombardy fit]]+Tabella8[[#This Row],[rest of Italy fit]]</f>
        <v>2570.5580712362148</v>
      </c>
      <c r="G30" s="10">
        <f>Tabella8[[#This Row],[Italy sum]]*NOT(ISBLANK(Tabella8[[#This Row],[Italy cumulative]]))</f>
        <v>2570.5580712362148</v>
      </c>
      <c r="H30" s="29">
        <f>Kt*EXP(-EXP(-(Tabella8[[#This Row],[Day]]-t0t)/wt))</f>
        <v>2562.7673008322872</v>
      </c>
      <c r="I30" s="10">
        <f>Tabella8[[#This Row],[Italy fit]]*NOT(ISBLANK(Tabella8[[#This Row],[Italy cumulative]]))</f>
        <v>2562.7673008322872</v>
      </c>
      <c r="J30" s="10">
        <f>Tabella8[[#This Row],[Italy sum]]+CI</f>
        <v>2783.171609370263</v>
      </c>
      <c r="K30" s="10">
        <f>MAX(Tabella8[[#This Row],[Italy sum]]-CI,0)</f>
        <v>2357.9445331021666</v>
      </c>
      <c r="L30" s="4">
        <v>1640</v>
      </c>
      <c r="M30" s="10">
        <f>Tabella8[[#This Row],[Lombardy]]*NOT(ISBLANK(Tabella8[[#This Row],[Lombardy]]))</f>
        <v>1640</v>
      </c>
      <c r="N30" s="29">
        <f>Kr*EXP(-EXP(-(Tabella8[[#This Row],[Day]]-t0r)/wr))</f>
        <v>1698.5045765274699</v>
      </c>
      <c r="O30" s="10">
        <f>Tabella8[[#This Row],[Lombardy fit]]*NOT(ISBLANK(Tabella8[[#This Row],[Lombardy]]))</f>
        <v>1698.5045765274699</v>
      </c>
      <c r="P30" s="10">
        <f>Tabella8[[#This Row],[Lombardy fit]]+CIr</f>
        <v>1877.8407937347406</v>
      </c>
      <c r="Q30" s="10">
        <f>MAX(Tabella8[[#This Row],[Lombardy fit]]-CIr,0)</f>
        <v>1519.1683593201992</v>
      </c>
      <c r="R30" s="10">
        <f>Tabella8[[#This Row],[Italy cumulative]]-Tabella8[[#This Row],[Lombardy]]</f>
        <v>863</v>
      </c>
      <c r="S30" s="10">
        <f>Tabella8[[#This Row],[rest of Italy ]]*NOT(ISBLANK(Tabella8[[#This Row],[rest of Italy ]]))</f>
        <v>863</v>
      </c>
      <c r="T30" s="29">
        <f>Ko*EXP(-EXP(-(Tabella8[[#This Row],[Day]]-t0o)/wo))</f>
        <v>872.05349470874489</v>
      </c>
      <c r="U30" s="29">
        <f>Tabella8[[#This Row],[rest of Italy fit]]*NOT(ISBLANK(Tabella8[[#This Row],[rest of Italy ]]))</f>
        <v>872.05349470874489</v>
      </c>
      <c r="V30" s="10">
        <f>Tabella8[[#This Row],[rest of Italy fit]]+CIo</f>
        <v>945.80429852923362</v>
      </c>
      <c r="W30" s="10">
        <f>MAX(Tabella8[[#This Row],[rest of Italy fit]]-CIo,0)</f>
        <v>798.30269088825617</v>
      </c>
      <c r="X30" s="1"/>
      <c r="Y30" s="17" t="s">
        <v>0</v>
      </c>
      <c r="Z30" s="5">
        <v>13770.324904698249</v>
      </c>
      <c r="AN30" s="66">
        <f>{32767;32767;0.000001;0.01;FALSE;FALSE;FALSE;1;2;1;0.0001;TRUE}</f>
        <v>32767</v>
      </c>
    </row>
    <row r="31" spans="2:40" ht="15.6" x14ac:dyDescent="0.35">
      <c r="B31" s="9">
        <v>43908</v>
      </c>
      <c r="C31" s="4">
        <f t="shared" si="0"/>
        <v>23</v>
      </c>
      <c r="D31" s="10">
        <f>'dpc-covid19-ita-andamento-naz'!K25</f>
        <v>2978</v>
      </c>
      <c r="E31" s="10">
        <f>Tabella8[[#This Row],[Italy cumulative]]*NOT(ISBLANK(Tabella8[[#This Row],[Italy cumulative]]))</f>
        <v>2978</v>
      </c>
      <c r="F31" s="10">
        <f>Tabella8[[#This Row],[Lombardy fit]]+Tabella8[[#This Row],[rest of Italy fit]]</f>
        <v>3064.6721292137704</v>
      </c>
      <c r="G31" s="10">
        <f>Tabella8[[#This Row],[Italy sum]]*NOT(ISBLANK(Tabella8[[#This Row],[Italy cumulative]]))</f>
        <v>3064.6721292137704</v>
      </c>
      <c r="H31" s="29">
        <f>Kt*EXP(-EXP(-(Tabella8[[#This Row],[Day]]-t0t)/wt))</f>
        <v>3056.8902042670629</v>
      </c>
      <c r="I31" s="10">
        <f>Tabella8[[#This Row],[Italy fit]]*NOT(ISBLANK(Tabella8[[#This Row],[Italy cumulative]]))</f>
        <v>3056.8902042670629</v>
      </c>
      <c r="J31" s="10">
        <f>Tabella8[[#This Row],[Italy sum]]+CI</f>
        <v>3277.2856673478186</v>
      </c>
      <c r="K31" s="10">
        <f>MAX(Tabella8[[#This Row],[Italy sum]]-CI,0)</f>
        <v>2852.0585910797222</v>
      </c>
      <c r="L31" s="4">
        <v>1959</v>
      </c>
      <c r="M31" s="10">
        <f>Tabella8[[#This Row],[Lombardy]]*NOT(ISBLANK(Tabella8[[#This Row],[Lombardy]]))</f>
        <v>1959</v>
      </c>
      <c r="N31" s="29">
        <f>Kr*EXP(-EXP(-(Tabella8[[#This Row],[Day]]-t0r)/wr))</f>
        <v>2002.8136167542366</v>
      </c>
      <c r="O31" s="10">
        <f>Tabella8[[#This Row],[Lombardy fit]]*NOT(ISBLANK(Tabella8[[#This Row],[Lombardy]]))</f>
        <v>2002.8136167542366</v>
      </c>
      <c r="P31" s="10">
        <f>Tabella8[[#This Row],[Lombardy fit]]+CIr</f>
        <v>2182.1498339615073</v>
      </c>
      <c r="Q31" s="10">
        <f>MAX(Tabella8[[#This Row],[Lombardy fit]]-CIr,0)</f>
        <v>1823.4773995469659</v>
      </c>
      <c r="R31" s="10">
        <f>Tabella8[[#This Row],[Italy cumulative]]-Tabella8[[#This Row],[Lombardy]]</f>
        <v>1019</v>
      </c>
      <c r="S31" s="10">
        <f>Tabella8[[#This Row],[rest of Italy ]]*NOT(ISBLANK(Tabella8[[#This Row],[rest of Italy ]]))</f>
        <v>1019</v>
      </c>
      <c r="T31" s="29">
        <f>Ko*EXP(-EXP(-(Tabella8[[#This Row],[Day]]-t0o)/wo))</f>
        <v>1061.8585124595338</v>
      </c>
      <c r="U31" s="29">
        <f>Tabella8[[#This Row],[rest of Italy fit]]*NOT(ISBLANK(Tabella8[[#This Row],[rest of Italy ]]))</f>
        <v>1061.8585124595338</v>
      </c>
      <c r="V31" s="10">
        <f>Tabella8[[#This Row],[rest of Italy fit]]+CIo</f>
        <v>1135.6093162800225</v>
      </c>
      <c r="W31" s="10">
        <f>MAX(Tabella8[[#This Row],[rest of Italy fit]]-CIo,0)</f>
        <v>988.10770863904509</v>
      </c>
      <c r="Y31" s="17" t="s">
        <v>24</v>
      </c>
      <c r="Z31" s="37">
        <v>35.709236147691428</v>
      </c>
      <c r="AC31" s="1"/>
      <c r="AN31" s="66">
        <f>{0;0;1;100;0;FALSE;FALSE;0.075;0;0;FALSE;30}</f>
        <v>0</v>
      </c>
    </row>
    <row r="32" spans="2:40" x14ac:dyDescent="0.3">
      <c r="B32" s="9">
        <v>43909</v>
      </c>
      <c r="C32" s="4">
        <f t="shared" si="0"/>
        <v>24</v>
      </c>
      <c r="D32" s="10">
        <f>'dpc-covid19-ita-andamento-naz'!K26</f>
        <v>3405</v>
      </c>
      <c r="E32" s="10">
        <f>Tabella8[[#This Row],[Italy cumulative]]*NOT(ISBLANK(Tabella8[[#This Row],[Italy cumulative]]))</f>
        <v>3405</v>
      </c>
      <c r="F32" s="10">
        <f>Tabella8[[#This Row],[Lombardy fit]]+Tabella8[[#This Row],[rest of Italy fit]]</f>
        <v>3606.1592144406841</v>
      </c>
      <c r="G32" s="10">
        <f>Tabella8[[#This Row],[Italy sum]]*NOT(ISBLANK(Tabella8[[#This Row],[Italy cumulative]]))</f>
        <v>3606.1592144406841</v>
      </c>
      <c r="H32" s="29">
        <f>Kt*EXP(-EXP(-(Tabella8[[#This Row],[Day]]-t0t)/wt))</f>
        <v>3598.7651358891271</v>
      </c>
      <c r="I32" s="10">
        <f>Tabella8[[#This Row],[Italy fit]]*NOT(ISBLANK(Tabella8[[#This Row],[Italy cumulative]]))</f>
        <v>3598.7651358891271</v>
      </c>
      <c r="J32" s="10">
        <f>Tabella8[[#This Row],[Italy sum]]+CI</f>
        <v>3818.7727525747323</v>
      </c>
      <c r="K32" s="10">
        <f>MAX(Tabella8[[#This Row],[Italy sum]]-CI,0)</f>
        <v>3393.5456763066359</v>
      </c>
      <c r="L32" s="4">
        <v>2168</v>
      </c>
      <c r="M32" s="10">
        <f>Tabella8[[#This Row],[Lombardy]]*NOT(ISBLANK(Tabella8[[#This Row],[Lombardy]]))</f>
        <v>2168</v>
      </c>
      <c r="N32" s="29">
        <f>Kr*EXP(-EXP(-(Tabella8[[#This Row],[Day]]-t0r)/wr))</f>
        <v>2331.22781059314</v>
      </c>
      <c r="O32" s="10">
        <f>Tabella8[[#This Row],[Lombardy fit]]*NOT(ISBLANK(Tabella8[[#This Row],[Lombardy]]))</f>
        <v>2331.22781059314</v>
      </c>
      <c r="P32" s="10">
        <f>Tabella8[[#This Row],[Lombardy fit]]+CIr</f>
        <v>2510.5640278004107</v>
      </c>
      <c r="Q32" s="10">
        <f>MAX(Tabella8[[#This Row],[Lombardy fit]]-CIr,0)</f>
        <v>2151.8915933858693</v>
      </c>
      <c r="R32" s="10">
        <f>Tabella8[[#This Row],[Italy cumulative]]-Tabella8[[#This Row],[Lombardy]]</f>
        <v>1237</v>
      </c>
      <c r="S32" s="10">
        <f>Tabella8[[#This Row],[rest of Italy ]]*NOT(ISBLANK(Tabella8[[#This Row],[rest of Italy ]]))</f>
        <v>1237</v>
      </c>
      <c r="T32" s="29">
        <f>Ko*EXP(-EXP(-(Tabella8[[#This Row],[Day]]-t0o)/wo))</f>
        <v>1274.9314038475443</v>
      </c>
      <c r="U32" s="29">
        <f>Tabella8[[#This Row],[rest of Italy fit]]*NOT(ISBLANK(Tabella8[[#This Row],[rest of Italy ]]))</f>
        <v>1274.9314038475443</v>
      </c>
      <c r="V32" s="10">
        <f>Tabella8[[#This Row],[rest of Italy fit]]+CIo</f>
        <v>1348.682207668033</v>
      </c>
      <c r="W32" s="10">
        <f>MAX(Tabella8[[#This Row],[rest of Italy fit]]-CIo,0)</f>
        <v>1201.1806000270556</v>
      </c>
      <c r="Y32" s="17" t="s">
        <v>1</v>
      </c>
      <c r="Z32" s="37">
        <v>13.506361628127337</v>
      </c>
      <c r="AN32" s="66">
        <f>{32767;32767;0.000001;0;FALSE;FALSE;FALSE;1;2;1;0.0001;TRUE}</f>
        <v>32767</v>
      </c>
    </row>
    <row r="33" spans="2:40" x14ac:dyDescent="0.3">
      <c r="B33" s="9">
        <v>43910</v>
      </c>
      <c r="C33" s="4">
        <f t="shared" si="0"/>
        <v>25</v>
      </c>
      <c r="D33" s="10">
        <f>'dpc-covid19-ita-andamento-naz'!K27</f>
        <v>4032</v>
      </c>
      <c r="E33" s="10">
        <f>Tabella8[[#This Row],[Italy cumulative]]*NOT(ISBLANK(Tabella8[[#This Row],[Italy cumulative]]))</f>
        <v>4032</v>
      </c>
      <c r="F33" s="10">
        <f>Tabella8[[#This Row],[Lombardy fit]]+Tabella8[[#This Row],[rest of Italy fit]]</f>
        <v>4192.1913908467732</v>
      </c>
      <c r="G33" s="10">
        <f>Tabella8[[#This Row],[Italy sum]]*NOT(ISBLANK(Tabella8[[#This Row],[Italy cumulative]]))</f>
        <v>4192.1913908467732</v>
      </c>
      <c r="H33" s="29">
        <f>Kt*EXP(-EXP(-(Tabella8[[#This Row],[Day]]-t0t)/wt))</f>
        <v>4185.5644572116507</v>
      </c>
      <c r="I33" s="10">
        <f>Tabella8[[#This Row],[Italy fit]]*NOT(ISBLANK(Tabella8[[#This Row],[Italy cumulative]]))</f>
        <v>4185.5644572116507</v>
      </c>
      <c r="J33" s="10">
        <f>Tabella8[[#This Row],[Italy sum]]+CI</f>
        <v>4404.8049289808214</v>
      </c>
      <c r="K33" s="10">
        <f>MAX(Tabella8[[#This Row],[Italy sum]]-CI,0)</f>
        <v>3979.577852712725</v>
      </c>
      <c r="L33" s="4">
        <v>2549</v>
      </c>
      <c r="M33" s="10">
        <f>Tabella8[[#This Row],[Lombardy]]*NOT(ISBLANK(Tabella8[[#This Row],[Lombardy]]))</f>
        <v>2549</v>
      </c>
      <c r="N33" s="29">
        <f>Kr*EXP(-EXP(-(Tabella8[[#This Row],[Day]]-t0r)/wr))</f>
        <v>2681.2793279300881</v>
      </c>
      <c r="O33" s="10">
        <f>Tabella8[[#This Row],[Lombardy fit]]*NOT(ISBLANK(Tabella8[[#This Row],[Lombardy]]))</f>
        <v>2681.2793279300881</v>
      </c>
      <c r="P33" s="10">
        <f>Tabella8[[#This Row],[Lombardy fit]]+CIr</f>
        <v>2860.6155451373588</v>
      </c>
      <c r="Q33" s="10">
        <f>MAX(Tabella8[[#This Row],[Lombardy fit]]-CIr,0)</f>
        <v>2501.9431107228174</v>
      </c>
      <c r="R33" s="10">
        <f>Tabella8[[#This Row],[Italy cumulative]]-Tabella8[[#This Row],[Lombardy]]</f>
        <v>1483</v>
      </c>
      <c r="S33" s="10">
        <f>Tabella8[[#This Row],[rest of Italy ]]*NOT(ISBLANK(Tabella8[[#This Row],[rest of Italy ]]))</f>
        <v>1483</v>
      </c>
      <c r="T33" s="29">
        <f>Ko*EXP(-EXP(-(Tabella8[[#This Row],[Day]]-t0o)/wo))</f>
        <v>1510.912062916685</v>
      </c>
      <c r="U33" s="29">
        <f>Tabella8[[#This Row],[rest of Italy fit]]*NOT(ISBLANK(Tabella8[[#This Row],[rest of Italy ]]))</f>
        <v>1510.912062916685</v>
      </c>
      <c r="V33" s="10">
        <f>Tabella8[[#This Row],[rest of Italy fit]]+CIo</f>
        <v>1584.6628667371738</v>
      </c>
      <c r="W33" s="10">
        <f>MAX(Tabella8[[#This Row],[rest of Italy fit]]-CIo,0)</f>
        <v>1437.1612590961963</v>
      </c>
      <c r="Y33" s="2" t="s">
        <v>2</v>
      </c>
      <c r="Z33" s="1">
        <f>AVERAGE(Tabella8[[rest of Italy ]])</f>
        <v>2750.8979591836733</v>
      </c>
      <c r="AN33" s="67">
        <f>{0;0;1;100;0;FALSE;FALSE;0.075;0;0;FALSE;30}</f>
        <v>0</v>
      </c>
    </row>
    <row r="34" spans="2:40" x14ac:dyDescent="0.3">
      <c r="B34" s="9">
        <v>43911</v>
      </c>
      <c r="C34" s="4">
        <f t="shared" si="0"/>
        <v>26</v>
      </c>
      <c r="D34" s="10">
        <f>'dpc-covid19-ita-andamento-naz'!K28</f>
        <v>4825</v>
      </c>
      <c r="E34" s="10">
        <f>Tabella8[[#This Row],[Italy cumulative]]*NOT(ISBLANK(Tabella8[[#This Row],[Italy cumulative]]))</f>
        <v>4825</v>
      </c>
      <c r="F34" s="10">
        <f>Tabella8[[#This Row],[Lombardy fit]]+Tabella8[[#This Row],[rest of Italy fit]]</f>
        <v>4819.1470458266913</v>
      </c>
      <c r="G34" s="10">
        <f>Tabella8[[#This Row],[Italy sum]]*NOT(ISBLANK(Tabella8[[#This Row],[Italy cumulative]]))</f>
        <v>4819.1470458266913</v>
      </c>
      <c r="H34" s="29">
        <f>Kt*EXP(-EXP(-(Tabella8[[#This Row],[Day]]-t0t)/wt))</f>
        <v>4813.6417048828889</v>
      </c>
      <c r="I34" s="10">
        <f>Tabella8[[#This Row],[Italy fit]]*NOT(ISBLANK(Tabella8[[#This Row],[Italy cumulative]]))</f>
        <v>4813.6417048828889</v>
      </c>
      <c r="J34" s="10">
        <f>Tabella8[[#This Row],[Italy sum]]+CI</f>
        <v>5031.7605839607395</v>
      </c>
      <c r="K34" s="10">
        <f>MAX(Tabella8[[#This Row],[Italy sum]]-CI,0)</f>
        <v>4606.5335076926431</v>
      </c>
      <c r="L34" s="4">
        <v>3095</v>
      </c>
      <c r="M34" s="10">
        <f>Tabella8[[#This Row],[Lombardy]]*NOT(ISBLANK(Tabella8[[#This Row],[Lombardy]]))</f>
        <v>3095</v>
      </c>
      <c r="N34" s="29">
        <f>Kr*EXP(-EXP(-(Tabella8[[#This Row],[Day]]-t0r)/wr))</f>
        <v>3050.1453752576481</v>
      </c>
      <c r="O34" s="10">
        <f>Tabella8[[#This Row],[Lombardy fit]]*NOT(ISBLANK(Tabella8[[#This Row],[Lombardy]]))</f>
        <v>3050.1453752576481</v>
      </c>
      <c r="P34" s="10">
        <f>Tabella8[[#This Row],[Lombardy fit]]+CIr</f>
        <v>3229.4815924649188</v>
      </c>
      <c r="Q34" s="10">
        <f>MAX(Tabella8[[#This Row],[Lombardy fit]]-CIr,0)</f>
        <v>2870.8091580503774</v>
      </c>
      <c r="R34" s="10">
        <f>Tabella8[[#This Row],[Italy cumulative]]-Tabella8[[#This Row],[Lombardy]]</f>
        <v>1730</v>
      </c>
      <c r="S34" s="10">
        <f>Tabella8[[#This Row],[rest of Italy ]]*NOT(ISBLANK(Tabella8[[#This Row],[rest of Italy ]]))</f>
        <v>1730</v>
      </c>
      <c r="T34" s="29">
        <f>Ko*EXP(-EXP(-(Tabella8[[#This Row],[Day]]-t0o)/wo))</f>
        <v>1769.001670569043</v>
      </c>
      <c r="U34" s="29">
        <f>Tabella8[[#This Row],[rest of Italy fit]]*NOT(ISBLANK(Tabella8[[#This Row],[rest of Italy ]]))</f>
        <v>1769.001670569043</v>
      </c>
      <c r="V34" s="10">
        <f>Tabella8[[#This Row],[rest of Italy fit]]+CIo</f>
        <v>1842.7524743895317</v>
      </c>
      <c r="W34" s="10">
        <f>MAX(Tabella8[[#This Row],[rest of Italy fit]]-CIo,0)</f>
        <v>1695.2508667485542</v>
      </c>
      <c r="Y34" s="2" t="s">
        <v>3</v>
      </c>
      <c r="Z34" s="1">
        <f>COUNT(Tabella8[[rest of Italy ]])-COUNT(Z30:Z32)</f>
        <v>46</v>
      </c>
      <c r="AN34" s="63"/>
    </row>
    <row r="35" spans="2:40" x14ac:dyDescent="0.3">
      <c r="B35" s="9">
        <v>43912</v>
      </c>
      <c r="C35" s="4">
        <f t="shared" si="0"/>
        <v>27</v>
      </c>
      <c r="D35" s="10">
        <f>'dpc-covid19-ita-andamento-naz'!K29</f>
        <v>5476</v>
      </c>
      <c r="E35" s="10">
        <f>Tabella8[[#This Row],[Italy cumulative]]*NOT(ISBLANK(Tabella8[[#This Row],[Italy cumulative]]))</f>
        <v>5476</v>
      </c>
      <c r="F35" s="10">
        <f>Tabella8[[#This Row],[Lombardy fit]]+Tabella8[[#This Row],[rest of Italy fit]]</f>
        <v>5482.7554595331057</v>
      </c>
      <c r="G35" s="10">
        <f>Tabella8[[#This Row],[Italy sum]]*NOT(ISBLANK(Tabella8[[#This Row],[Italy cumulative]]))</f>
        <v>5482.7554595331057</v>
      </c>
      <c r="H35" s="29">
        <f>Kt*EXP(-EXP(-(Tabella8[[#This Row],[Day]]-t0t)/wt))</f>
        <v>5478.6786245249823</v>
      </c>
      <c r="I35" s="10">
        <f>Tabella8[[#This Row],[Italy fit]]*NOT(ISBLANK(Tabella8[[#This Row],[Italy cumulative]]))</f>
        <v>5478.6786245249823</v>
      </c>
      <c r="J35" s="10">
        <f>Tabella8[[#This Row],[Italy sum]]+CI</f>
        <v>5695.368997667154</v>
      </c>
      <c r="K35" s="10">
        <f>MAX(Tabella8[[#This Row],[Italy sum]]-CI,0)</f>
        <v>5270.1419213990575</v>
      </c>
      <c r="L35" s="4">
        <v>3456</v>
      </c>
      <c r="M35" s="10">
        <f>Tabella8[[#This Row],[Lombardy]]*NOT(ISBLANK(Tabella8[[#This Row],[Lombardy]]))</f>
        <v>3456</v>
      </c>
      <c r="N35" s="29">
        <f>Kr*EXP(-EXP(-(Tabella8[[#This Row],[Day]]-t0r)/wr))</f>
        <v>3434.757134860381</v>
      </c>
      <c r="O35" s="10">
        <f>Tabella8[[#This Row],[Lombardy fit]]*NOT(ISBLANK(Tabella8[[#This Row],[Lombardy]]))</f>
        <v>3434.757134860381</v>
      </c>
      <c r="P35" s="10">
        <f>Tabella8[[#This Row],[Lombardy fit]]+CIr</f>
        <v>3614.0933520676517</v>
      </c>
      <c r="Q35" s="10">
        <f>MAX(Tabella8[[#This Row],[Lombardy fit]]-CIr,0)</f>
        <v>3255.4209176531103</v>
      </c>
      <c r="R35" s="10">
        <f>Tabella8[[#This Row],[Italy cumulative]]-Tabella8[[#This Row],[Lombardy]]</f>
        <v>2020</v>
      </c>
      <c r="S35" s="10">
        <f>Tabella8[[#This Row],[rest of Italy ]]*NOT(ISBLANK(Tabella8[[#This Row],[rest of Italy ]]))</f>
        <v>2020</v>
      </c>
      <c r="T35" s="29">
        <f>Ko*EXP(-EXP(-(Tabella8[[#This Row],[Day]]-t0o)/wo))</f>
        <v>2047.9983246727247</v>
      </c>
      <c r="U35" s="29">
        <f>Tabella8[[#This Row],[rest of Italy fit]]*NOT(ISBLANK(Tabella8[[#This Row],[rest of Italy ]]))</f>
        <v>2047.9983246727247</v>
      </c>
      <c r="V35" s="10">
        <f>Tabella8[[#This Row],[rest of Italy fit]]+CIo</f>
        <v>2121.7491284932134</v>
      </c>
      <c r="W35" s="10">
        <f>MAX(Tabella8[[#This Row],[rest of Italy fit]]-CIo,0)</f>
        <v>1974.247520852236</v>
      </c>
      <c r="Y35" s="2" t="s">
        <v>4</v>
      </c>
      <c r="Z35" s="6" cm="1">
        <f t="array" ref="Z35">SQRT(SUM((Tabella8[Colonna6]-Tabella8[Colonna7])^2)/dfo)</f>
        <v>36.639159954485436</v>
      </c>
      <c r="AN35" s="63"/>
    </row>
    <row r="36" spans="2:40" ht="16.2" x14ac:dyDescent="0.3">
      <c r="B36" s="18">
        <v>43913</v>
      </c>
      <c r="C36" s="4">
        <f t="shared" si="0"/>
        <v>28</v>
      </c>
      <c r="D36" s="10">
        <f>'dpc-covid19-ita-andamento-naz'!K30</f>
        <v>6077</v>
      </c>
      <c r="E36" s="10">
        <f>Tabella8[[#This Row],[Italy cumulative]]*NOT(ISBLANK(Tabella8[[#This Row],[Italy cumulative]]))</f>
        <v>6077</v>
      </c>
      <c r="F36" s="10">
        <f>Tabella8[[#This Row],[Lombardy fit]]+Tabella8[[#This Row],[rest of Italy fit]]</f>
        <v>6178.2521601857879</v>
      </c>
      <c r="G36" s="10">
        <f>Tabella8[[#This Row],[Italy sum]]*NOT(ISBLANK(Tabella8[[#This Row],[Italy cumulative]]))</f>
        <v>6178.2521601857879</v>
      </c>
      <c r="H36" s="29">
        <f>Kt*EXP(-EXP(-(Tabella8[[#This Row],[Day]]-t0t)/wt))</f>
        <v>6175.8444755114824</v>
      </c>
      <c r="I36" s="10">
        <f>Tabella8[[#This Row],[Italy fit]]*NOT(ISBLANK(Tabella8[[#This Row],[Italy cumulative]]))</f>
        <v>6175.8444755114824</v>
      </c>
      <c r="J36" s="10">
        <f>Tabella8[[#This Row],[Italy sum]]+CI</f>
        <v>6390.8656983198362</v>
      </c>
      <c r="K36" s="10">
        <f>MAX(Tabella8[[#This Row],[Italy sum]]-CI,0)</f>
        <v>5965.6386220517397</v>
      </c>
      <c r="L36" s="4">
        <v>3776</v>
      </c>
      <c r="M36" s="10">
        <f>Tabella8[[#This Row],[Lombardy]]*NOT(ISBLANK(Tabella8[[#This Row],[Lombardy]]))</f>
        <v>3776</v>
      </c>
      <c r="N36" s="29">
        <f>Kr*EXP(-EXP(-(Tabella8[[#This Row],[Day]]-t0r)/wr))</f>
        <v>3831.9061342746418</v>
      </c>
      <c r="O36" s="10">
        <f>Tabella8[[#This Row],[Lombardy fit]]*NOT(ISBLANK(Tabella8[[#This Row],[Lombardy]]))</f>
        <v>3831.9061342746418</v>
      </c>
      <c r="P36" s="10">
        <f>Tabella8[[#This Row],[Lombardy fit]]+CIr</f>
        <v>4011.2423514819125</v>
      </c>
      <c r="Q36" s="10">
        <f>MAX(Tabella8[[#This Row],[Lombardy fit]]-CIr,0)</f>
        <v>3652.5699170673711</v>
      </c>
      <c r="R36" s="10">
        <f>Tabella8[[#This Row],[Italy cumulative]]-Tabella8[[#This Row],[Lombardy]]</f>
        <v>2301</v>
      </c>
      <c r="S36" s="10">
        <f>Tabella8[[#This Row],[rest of Italy ]]*NOT(ISBLANK(Tabella8[[#This Row],[rest of Italy ]]))</f>
        <v>2301</v>
      </c>
      <c r="T36" s="29">
        <f>Ko*EXP(-EXP(-(Tabella8[[#This Row],[Day]]-t0o)/wo))</f>
        <v>2346.3460259111462</v>
      </c>
      <c r="U36" s="29">
        <f>Tabella8[[#This Row],[rest of Italy fit]]*NOT(ISBLANK(Tabella8[[#This Row],[rest of Italy ]]))</f>
        <v>2346.3460259111462</v>
      </c>
      <c r="V36" s="10">
        <f>Tabella8[[#This Row],[rest of Italy fit]]+CIo</f>
        <v>2420.0968297316349</v>
      </c>
      <c r="W36" s="10">
        <f>MAX(Tabella8[[#This Row],[rest of Italy fit]]-CIo,0)</f>
        <v>2272.5952220906574</v>
      </c>
      <c r="Y36" s="2" t="s">
        <v>5</v>
      </c>
      <c r="Z36" s="7" cm="1">
        <f t="array" ref="Z36">1-SUM((Tabella8[Colonna6]-Tabella8[Colonna7])^2)/SUM((Tabella8[Colonna6]-Mean_of_yo)^2)</f>
        <v>0.99990147991998624</v>
      </c>
      <c r="AN36" s="63"/>
    </row>
    <row r="37" spans="2:40" ht="15" thickBot="1" x14ac:dyDescent="0.35">
      <c r="B37" s="9">
        <v>43914</v>
      </c>
      <c r="C37" s="4">
        <f t="shared" si="0"/>
        <v>29</v>
      </c>
      <c r="D37" s="10">
        <f>'dpc-covid19-ita-andamento-naz'!K31</f>
        <v>6820</v>
      </c>
      <c r="E37" s="10">
        <f>Tabella8[[#This Row],[Italy cumulative]]*NOT(ISBLANK(Tabella8[[#This Row],[Italy cumulative]]))</f>
        <v>6820</v>
      </c>
      <c r="F37" s="10">
        <f>Tabella8[[#This Row],[Lombardy fit]]+Tabella8[[#This Row],[rest of Italy fit]]</f>
        <v>6900.5360568768165</v>
      </c>
      <c r="G37" s="10">
        <f>Tabella8[[#This Row],[Italy sum]]*NOT(ISBLANK(Tabella8[[#This Row],[Italy cumulative]]))</f>
        <v>6900.5360568768165</v>
      </c>
      <c r="H37" s="29">
        <f>Kt*EXP(-EXP(-(Tabella8[[#This Row],[Day]]-t0t)/wt))</f>
        <v>6899.9580535427967</v>
      </c>
      <c r="I37" s="10">
        <f>Tabella8[[#This Row],[Italy fit]]*NOT(ISBLANK(Tabella8[[#This Row],[Italy cumulative]]))</f>
        <v>6899.9580535427967</v>
      </c>
      <c r="J37" s="10">
        <f>Tabella8[[#This Row],[Italy sum]]+CI</f>
        <v>7113.1495950108647</v>
      </c>
      <c r="K37" s="10">
        <f>MAX(Tabella8[[#This Row],[Italy sum]]-CI,0)</f>
        <v>6687.9225187427683</v>
      </c>
      <c r="L37" s="4">
        <v>4178</v>
      </c>
      <c r="M37" s="10">
        <f>Tabella8[[#This Row],[Lombardy]]*NOT(ISBLANK(Tabella8[[#This Row],[Lombardy]]))</f>
        <v>4178</v>
      </c>
      <c r="N37" s="29">
        <f>Kr*EXP(-EXP(-(Tabella8[[#This Row],[Day]]-t0r)/wr))</f>
        <v>4238.3429907956797</v>
      </c>
      <c r="O37" s="10">
        <f>Tabella8[[#This Row],[Lombardy fit]]*NOT(ISBLANK(Tabella8[[#This Row],[Lombardy]]))</f>
        <v>4238.3429907956797</v>
      </c>
      <c r="P37" s="10">
        <f>Tabella8[[#This Row],[Lombardy fit]]+CIr</f>
        <v>4417.67920800295</v>
      </c>
      <c r="Q37" s="10">
        <f>MAX(Tabella8[[#This Row],[Lombardy fit]]-CIr,0)</f>
        <v>4059.006773588409</v>
      </c>
      <c r="R37" s="10">
        <f>Tabella8[[#This Row],[Italy cumulative]]-Tabella8[[#This Row],[Lombardy]]</f>
        <v>2642</v>
      </c>
      <c r="S37" s="10">
        <f>Tabella8[[#This Row],[rest of Italy ]]*NOT(ISBLANK(Tabella8[[#This Row],[rest of Italy ]]))</f>
        <v>2642</v>
      </c>
      <c r="T37" s="29">
        <f>Ko*EXP(-EXP(-(Tabella8[[#This Row],[Day]]-t0o)/wo))</f>
        <v>2662.1930660811367</v>
      </c>
      <c r="U37" s="29">
        <f>Tabella8[[#This Row],[rest of Italy fit]]*NOT(ISBLANK(Tabella8[[#This Row],[rest of Italy ]]))</f>
        <v>2662.1930660811367</v>
      </c>
      <c r="V37" s="10">
        <f>Tabella8[[#This Row],[rest of Italy fit]]+CIo</f>
        <v>2735.9438699016255</v>
      </c>
      <c r="W37" s="10">
        <f>MAX(Tabella8[[#This Row],[rest of Italy fit]]-CIo,0)</f>
        <v>2588.442262260648</v>
      </c>
      <c r="Y37" s="2" t="s">
        <v>6</v>
      </c>
      <c r="Z37" s="7">
        <f>TINV(0.05,dfo)</f>
        <v>2.0128955989194299</v>
      </c>
      <c r="AN37" s="64"/>
    </row>
    <row r="38" spans="2:40" ht="15" thickTop="1" x14ac:dyDescent="0.3">
      <c r="B38" s="9">
        <v>43915</v>
      </c>
      <c r="C38" s="4">
        <f t="shared" si="0"/>
        <v>30</v>
      </c>
      <c r="D38" s="10">
        <f>'dpc-covid19-ita-andamento-naz'!K32</f>
        <v>7503</v>
      </c>
      <c r="E38" s="10">
        <f>Tabella8[[#This Row],[Italy cumulative]]*NOT(ISBLANK(Tabella8[[#This Row],[Italy cumulative]]))</f>
        <v>7503</v>
      </c>
      <c r="F38" s="10">
        <f>Tabella8[[#This Row],[Lombardy fit]]+Tabella8[[#This Row],[rest of Italy fit]]</f>
        <v>7644.3208020007241</v>
      </c>
      <c r="G38" s="10">
        <f>Tabella8[[#This Row],[Italy sum]]*NOT(ISBLANK(Tabella8[[#This Row],[Italy cumulative]]))</f>
        <v>7644.3208020007241</v>
      </c>
      <c r="H38" s="29">
        <f>Kt*EXP(-EXP(-(Tabella8[[#This Row],[Day]]-t0t)/wt))</f>
        <v>7645.6443487252254</v>
      </c>
      <c r="I38" s="10">
        <f>Tabella8[[#This Row],[Italy fit]]*NOT(ISBLANK(Tabella8[[#This Row],[Italy cumulative]]))</f>
        <v>7645.6443487252254</v>
      </c>
      <c r="J38" s="10">
        <f>Tabella8[[#This Row],[Italy sum]]+CI</f>
        <v>7856.9343401347724</v>
      </c>
      <c r="K38" s="10">
        <f>MAX(Tabella8[[#This Row],[Italy sum]]-CI,0)</f>
        <v>7431.7072638666759</v>
      </c>
      <c r="L38" s="4">
        <v>4474</v>
      </c>
      <c r="M38" s="10">
        <f>Tabella8[[#This Row],[Lombardy]]*NOT(ISBLANK(Tabella8[[#This Row],[Lombardy]]))</f>
        <v>4474</v>
      </c>
      <c r="N38" s="29">
        <f>Kr*EXP(-EXP(-(Tabella8[[#This Row],[Day]]-t0r)/wr))</f>
        <v>4650.8649201011085</v>
      </c>
      <c r="O38" s="10">
        <f>Tabella8[[#This Row],[Lombardy fit]]*NOT(ISBLANK(Tabella8[[#This Row],[Lombardy]]))</f>
        <v>4650.8649201011085</v>
      </c>
      <c r="P38" s="10">
        <f>Tabella8[[#This Row],[Lombardy fit]]+CIr</f>
        <v>4830.2011373083787</v>
      </c>
      <c r="Q38" s="10">
        <f>MAX(Tabella8[[#This Row],[Lombardy fit]]-CIr,0)</f>
        <v>4471.5287028938383</v>
      </c>
      <c r="R38" s="10">
        <f>Tabella8[[#This Row],[Italy cumulative]]-Tabella8[[#This Row],[Lombardy]]</f>
        <v>3029</v>
      </c>
      <c r="S38" s="10">
        <f>Tabella8[[#This Row],[rest of Italy ]]*NOT(ISBLANK(Tabella8[[#This Row],[rest of Italy ]]))</f>
        <v>3029</v>
      </c>
      <c r="T38" s="29">
        <f>Ko*EXP(-EXP(-(Tabella8[[#This Row],[Day]]-t0o)/wo))</f>
        <v>2993.4558818996152</v>
      </c>
      <c r="U38" s="29">
        <f>Tabella8[[#This Row],[rest of Italy fit]]*NOT(ISBLANK(Tabella8[[#This Row],[rest of Italy ]]))</f>
        <v>2993.4558818996152</v>
      </c>
      <c r="V38" s="10">
        <f>Tabella8[[#This Row],[rest of Italy fit]]+CIo</f>
        <v>3067.2066857201039</v>
      </c>
      <c r="W38" s="10">
        <f>MAX(Tabella8[[#This Row],[rest of Italy fit]]-CIo,0)</f>
        <v>2919.7050780791265</v>
      </c>
      <c r="Y38" s="2" t="s">
        <v>7</v>
      </c>
      <c r="Z38" s="1">
        <f>Critical_to*SE_of_yo</f>
        <v>73.750803820488755</v>
      </c>
      <c r="AN38" s="68">
        <f>MAX($Z$47)</f>
        <v>0.99983392682714722</v>
      </c>
    </row>
    <row r="39" spans="2:40" x14ac:dyDescent="0.3">
      <c r="B39" s="9">
        <v>43916</v>
      </c>
      <c r="C39" s="4">
        <f t="shared" si="0"/>
        <v>31</v>
      </c>
      <c r="D39" s="10">
        <f>'dpc-covid19-ita-andamento-naz'!K33</f>
        <v>8165</v>
      </c>
      <c r="E39" s="10">
        <f>Tabella8[[#This Row],[Italy cumulative]]*NOT(ISBLANK(Tabella8[[#This Row],[Italy cumulative]]))</f>
        <v>8165</v>
      </c>
      <c r="F39" s="10">
        <f>Tabella8[[#This Row],[Lombardy fit]]+Tabella8[[#This Row],[rest of Italy fit]]</f>
        <v>8404.2745156465517</v>
      </c>
      <c r="G39" s="10">
        <f>Tabella8[[#This Row],[Italy sum]]*NOT(ISBLANK(Tabella8[[#This Row],[Italy cumulative]]))</f>
        <v>8404.2745156465517</v>
      </c>
      <c r="H39" s="29">
        <f>Kt*EXP(-EXP(-(Tabella8[[#This Row],[Day]]-t0t)/wt))</f>
        <v>8407.4795016051139</v>
      </c>
      <c r="I39" s="10">
        <f>Tabella8[[#This Row],[Italy fit]]*NOT(ISBLANK(Tabella8[[#This Row],[Italy cumulative]]))</f>
        <v>8407.4795016051139</v>
      </c>
      <c r="J39" s="10">
        <f>Tabella8[[#This Row],[Italy sum]]+CI</f>
        <v>8616.8880537805999</v>
      </c>
      <c r="K39" s="10">
        <f>MAX(Tabella8[[#This Row],[Italy sum]]-CI,0)</f>
        <v>8191.6609775125035</v>
      </c>
      <c r="L39" s="4">
        <v>4861</v>
      </c>
      <c r="M39" s="10">
        <f>Tabella8[[#This Row],[Lombardy]]*NOT(ISBLANK(Tabella8[[#This Row],[Lombardy]]))</f>
        <v>4861</v>
      </c>
      <c r="N39" s="29">
        <f>Kr*EXP(-EXP(-(Tabella8[[#This Row],[Day]]-t0r)/wr))</f>
        <v>5066.3897814860065</v>
      </c>
      <c r="O39" s="10">
        <f>Tabella8[[#This Row],[Lombardy fit]]*NOT(ISBLANK(Tabella8[[#This Row],[Lombardy]]))</f>
        <v>5066.3897814860065</v>
      </c>
      <c r="P39" s="10">
        <f>Tabella8[[#This Row],[Lombardy fit]]+CIr</f>
        <v>5245.7259986932768</v>
      </c>
      <c r="Q39" s="10">
        <f>MAX(Tabella8[[#This Row],[Lombardy fit]]-CIr,0)</f>
        <v>4887.0535642787363</v>
      </c>
      <c r="R39" s="10">
        <f>Tabella8[[#This Row],[Italy cumulative]]-Tabella8[[#This Row],[Lombardy]]</f>
        <v>3304</v>
      </c>
      <c r="S39" s="10">
        <f>Tabella8[[#This Row],[rest of Italy ]]*NOT(ISBLANK(Tabella8[[#This Row],[rest of Italy ]]))</f>
        <v>3304</v>
      </c>
      <c r="T39" s="29">
        <f>Ko*EXP(-EXP(-(Tabella8[[#This Row],[Day]]-t0o)/wo))</f>
        <v>3337.8847341605456</v>
      </c>
      <c r="U39" s="29">
        <f>Tabella8[[#This Row],[rest of Italy fit]]*NOT(ISBLANK(Tabella8[[#This Row],[rest of Italy ]]))</f>
        <v>3337.8847341605456</v>
      </c>
      <c r="V39" s="10">
        <f>Tabella8[[#This Row],[rest of Italy fit]]+CIo</f>
        <v>3411.6355379810343</v>
      </c>
      <c r="W39" s="10">
        <f>MAX(Tabella8[[#This Row],[rest of Italy fit]]-CIo,0)</f>
        <v>3264.1339303400568</v>
      </c>
      <c r="Z39" s="41"/>
      <c r="AN39" s="69">
        <f>COUNT($Z$41,$Z$42,$Z$43)</f>
        <v>3</v>
      </c>
    </row>
    <row r="40" spans="2:40" x14ac:dyDescent="0.3">
      <c r="B40" s="9">
        <v>43917</v>
      </c>
      <c r="C40" s="4">
        <f t="shared" si="0"/>
        <v>32</v>
      </c>
      <c r="D40" s="10">
        <f>'dpc-covid19-ita-andamento-naz'!K34</f>
        <v>9134</v>
      </c>
      <c r="E40" s="10">
        <f>Tabella8[[#This Row],[Italy cumulative]]*NOT(ISBLANK(Tabella8[[#This Row],[Italy cumulative]]))</f>
        <v>9134</v>
      </c>
      <c r="F40" s="10">
        <f>Tabella8[[#This Row],[Lombardy fit]]+Tabella8[[#This Row],[rest of Italy fit]]</f>
        <v>9175.1437170550671</v>
      </c>
      <c r="G40" s="10">
        <f>Tabella8[[#This Row],[Italy sum]]*NOT(ISBLANK(Tabella8[[#This Row],[Italy cumulative]]))</f>
        <v>9175.1437170550671</v>
      </c>
      <c r="H40" s="29">
        <f>Kt*EXP(-EXP(-(Tabella8[[#This Row],[Day]]-t0t)/wt))</f>
        <v>9180.1195298337261</v>
      </c>
      <c r="I40" s="10">
        <f>Tabella8[[#This Row],[Italy fit]]*NOT(ISBLANK(Tabella8[[#This Row],[Italy cumulative]]))</f>
        <v>9180.1195298337261</v>
      </c>
      <c r="J40" s="10">
        <f>Tabella8[[#This Row],[Italy sum]]+CI</f>
        <v>9387.7572551891153</v>
      </c>
      <c r="K40" s="10">
        <f>MAX(Tabella8[[#This Row],[Italy sum]]-CI,0)</f>
        <v>8962.5301789210189</v>
      </c>
      <c r="L40" s="4">
        <v>5402</v>
      </c>
      <c r="M40" s="10">
        <f>Tabella8[[#This Row],[Lombardy]]*NOT(ISBLANK(Tabella8[[#This Row],[Lombardy]]))</f>
        <v>5402</v>
      </c>
      <c r="N40" s="29">
        <f>Kr*EXP(-EXP(-(Tabella8[[#This Row],[Day]]-t0r)/wr))</f>
        <v>5482.0156531812745</v>
      </c>
      <c r="O40" s="10">
        <f>Tabella8[[#This Row],[Lombardy fit]]*NOT(ISBLANK(Tabella8[[#This Row],[Lombardy]]))</f>
        <v>5482.0156531812745</v>
      </c>
      <c r="P40" s="10">
        <f>Tabella8[[#This Row],[Lombardy fit]]+CIr</f>
        <v>5661.3518703885456</v>
      </c>
      <c r="Q40" s="10">
        <f>MAX(Tabella8[[#This Row],[Lombardy fit]]-CIr,0)</f>
        <v>5302.6794359740034</v>
      </c>
      <c r="R40" s="10">
        <f>Tabella8[[#This Row],[Italy cumulative]]-Tabella8[[#This Row],[Lombardy]]</f>
        <v>3732</v>
      </c>
      <c r="S40" s="10">
        <f>Tabella8[[#This Row],[rest of Italy ]]*NOT(ISBLANK(Tabella8[[#This Row],[rest of Italy ]]))</f>
        <v>3732</v>
      </c>
      <c r="T40" s="29">
        <f>Ko*EXP(-EXP(-(Tabella8[[#This Row],[Day]]-t0o)/wo))</f>
        <v>3693.1280638737926</v>
      </c>
      <c r="U40" s="29">
        <f>Tabella8[[#This Row],[rest of Italy fit]]*NOT(ISBLANK(Tabella8[[#This Row],[rest of Italy ]]))</f>
        <v>3693.1280638737926</v>
      </c>
      <c r="V40" s="10">
        <f>Tabella8[[#This Row],[rest of Italy fit]]+CIo</f>
        <v>3766.8788676942813</v>
      </c>
      <c r="W40" s="10">
        <f>MAX(Tabella8[[#This Row],[rest of Italy fit]]-CIo,0)</f>
        <v>3619.3772600533039</v>
      </c>
      <c r="Y40" s="20" t="s">
        <v>139</v>
      </c>
      <c r="Z40" s="21" t="s">
        <v>88</v>
      </c>
      <c r="AN40" s="69">
        <f>{32767;32767;0.000001;0.01;FALSE;FALSE;FALSE;1;2;1;0.0001;TRUE}</f>
        <v>32767</v>
      </c>
    </row>
    <row r="41" spans="2:40" x14ac:dyDescent="0.3">
      <c r="B41" s="9">
        <v>43918</v>
      </c>
      <c r="C41" s="4">
        <f t="shared" si="0"/>
        <v>33</v>
      </c>
      <c r="D41" s="10">
        <f>'dpc-covid19-ita-andamento-naz'!K35</f>
        <v>10023</v>
      </c>
      <c r="E41" s="10">
        <f>Tabella8[[#This Row],[Italy cumulative]]*NOT(ISBLANK(Tabella8[[#This Row],[Italy cumulative]]))</f>
        <v>10023</v>
      </c>
      <c r="F41" s="10">
        <f>Tabella8[[#This Row],[Lombardy fit]]+Tabella8[[#This Row],[rest of Italy fit]]</f>
        <v>9951.858914252025</v>
      </c>
      <c r="G41" s="10">
        <f>Tabella8[[#This Row],[Italy sum]]*NOT(ISBLANK(Tabella8[[#This Row],[Italy cumulative]]))</f>
        <v>9951.858914252025</v>
      </c>
      <c r="H41" s="29">
        <f>Kt*EXP(-EXP(-(Tabella8[[#This Row],[Day]]-t0t)/wt))</f>
        <v>9958.4100150686809</v>
      </c>
      <c r="I41" s="10">
        <f>Tabella8[[#This Row],[Italy fit]]*NOT(ISBLANK(Tabella8[[#This Row],[Italy cumulative]]))</f>
        <v>9958.4100150686809</v>
      </c>
      <c r="J41" s="10">
        <f>Tabella8[[#This Row],[Italy sum]]+CI</f>
        <v>10164.472452386073</v>
      </c>
      <c r="K41" s="10">
        <f>MAX(Tabella8[[#This Row],[Italy sum]]-CI,0)</f>
        <v>9739.2453761179768</v>
      </c>
      <c r="L41" s="4">
        <v>5944</v>
      </c>
      <c r="M41" s="10">
        <f>Tabella8[[#This Row],[Lombardy]]*NOT(ISBLANK(Tabella8[[#This Row],[Lombardy]]))</f>
        <v>5944</v>
      </c>
      <c r="N41" s="29">
        <f>Kr*EXP(-EXP(-(Tabella8[[#This Row],[Day]]-t0r)/wr))</f>
        <v>5895.0659330381386</v>
      </c>
      <c r="O41" s="10">
        <f>Tabella8[[#This Row],[Lombardy fit]]*NOT(ISBLANK(Tabella8[[#This Row],[Lombardy]]))</f>
        <v>5895.0659330381386</v>
      </c>
      <c r="P41" s="10">
        <f>Tabella8[[#This Row],[Lombardy fit]]+CIr</f>
        <v>6074.4021502454088</v>
      </c>
      <c r="Q41" s="10">
        <f>MAX(Tabella8[[#This Row],[Lombardy fit]]-CIr,0)</f>
        <v>5715.7297158308684</v>
      </c>
      <c r="R41" s="10">
        <f>Tabella8[[#This Row],[Italy cumulative]]-Tabella8[[#This Row],[Lombardy]]</f>
        <v>4079</v>
      </c>
      <c r="S41" s="10">
        <f>Tabella8[[#This Row],[rest of Italy ]]*NOT(ISBLANK(Tabella8[[#This Row],[rest of Italy ]]))</f>
        <v>4079</v>
      </c>
      <c r="T41" s="29">
        <f>Ko*EXP(-EXP(-(Tabella8[[#This Row],[Day]]-t0o)/wo))</f>
        <v>4056.7929812138855</v>
      </c>
      <c r="U41" s="29">
        <f>Tabella8[[#This Row],[rest of Italy fit]]*NOT(ISBLANK(Tabella8[[#This Row],[rest of Italy ]]))</f>
        <v>4056.7929812138855</v>
      </c>
      <c r="V41" s="10">
        <f>Tabella8[[#This Row],[rest of Italy fit]]+CIo</f>
        <v>4130.5437850343742</v>
      </c>
      <c r="W41" s="10">
        <f>MAX(Tabella8[[#This Row],[rest of Italy fit]]-CIo,0)</f>
        <v>3983.0421773933967</v>
      </c>
      <c r="Y41" s="17" t="s">
        <v>0</v>
      </c>
      <c r="Z41" s="5">
        <v>27406.82370710903</v>
      </c>
      <c r="AN41" s="69">
        <f>{0;0;1;100;0;FALSE;FALSE;0.075;0;0;FALSE;30}</f>
        <v>0</v>
      </c>
    </row>
    <row r="42" spans="2:40" ht="15.6" x14ac:dyDescent="0.35">
      <c r="B42" s="9">
        <v>43919</v>
      </c>
      <c r="C42" s="4">
        <f t="shared" si="0"/>
        <v>34</v>
      </c>
      <c r="D42" s="10">
        <f>'dpc-covid19-ita-andamento-naz'!K36</f>
        <v>10779</v>
      </c>
      <c r="E42" s="10">
        <f>Tabella8[[#This Row],[Italy cumulative]]*NOT(ISBLANK(Tabella8[[#This Row],[Italy cumulative]]))</f>
        <v>10779</v>
      </c>
      <c r="F42" s="10">
        <f>Tabella8[[#This Row],[Lombardy fit]]+Tabella8[[#This Row],[rest of Italy fit]]</f>
        <v>10729.620710341756</v>
      </c>
      <c r="G42" s="10">
        <f>Tabella8[[#This Row],[Italy sum]]*NOT(ISBLANK(Tabella8[[#This Row],[Italy cumulative]]))</f>
        <v>10729.620710341756</v>
      </c>
      <c r="H42" s="29">
        <f>Kt*EXP(-EXP(-(Tabella8[[#This Row],[Day]]-t0t)/wt))</f>
        <v>10737.475456047403</v>
      </c>
      <c r="I42" s="10">
        <f>Tabella8[[#This Row],[Italy fit]]*NOT(ISBLANK(Tabella8[[#This Row],[Italy cumulative]]))</f>
        <v>10737.475456047403</v>
      </c>
      <c r="J42" s="10">
        <f>Tabella8[[#This Row],[Italy sum]]+CI</f>
        <v>10942.234248475805</v>
      </c>
      <c r="K42" s="10">
        <f>MAX(Tabella8[[#This Row],[Italy sum]]-CI,0)</f>
        <v>10517.007172207708</v>
      </c>
      <c r="L42" s="4">
        <v>6360</v>
      </c>
      <c r="M42" s="10">
        <f>Tabella8[[#This Row],[Lombardy]]*NOT(ISBLANK(Tabella8[[#This Row],[Lombardy]]))</f>
        <v>6360</v>
      </c>
      <c r="N42" s="29">
        <f>Kr*EXP(-EXP(-(Tabella8[[#This Row],[Day]]-t0r)/wr))</f>
        <v>6303.1207225407306</v>
      </c>
      <c r="O42" s="10">
        <f>Tabella8[[#This Row],[Lombardy fit]]*NOT(ISBLANK(Tabella8[[#This Row],[Lombardy]]))</f>
        <v>6303.1207225407306</v>
      </c>
      <c r="P42" s="10">
        <f>Tabella8[[#This Row],[Lombardy fit]]+CIr</f>
        <v>6482.4569397480009</v>
      </c>
      <c r="Q42" s="10">
        <f>MAX(Tabella8[[#This Row],[Lombardy fit]]-CIr,0)</f>
        <v>6123.7845053334604</v>
      </c>
      <c r="R42" s="10">
        <f>Tabella8[[#This Row],[Italy cumulative]]-Tabella8[[#This Row],[Lombardy]]</f>
        <v>4419</v>
      </c>
      <c r="S42" s="10">
        <f>Tabella8[[#This Row],[rest of Italy ]]*NOT(ISBLANK(Tabella8[[#This Row],[rest of Italy ]]))</f>
        <v>4419</v>
      </c>
      <c r="T42" s="29">
        <f>Ko*EXP(-EXP(-(Tabella8[[#This Row],[Day]]-t0o)/wo))</f>
        <v>4426.4999878010258</v>
      </c>
      <c r="U42" s="29">
        <f>Tabella8[[#This Row],[rest of Italy fit]]*NOT(ISBLANK(Tabella8[[#This Row],[rest of Italy ]]))</f>
        <v>4426.4999878010258</v>
      </c>
      <c r="V42" s="10">
        <f>Tabella8[[#This Row],[rest of Italy fit]]+CIo</f>
        <v>4500.2507916215145</v>
      </c>
      <c r="W42" s="10">
        <f>MAX(Tabella8[[#This Row],[rest of Italy fit]]-CIo,0)</f>
        <v>4352.7491839805371</v>
      </c>
      <c r="Y42" s="17" t="s">
        <v>24</v>
      </c>
      <c r="Z42" s="37">
        <v>33.159071836773393</v>
      </c>
      <c r="AN42" s="69">
        <f>{32767;32767;0.000001;0;FALSE;FALSE;FALSE;1;2;1;0.0001;TRUE}</f>
        <v>32767</v>
      </c>
    </row>
    <row r="43" spans="2:40" ht="15" thickBot="1" x14ac:dyDescent="0.35">
      <c r="B43" s="9">
        <v>43920</v>
      </c>
      <c r="C43" s="4">
        <f t="shared" si="0"/>
        <v>35</v>
      </c>
      <c r="D43" s="10">
        <f>'dpc-covid19-ita-andamento-naz'!K37</f>
        <v>11591</v>
      </c>
      <c r="E43" s="10">
        <f>Tabella8[[#This Row],[Italy cumulative]]*NOT(ISBLANK(Tabella8[[#This Row],[Italy cumulative]]))</f>
        <v>11591</v>
      </c>
      <c r="F43" s="10">
        <f>Tabella8[[#This Row],[Lombardy fit]]+Tabella8[[#This Row],[rest of Italy fit]]</f>
        <v>11503.966443828664</v>
      </c>
      <c r="G43" s="10">
        <f>Tabella8[[#This Row],[Italy sum]]*NOT(ISBLANK(Tabella8[[#This Row],[Italy cumulative]]))</f>
        <v>11503.966443828664</v>
      </c>
      <c r="H43" s="29">
        <f>Kt*EXP(-EXP(-(Tabella8[[#This Row],[Day]]-t0t)/wt))</f>
        <v>11512.788248989918</v>
      </c>
      <c r="I43" s="10">
        <f>Tabella8[[#This Row],[Italy fit]]*NOT(ISBLANK(Tabella8[[#This Row],[Italy cumulative]]))</f>
        <v>11512.788248989918</v>
      </c>
      <c r="J43" s="10">
        <f>Tabella8[[#This Row],[Italy sum]]+CI</f>
        <v>11716.579981962712</v>
      </c>
      <c r="K43" s="10">
        <f>MAX(Tabella8[[#This Row],[Italy sum]]-CI,0)</f>
        <v>11291.352905694615</v>
      </c>
      <c r="L43" s="4">
        <v>6818</v>
      </c>
      <c r="M43" s="10">
        <f>Tabella8[[#This Row],[Lombardy]]*NOT(ISBLANK(Tabella8[[#This Row],[Lombardy]]))</f>
        <v>6818</v>
      </c>
      <c r="N43" s="29">
        <f>Kr*EXP(-EXP(-(Tabella8[[#This Row],[Day]]-t0r)/wr))</f>
        <v>6704.0357827615526</v>
      </c>
      <c r="O43" s="10">
        <f>Tabella8[[#This Row],[Lombardy fit]]*NOT(ISBLANK(Tabella8[[#This Row],[Lombardy]]))</f>
        <v>6704.0357827615526</v>
      </c>
      <c r="P43" s="10">
        <f>Tabella8[[#This Row],[Lombardy fit]]+CIr</f>
        <v>6883.3719999688237</v>
      </c>
      <c r="Q43" s="10">
        <f>MAX(Tabella8[[#This Row],[Lombardy fit]]-CIr,0)</f>
        <v>6524.6995655542814</v>
      </c>
      <c r="R43" s="10">
        <f>Tabella8[[#This Row],[Italy cumulative]]-Tabella8[[#This Row],[Lombardy]]</f>
        <v>4773</v>
      </c>
      <c r="S43" s="10">
        <f>Tabella8[[#This Row],[rest of Italy ]]*NOT(ISBLANK(Tabella8[[#This Row],[rest of Italy ]]))</f>
        <v>4773</v>
      </c>
      <c r="T43" s="29">
        <f>Ko*EXP(-EXP(-(Tabella8[[#This Row],[Day]]-t0o)/wo))</f>
        <v>4799.930661067111</v>
      </c>
      <c r="U43" s="29">
        <f>Tabella8[[#This Row],[rest of Italy fit]]*NOT(ISBLANK(Tabella8[[#This Row],[rest of Italy ]]))</f>
        <v>4799.930661067111</v>
      </c>
      <c r="V43" s="10">
        <f>Tabella8[[#This Row],[rest of Italy fit]]+CIo</f>
        <v>4873.6814648875998</v>
      </c>
      <c r="W43" s="10">
        <f>MAX(Tabella8[[#This Row],[rest of Italy fit]]-CIo,0)</f>
        <v>4726.1798572466223</v>
      </c>
      <c r="Y43" s="17" t="s">
        <v>1</v>
      </c>
      <c r="Z43" s="37">
        <v>12.934077213515513</v>
      </c>
      <c r="AN43" s="70">
        <f>{0;0;1;100;0;FALSE;FALSE;0.075;0;0;FALSE;30}</f>
        <v>0</v>
      </c>
    </row>
    <row r="44" spans="2:40" x14ac:dyDescent="0.3">
      <c r="B44" s="9">
        <v>43921</v>
      </c>
      <c r="C44" s="4">
        <f t="shared" si="0"/>
        <v>36</v>
      </c>
      <c r="D44" s="10">
        <f>'dpc-covid19-ita-andamento-naz'!K38</f>
        <v>12428</v>
      </c>
      <c r="E44" s="10">
        <f>Tabella8[[#This Row],[Italy cumulative]]*NOT(ISBLANK(Tabella8[[#This Row],[Italy cumulative]]))</f>
        <v>12428</v>
      </c>
      <c r="F44" s="10">
        <f>Tabella8[[#This Row],[Lombardy fit]]+Tabella8[[#This Row],[rest of Italy fit]]</f>
        <v>12270.818274764864</v>
      </c>
      <c r="G44" s="10">
        <f>Tabella8[[#This Row],[Italy sum]]*NOT(ISBLANK(Tabella8[[#This Row],[Italy cumulative]]))</f>
        <v>12270.818274764864</v>
      </c>
      <c r="H44" s="29">
        <f>Kt*EXP(-EXP(-(Tabella8[[#This Row],[Day]]-t0t)/wt))</f>
        <v>12280.218228582085</v>
      </c>
      <c r="I44" s="10">
        <f>Tabella8[[#This Row],[Italy fit]]*NOT(ISBLANK(Tabella8[[#This Row],[Italy cumulative]]))</f>
        <v>12280.218228582085</v>
      </c>
      <c r="J44" s="10">
        <f>Tabella8[[#This Row],[Italy sum]]+CI</f>
        <v>12483.431812898913</v>
      </c>
      <c r="K44" s="10">
        <f>MAX(Tabella8[[#This Row],[Italy sum]]-CI,0)</f>
        <v>12058.204736630816</v>
      </c>
      <c r="L44" s="4">
        <v>7199</v>
      </c>
      <c r="M44" s="10">
        <f>Tabella8[[#This Row],[Lombardy]]*NOT(ISBLANK(Tabella8[[#This Row],[Lombardy]]))</f>
        <v>7199</v>
      </c>
      <c r="N44" s="29">
        <f>Kr*EXP(-EXP(-(Tabella8[[#This Row],[Day]]-t0r)/wr))</f>
        <v>7095.9506742678732</v>
      </c>
      <c r="O44" s="10">
        <f>Tabella8[[#This Row],[Lombardy fit]]*NOT(ISBLANK(Tabella8[[#This Row],[Lombardy]]))</f>
        <v>7095.9506742678732</v>
      </c>
      <c r="P44" s="10">
        <f>Tabella8[[#This Row],[Lombardy fit]]+CIr</f>
        <v>7275.2868914751434</v>
      </c>
      <c r="Q44" s="10">
        <f>MAX(Tabella8[[#This Row],[Lombardy fit]]-CIr,0)</f>
        <v>6916.6144570606029</v>
      </c>
      <c r="R44" s="10">
        <f>Tabella8[[#This Row],[Italy cumulative]]-Tabella8[[#This Row],[Lombardy]]</f>
        <v>5229</v>
      </c>
      <c r="S44" s="10">
        <f>Tabella8[[#This Row],[rest of Italy ]]*NOT(ISBLANK(Tabella8[[#This Row],[rest of Italy ]]))</f>
        <v>5229</v>
      </c>
      <c r="T44" s="29">
        <f>Ko*EXP(-EXP(-(Tabella8[[#This Row],[Day]]-t0o)/wo))</f>
        <v>5174.8676004969921</v>
      </c>
      <c r="U44" s="29">
        <f>Tabella8[[#This Row],[rest of Italy fit]]*NOT(ISBLANK(Tabella8[[#This Row],[rest of Italy ]]))</f>
        <v>5174.8676004969921</v>
      </c>
      <c r="V44" s="10">
        <f>Tabella8[[#This Row],[rest of Italy fit]]+CIo</f>
        <v>5248.6184043174808</v>
      </c>
      <c r="W44" s="10">
        <f>MAX(Tabella8[[#This Row],[rest of Italy fit]]-CIo,0)</f>
        <v>5101.1167966765033</v>
      </c>
      <c r="Y44" s="2" t="s">
        <v>2</v>
      </c>
      <c r="Z44" s="1">
        <f>AVERAGE(Tabella8[Italy cumulative])</f>
        <v>6479.1020408163267</v>
      </c>
    </row>
    <row r="45" spans="2:40" x14ac:dyDescent="0.3">
      <c r="B45" s="9">
        <v>43922</v>
      </c>
      <c r="C45" s="4">
        <f t="shared" si="0"/>
        <v>37</v>
      </c>
      <c r="D45" s="10">
        <f>'dpc-covid19-ita-andamento-naz'!K39</f>
        <v>13155</v>
      </c>
      <c r="E45" s="10">
        <f>Tabella8[[#This Row],[Italy cumulative]]*NOT(ISBLANK(Tabella8[[#This Row],[Italy cumulative]]))</f>
        <v>13155</v>
      </c>
      <c r="F45" s="10">
        <f>Tabella8[[#This Row],[Lombardy fit]]+Tabella8[[#This Row],[rest of Italy fit]]</f>
        <v>13026.514267496485</v>
      </c>
      <c r="G45" s="10">
        <f>Tabella8[[#This Row],[Italy sum]]*NOT(ISBLANK(Tabella8[[#This Row],[Italy cumulative]]))</f>
        <v>13026.514267496485</v>
      </c>
      <c r="H45" s="29">
        <f>Kt*EXP(-EXP(-(Tabella8[[#This Row],[Day]]-t0t)/wt))</f>
        <v>13036.064398534092</v>
      </c>
      <c r="I45" s="10">
        <f>Tabella8[[#This Row],[Italy fit]]*NOT(ISBLANK(Tabella8[[#This Row],[Italy cumulative]]))</f>
        <v>13036.064398534092</v>
      </c>
      <c r="J45" s="10">
        <f>Tabella8[[#This Row],[Italy sum]]+CI</f>
        <v>13239.127805630533</v>
      </c>
      <c r="K45" s="10">
        <f>MAX(Tabella8[[#This Row],[Italy sum]]-CI,0)</f>
        <v>12813.900729362436</v>
      </c>
      <c r="L45" s="4">
        <v>7593</v>
      </c>
      <c r="M45" s="10">
        <f>Tabella8[[#This Row],[Lombardy]]*NOT(ISBLANK(Tabella8[[#This Row],[Lombardy]]))</f>
        <v>7593</v>
      </c>
      <c r="N45" s="29">
        <f>Kr*EXP(-EXP(-(Tabella8[[#This Row],[Day]]-t0r)/wr))</f>
        <v>7477.2878434680651</v>
      </c>
      <c r="O45" s="10">
        <f>Tabella8[[#This Row],[Lombardy fit]]*NOT(ISBLANK(Tabella8[[#This Row],[Lombardy]]))</f>
        <v>7477.2878434680651</v>
      </c>
      <c r="P45" s="10">
        <f>Tabella8[[#This Row],[Lombardy fit]]+CIr</f>
        <v>7656.6240606753363</v>
      </c>
      <c r="Q45" s="10">
        <f>MAX(Tabella8[[#This Row],[Lombardy fit]]-CIr,0)</f>
        <v>7297.951626260794</v>
      </c>
      <c r="R45" s="10">
        <f>Tabella8[[#This Row],[Italy cumulative]]-Tabella8[[#This Row],[Lombardy]]</f>
        <v>5562</v>
      </c>
      <c r="S45" s="10">
        <f>Tabella8[[#This Row],[rest of Italy ]]*NOT(ISBLANK(Tabella8[[#This Row],[rest of Italy ]]))</f>
        <v>5562</v>
      </c>
      <c r="T45" s="29">
        <f>Ko*EXP(-EXP(-(Tabella8[[#This Row],[Day]]-t0o)/wo))</f>
        <v>5549.2264240284194</v>
      </c>
      <c r="U45" s="29">
        <f>Tabella8[[#This Row],[rest of Italy fit]]*NOT(ISBLANK(Tabella8[[#This Row],[rest of Italy ]]))</f>
        <v>5549.2264240284194</v>
      </c>
      <c r="V45" s="10">
        <f>Tabella8[[#This Row],[rest of Italy fit]]+CIo</f>
        <v>5622.9772278489081</v>
      </c>
      <c r="W45" s="10">
        <f>MAX(Tabella8[[#This Row],[rest of Italy fit]]-CIo,0)</f>
        <v>5475.4756202079307</v>
      </c>
      <c r="Y45" s="2" t="s">
        <v>3</v>
      </c>
      <c r="Z45" s="1">
        <f>COUNT(Tabella8[Italy cumulative])-COUNT(Z41:Z43)</f>
        <v>46</v>
      </c>
    </row>
    <row r="46" spans="2:40" x14ac:dyDescent="0.3">
      <c r="B46" s="9">
        <v>43923</v>
      </c>
      <c r="C46" s="4">
        <f t="shared" si="0"/>
        <v>38</v>
      </c>
      <c r="D46" s="10">
        <f>'dpc-covid19-ita-andamento-naz'!K40</f>
        <v>13915</v>
      </c>
      <c r="E46" s="10">
        <f>Tabella8[[#This Row],[Italy cumulative]]*NOT(ISBLANK(Tabella8[[#This Row],[Italy cumulative]]))</f>
        <v>13915</v>
      </c>
      <c r="F46" s="10">
        <f>Tabella8[[#This Row],[Lombardy fit]]+Tabella8[[#This Row],[rest of Italy fit]]</f>
        <v>13767.824429802131</v>
      </c>
      <c r="G46" s="10">
        <f>Tabella8[[#This Row],[Italy sum]]*NOT(ISBLANK(Tabella8[[#This Row],[Italy cumulative]]))</f>
        <v>13767.824429802131</v>
      </c>
      <c r="H46" s="29">
        <f>Kt*EXP(-EXP(-(Tabella8[[#This Row],[Day]]-t0t)/wt))</f>
        <v>13777.070926233017</v>
      </c>
      <c r="I46" s="10">
        <f>Tabella8[[#This Row],[Italy fit]]*NOT(ISBLANK(Tabella8[[#This Row],[Italy cumulative]]))</f>
        <v>13777.070926233017</v>
      </c>
      <c r="J46" s="10">
        <f>Tabella8[[#This Row],[Italy sum]]+CI</f>
        <v>13980.437967936179</v>
      </c>
      <c r="K46" s="10">
        <f>MAX(Tabella8[[#This Row],[Italy sum]]-CI,0)</f>
        <v>13555.210891668083</v>
      </c>
      <c r="L46" s="4">
        <v>7960</v>
      </c>
      <c r="M46" s="10">
        <f>Tabella8[[#This Row],[Lombardy]]*NOT(ISBLANK(Tabella8[[#This Row],[Lombardy]]))</f>
        <v>7960</v>
      </c>
      <c r="N46" s="29">
        <f>Kr*EXP(-EXP(-(Tabella8[[#This Row],[Day]]-t0r)/wr))</f>
        <v>7846.7444331117022</v>
      </c>
      <c r="O46" s="10">
        <f>Tabella8[[#This Row],[Lombardy fit]]*NOT(ISBLANK(Tabella8[[#This Row],[Lombardy]]))</f>
        <v>7846.7444331117022</v>
      </c>
      <c r="P46" s="10">
        <f>Tabella8[[#This Row],[Lombardy fit]]+CIr</f>
        <v>8026.0806503189724</v>
      </c>
      <c r="Q46" s="10">
        <f>MAX(Tabella8[[#This Row],[Lombardy fit]]-CIr,0)</f>
        <v>7667.4082159044319</v>
      </c>
      <c r="R46" s="10">
        <f>Tabella8[[#This Row],[Italy cumulative]]-Tabella8[[#This Row],[Lombardy]]</f>
        <v>5955</v>
      </c>
      <c r="S46" s="10">
        <f>Tabella8[[#This Row],[rest of Italy ]]*NOT(ISBLANK(Tabella8[[#This Row],[rest of Italy ]]))</f>
        <v>5955</v>
      </c>
      <c r="T46" s="29">
        <f>Ko*EXP(-EXP(-(Tabella8[[#This Row],[Day]]-t0o)/wo))</f>
        <v>5921.0799966904278</v>
      </c>
      <c r="U46" s="29">
        <f>Tabella8[[#This Row],[rest of Italy fit]]*NOT(ISBLANK(Tabella8[[#This Row],[rest of Italy ]]))</f>
        <v>5921.0799966904278</v>
      </c>
      <c r="V46" s="10">
        <f>Tabella8[[#This Row],[rest of Italy fit]]+CIo</f>
        <v>5994.8308005109166</v>
      </c>
      <c r="W46" s="10">
        <f>MAX(Tabella8[[#This Row],[rest of Italy fit]]-CIo,0)</f>
        <v>5847.3291928699391</v>
      </c>
      <c r="Y46" s="2" t="s">
        <v>4</v>
      </c>
      <c r="Z46" s="6" cm="1">
        <f t="array" ref="Z46">SQRT(SUM((Tabella8[Colonna1]-Tabella8[Colonna3])^2)/dft)</f>
        <v>107.24644019557024</v>
      </c>
    </row>
    <row r="47" spans="2:40" ht="16.2" x14ac:dyDescent="0.3">
      <c r="B47" s="9">
        <v>43924</v>
      </c>
      <c r="C47" s="4">
        <f t="shared" si="0"/>
        <v>39</v>
      </c>
      <c r="D47" s="10">
        <f>'dpc-covid19-ita-andamento-naz'!K41</f>
        <v>14681</v>
      </c>
      <c r="E47" s="10">
        <f>Tabella8[[#This Row],[Italy cumulative]]*NOT(ISBLANK(Tabella8[[#This Row],[Italy cumulative]]))</f>
        <v>14681</v>
      </c>
      <c r="F47" s="10">
        <f>Tabella8[[#This Row],[Lombardy fit]]+Tabella8[[#This Row],[rest of Italy fit]]</f>
        <v>14491.953882069858</v>
      </c>
      <c r="G47" s="10">
        <f>Tabella8[[#This Row],[Italy sum]]*NOT(ISBLANK(Tabella8[[#This Row],[Italy cumulative]]))</f>
        <v>14491.953882069858</v>
      </c>
      <c r="H47" s="29">
        <f>Kt*EXP(-EXP(-(Tabella8[[#This Row],[Day]]-t0t)/wt))</f>
        <v>14500.42970856102</v>
      </c>
      <c r="I47" s="10">
        <f>Tabella8[[#This Row],[Italy fit]]*NOT(ISBLANK(Tabella8[[#This Row],[Italy cumulative]]))</f>
        <v>14500.42970856102</v>
      </c>
      <c r="J47" s="10">
        <f>Tabella8[[#This Row],[Italy sum]]+CI</f>
        <v>14704.567420203906</v>
      </c>
      <c r="K47" s="10">
        <f>MAX(Tabella8[[#This Row],[Italy sum]]-CI,0)</f>
        <v>14279.34034393581</v>
      </c>
      <c r="L47" s="4">
        <v>8311</v>
      </c>
      <c r="M47" s="10">
        <f>Tabella8[[#This Row],[Lombardy]]*NOT(ISBLANK(Tabella8[[#This Row],[Lombardy]]))</f>
        <v>8311</v>
      </c>
      <c r="N47" s="29">
        <f>Kr*EXP(-EXP(-(Tabella8[[#This Row],[Day]]-t0r)/wr))</f>
        <v>8203.2785111753692</v>
      </c>
      <c r="O47" s="10">
        <f>Tabella8[[#This Row],[Lombardy fit]]*NOT(ISBLANK(Tabella8[[#This Row],[Lombardy]]))</f>
        <v>8203.2785111753692</v>
      </c>
      <c r="P47" s="10">
        <f>Tabella8[[#This Row],[Lombardy fit]]+CIr</f>
        <v>8382.6147283826394</v>
      </c>
      <c r="Q47" s="10">
        <f>MAX(Tabella8[[#This Row],[Lombardy fit]]-CIr,0)</f>
        <v>8023.942293968099</v>
      </c>
      <c r="R47" s="10">
        <f>Tabella8[[#This Row],[Italy cumulative]]-Tabella8[[#This Row],[Lombardy]]</f>
        <v>6370</v>
      </c>
      <c r="S47" s="10">
        <f>Tabella8[[#This Row],[rest of Italy ]]*NOT(ISBLANK(Tabella8[[#This Row],[rest of Italy ]]))</f>
        <v>6370</v>
      </c>
      <c r="T47" s="29">
        <f>Ko*EXP(-EXP(-(Tabella8[[#This Row],[Day]]-t0o)/wo))</f>
        <v>6288.6753708944889</v>
      </c>
      <c r="U47" s="29">
        <f>Tabella8[[#This Row],[rest of Italy fit]]*NOT(ISBLANK(Tabella8[[#This Row],[rest of Italy ]]))</f>
        <v>6288.6753708944889</v>
      </c>
      <c r="V47" s="10">
        <f>Tabella8[[#This Row],[rest of Italy fit]]+CIo</f>
        <v>6362.4261747149776</v>
      </c>
      <c r="W47" s="10">
        <f>MAX(Tabella8[[#This Row],[rest of Italy fit]]-CIo,0)</f>
        <v>6214.9245670740002</v>
      </c>
      <c r="Y47" s="2" t="s">
        <v>5</v>
      </c>
      <c r="Z47" s="7" cm="1">
        <f t="array" ref="Z47">1-SUM((Tabella8[Colonna1]-Tabella8[Colonna3])^2)/SUM((Tabella8[Colonna1]-Mean_of_yt)^2)</f>
        <v>0.99983392682714722</v>
      </c>
    </row>
    <row r="48" spans="2:40" x14ac:dyDescent="0.3">
      <c r="B48" s="9">
        <v>43925</v>
      </c>
      <c r="C48" s="4">
        <f t="shared" si="0"/>
        <v>40</v>
      </c>
      <c r="D48" s="10">
        <f>'dpc-covid19-ita-andamento-naz'!K42</f>
        <v>15362</v>
      </c>
      <c r="E48" s="10">
        <f>Tabella8[[#This Row],[Italy cumulative]]*NOT(ISBLANK(Tabella8[[#This Row],[Italy cumulative]]))</f>
        <v>15362</v>
      </c>
      <c r="F48" s="10">
        <f>Tabella8[[#This Row],[Lombardy fit]]+Tabella8[[#This Row],[rest of Italy fit]]</f>
        <v>15196.535387231808</v>
      </c>
      <c r="G48" s="10">
        <f>Tabella8[[#This Row],[Italy sum]]*NOT(ISBLANK(Tabella8[[#This Row],[Italy cumulative]]))</f>
        <v>15196.535387231808</v>
      </c>
      <c r="H48" s="29">
        <f>Kt*EXP(-EXP(-(Tabella8[[#This Row],[Day]]-t0t)/wt))</f>
        <v>15203.771877345134</v>
      </c>
      <c r="I48" s="10">
        <f>Tabella8[[#This Row],[Italy fit]]*NOT(ISBLANK(Tabella8[[#This Row],[Italy cumulative]]))</f>
        <v>15203.771877345134</v>
      </c>
      <c r="J48" s="10">
        <f>Tabella8[[#This Row],[Italy sum]]+CI</f>
        <v>15409.148925365856</v>
      </c>
      <c r="K48" s="10">
        <f>MAX(Tabella8[[#This Row],[Italy sum]]-CI,0)</f>
        <v>14983.92184909776</v>
      </c>
      <c r="L48" s="4">
        <v>8656</v>
      </c>
      <c r="M48" s="10">
        <f>Tabella8[[#This Row],[Lombardy]]*NOT(ISBLANK(Tabella8[[#This Row],[Lombardy]]))</f>
        <v>8656</v>
      </c>
      <c r="N48" s="29">
        <f>Kr*EXP(-EXP(-(Tabella8[[#This Row],[Day]]-t0r)/wr))</f>
        <v>8546.0912628644237</v>
      </c>
      <c r="O48" s="10">
        <f>Tabella8[[#This Row],[Lombardy fit]]*NOT(ISBLANK(Tabella8[[#This Row],[Lombardy]]))</f>
        <v>8546.0912628644237</v>
      </c>
      <c r="P48" s="10">
        <f>Tabella8[[#This Row],[Lombardy fit]]+CIr</f>
        <v>8725.4274800716939</v>
      </c>
      <c r="Q48" s="10">
        <f>MAX(Tabella8[[#This Row],[Lombardy fit]]-CIr,0)</f>
        <v>8366.7550456571535</v>
      </c>
      <c r="R48" s="10">
        <f>Tabella8[[#This Row],[Italy cumulative]]-Tabella8[[#This Row],[Lombardy]]</f>
        <v>6706</v>
      </c>
      <c r="S48" s="10">
        <f>Tabella8[[#This Row],[rest of Italy ]]*NOT(ISBLANK(Tabella8[[#This Row],[rest of Italy ]]))</f>
        <v>6706</v>
      </c>
      <c r="T48" s="29">
        <f>Ko*EXP(-EXP(-(Tabella8[[#This Row],[Day]]-t0o)/wo))</f>
        <v>6650.4441243673837</v>
      </c>
      <c r="U48" s="29">
        <f>Tabella8[[#This Row],[rest of Italy fit]]*NOT(ISBLANK(Tabella8[[#This Row],[rest of Italy ]]))</f>
        <v>6650.4441243673837</v>
      </c>
      <c r="V48" s="10">
        <f>Tabella8[[#This Row],[rest of Italy fit]]+CIo</f>
        <v>6724.1949281878724</v>
      </c>
      <c r="W48" s="10">
        <f>MAX(Tabella8[[#This Row],[rest of Italy fit]]-CIo,0)</f>
        <v>6576.6933205468949</v>
      </c>
      <c r="Y48" s="2" t="s">
        <v>6</v>
      </c>
      <c r="Z48" s="7">
        <f>TINV(0.05,dft)</f>
        <v>2.0128955989194299</v>
      </c>
    </row>
    <row r="49" spans="2:26" x14ac:dyDescent="0.3">
      <c r="B49" s="9">
        <v>43926</v>
      </c>
      <c r="C49" s="4">
        <f t="shared" si="0"/>
        <v>41</v>
      </c>
      <c r="D49" s="10">
        <f>'dpc-covid19-ita-andamento-naz'!K43</f>
        <v>15887</v>
      </c>
      <c r="E49" s="10">
        <f>Tabella8[[#This Row],[Italy cumulative]]*NOT(ISBLANK(Tabella8[[#This Row],[Italy cumulative]]))</f>
        <v>15887</v>
      </c>
      <c r="F49" s="10">
        <f>Tabella8[[#This Row],[Lombardy fit]]+Tabella8[[#This Row],[rest of Italy fit]]</f>
        <v>15879.613410354828</v>
      </c>
      <c r="G49" s="10">
        <f>Tabella8[[#This Row],[Italy sum]]*NOT(ISBLANK(Tabella8[[#This Row],[Italy cumulative]]))</f>
        <v>15879.613410354828</v>
      </c>
      <c r="H49" s="29">
        <f>Kt*EXP(-EXP(-(Tabella8[[#This Row],[Day]]-t0t)/wt))</f>
        <v>15885.150544731998</v>
      </c>
      <c r="I49" s="10">
        <f>Tabella8[[#This Row],[Italy fit]]*NOT(ISBLANK(Tabella8[[#This Row],[Italy cumulative]]))</f>
        <v>15885.150544731998</v>
      </c>
      <c r="J49" s="10">
        <f>Tabella8[[#This Row],[Italy sum]]+CI</f>
        <v>16092.226948488877</v>
      </c>
      <c r="K49" s="10">
        <f>MAX(Tabella8[[#This Row],[Italy sum]]-CI,0)</f>
        <v>15666.99987222078</v>
      </c>
      <c r="L49" s="4">
        <v>8905</v>
      </c>
      <c r="M49" s="10">
        <f>Tabella8[[#This Row],[Lombardy]]*NOT(ISBLANK(Tabella8[[#This Row],[Lombardy]]))</f>
        <v>8905</v>
      </c>
      <c r="N49" s="29">
        <f>Kr*EXP(-EXP(-(Tabella8[[#This Row],[Day]]-t0r)/wr))</f>
        <v>8874.6065023394967</v>
      </c>
      <c r="O49" s="10">
        <f>Tabella8[[#This Row],[Lombardy fit]]*NOT(ISBLANK(Tabella8[[#This Row],[Lombardy]]))</f>
        <v>8874.6065023394967</v>
      </c>
      <c r="P49" s="10">
        <f>Tabella8[[#This Row],[Lombardy fit]]+CIr</f>
        <v>9053.942719546767</v>
      </c>
      <c r="Q49" s="10">
        <f>MAX(Tabella8[[#This Row],[Lombardy fit]]-CIr,0)</f>
        <v>8695.2702851322265</v>
      </c>
      <c r="R49" s="10">
        <f>Tabella8[[#This Row],[Italy cumulative]]-Tabella8[[#This Row],[Lombardy]]</f>
        <v>6982</v>
      </c>
      <c r="S49" s="10">
        <f>Tabella8[[#This Row],[rest of Italy ]]*NOT(ISBLANK(Tabella8[[#This Row],[rest of Italy ]]))</f>
        <v>6982</v>
      </c>
      <c r="T49" s="29">
        <f>Ko*EXP(-EXP(-(Tabella8[[#This Row],[Day]]-t0o)/wo))</f>
        <v>7005.0069080153316</v>
      </c>
      <c r="U49" s="29">
        <f>Tabella8[[#This Row],[rest of Italy fit]]*NOT(ISBLANK(Tabella8[[#This Row],[rest of Italy ]]))</f>
        <v>7005.0069080153316</v>
      </c>
      <c r="V49" s="10">
        <f>Tabella8[[#This Row],[rest of Italy fit]]+CIo</f>
        <v>7078.7577118358204</v>
      </c>
      <c r="W49" s="10">
        <f>MAX(Tabella8[[#This Row],[rest of Italy fit]]-CIo,0)</f>
        <v>6931.2561041948429</v>
      </c>
      <c r="Y49" s="2" t="s">
        <v>7</v>
      </c>
      <c r="Z49" s="1">
        <f>Critical_tt*SE_of_yt</f>
        <v>215.87588746943919</v>
      </c>
    </row>
    <row r="50" spans="2:26" x14ac:dyDescent="0.3">
      <c r="B50" s="9">
        <v>43927</v>
      </c>
      <c r="C50" s="4">
        <f t="shared" si="0"/>
        <v>42</v>
      </c>
      <c r="D50" s="10">
        <f>'dpc-covid19-ita-andamento-naz'!K44</f>
        <v>16523</v>
      </c>
      <c r="E50" s="10">
        <f>Tabella8[[#This Row],[Italy cumulative]]*NOT(ISBLANK(Tabella8[[#This Row],[Italy cumulative]]))</f>
        <v>16523</v>
      </c>
      <c r="F50" s="10">
        <f>Tabella8[[#This Row],[Lombardy fit]]+Tabella8[[#This Row],[rest of Italy fit]]</f>
        <v>16539.62173076062</v>
      </c>
      <c r="G50" s="10">
        <f>Tabella8[[#This Row],[Italy sum]]*NOT(ISBLANK(Tabella8[[#This Row],[Italy cumulative]]))</f>
        <v>16539.62173076062</v>
      </c>
      <c r="H50" s="29">
        <f>Kt*EXP(-EXP(-(Tabella8[[#This Row],[Day]]-t0t)/wt))</f>
        <v>16543.016929247951</v>
      </c>
      <c r="I50" s="10">
        <f>Tabella8[[#This Row],[Italy fit]]*NOT(ISBLANK(Tabella8[[#This Row],[Italy cumulative]]))</f>
        <v>16543.016929247951</v>
      </c>
      <c r="J50" s="10">
        <f>Tabella8[[#This Row],[Italy sum]]+CI</f>
        <v>16752.235268894667</v>
      </c>
      <c r="K50" s="10">
        <f>MAX(Tabella8[[#This Row],[Italy sum]]-CI,0)</f>
        <v>16327.008192626572</v>
      </c>
      <c r="L50" s="4">
        <v>9202</v>
      </c>
      <c r="M50" s="10">
        <f>Tabella8[[#This Row],[Lombardy]]*NOT(ISBLANK(Tabella8[[#This Row],[Lombardy]]))</f>
        <v>9202</v>
      </c>
      <c r="N50" s="29">
        <f>Kr*EXP(-EXP(-(Tabella8[[#This Row],[Day]]-t0r)/wr))</f>
        <v>9188.4486557107939</v>
      </c>
      <c r="O50" s="10">
        <f>Tabella8[[#This Row],[Lombardy fit]]*NOT(ISBLANK(Tabella8[[#This Row],[Lombardy]]))</f>
        <v>9188.4486557107939</v>
      </c>
      <c r="P50" s="10">
        <f>Tabella8[[#This Row],[Lombardy fit]]+CIr</f>
        <v>9367.7848729180641</v>
      </c>
      <c r="Q50" s="10">
        <f>MAX(Tabella8[[#This Row],[Lombardy fit]]-CIr,0)</f>
        <v>9009.1124385035237</v>
      </c>
      <c r="R50" s="10">
        <f>Tabella8[[#This Row],[Italy cumulative]]-Tabella8[[#This Row],[Lombardy]]</f>
        <v>7321</v>
      </c>
      <c r="S50" s="10">
        <f>Tabella8[[#This Row],[rest of Italy ]]*NOT(ISBLANK(Tabella8[[#This Row],[rest of Italy ]]))</f>
        <v>7321</v>
      </c>
      <c r="T50" s="29">
        <f>Ko*EXP(-EXP(-(Tabella8[[#This Row],[Day]]-t0o)/wo))</f>
        <v>7351.1730750498245</v>
      </c>
      <c r="U50" s="29">
        <f>Tabella8[[#This Row],[rest of Italy fit]]*NOT(ISBLANK(Tabella8[[#This Row],[rest of Italy ]]))</f>
        <v>7351.1730750498245</v>
      </c>
      <c r="V50" s="10">
        <f>Tabella8[[#This Row],[rest of Italy fit]]+CIo</f>
        <v>7424.9238788703133</v>
      </c>
      <c r="W50" s="10">
        <f>MAX(Tabella8[[#This Row],[rest of Italy fit]]-CIo,0)</f>
        <v>7277.4222712293358</v>
      </c>
      <c r="Y50" s="42"/>
      <c r="Z50" s="43"/>
    </row>
    <row r="51" spans="2:26" x14ac:dyDescent="0.3">
      <c r="B51" s="9">
        <v>43928</v>
      </c>
      <c r="C51" s="4">
        <f t="shared" si="0"/>
        <v>43</v>
      </c>
      <c r="D51" s="10">
        <f>'dpc-covid19-ita-andamento-naz'!K45</f>
        <v>17127</v>
      </c>
      <c r="E51" s="10">
        <f>Tabella8[[#This Row],[Italy cumulative]]*NOT(ISBLANK(Tabella8[[#This Row],[Italy cumulative]]))</f>
        <v>17127</v>
      </c>
      <c r="F51" s="10">
        <f>Tabella8[[#This Row],[Lombardy fit]]+Tabella8[[#This Row],[rest of Italy fit]]</f>
        <v>17175.356429287651</v>
      </c>
      <c r="G51" s="10">
        <f>Tabella8[[#This Row],[Italy sum]]*NOT(ISBLANK(Tabella8[[#This Row],[Italy cumulative]]))</f>
        <v>17175.356429287651</v>
      </c>
      <c r="H51" s="29">
        <f>Kt*EXP(-EXP(-(Tabella8[[#This Row],[Day]]-t0t)/wt))</f>
        <v>17176.19178542525</v>
      </c>
      <c r="I51" s="10">
        <f>Tabella8[[#This Row],[Italy fit]]*NOT(ISBLANK(Tabella8[[#This Row],[Italy cumulative]]))</f>
        <v>17176.19178542525</v>
      </c>
      <c r="J51" s="10">
        <f>Tabella8[[#This Row],[Italy sum]]+CI</f>
        <v>17387.969967421697</v>
      </c>
      <c r="K51" s="10">
        <f>MAX(Tabella8[[#This Row],[Italy sum]]-CI,0)</f>
        <v>16962.742891153604</v>
      </c>
      <c r="L51" s="4">
        <v>9484</v>
      </c>
      <c r="M51" s="10">
        <f>Tabella8[[#This Row],[Lombardy]]*NOT(ISBLANK(Tabella8[[#This Row],[Lombardy]]))</f>
        <v>9484</v>
      </c>
      <c r="N51" s="29">
        <f>Kr*EXP(-EXP(-(Tabella8[[#This Row],[Day]]-t0r)/wr))</f>
        <v>9487.4201610035398</v>
      </c>
      <c r="O51" s="10">
        <f>Tabella8[[#This Row],[Lombardy fit]]*NOT(ISBLANK(Tabella8[[#This Row],[Lombardy]]))</f>
        <v>9487.4201610035398</v>
      </c>
      <c r="P51" s="10">
        <f>Tabella8[[#This Row],[Lombardy fit]]+CIr</f>
        <v>9666.75637821081</v>
      </c>
      <c r="Q51" s="10">
        <f>MAX(Tabella8[[#This Row],[Lombardy fit]]-CIr,0)</f>
        <v>9308.0839437962695</v>
      </c>
      <c r="R51" s="10">
        <f>Tabella8[[#This Row],[Italy cumulative]]-Tabella8[[#This Row],[Lombardy]]</f>
        <v>7643</v>
      </c>
      <c r="S51" s="10">
        <f>Tabella8[[#This Row],[rest of Italy ]]*NOT(ISBLANK(Tabella8[[#This Row],[rest of Italy ]]))</f>
        <v>7643</v>
      </c>
      <c r="T51" s="29">
        <f>Ko*EXP(-EXP(-(Tabella8[[#This Row],[Day]]-t0o)/wo))</f>
        <v>7687.9362682841102</v>
      </c>
      <c r="U51" s="29">
        <f>Tabella8[[#This Row],[rest of Italy fit]]*NOT(ISBLANK(Tabella8[[#This Row],[rest of Italy ]]))</f>
        <v>7687.9362682841102</v>
      </c>
      <c r="V51" s="10">
        <f>Tabella8[[#This Row],[rest of Italy fit]]+CIo</f>
        <v>7761.6870721045989</v>
      </c>
      <c r="W51" s="10">
        <f>MAX(Tabella8[[#This Row],[rest of Italy fit]]-CIo,0)</f>
        <v>7614.1854644636214</v>
      </c>
    </row>
    <row r="52" spans="2:26" x14ac:dyDescent="0.3">
      <c r="B52" s="9">
        <v>43929</v>
      </c>
      <c r="C52" s="4">
        <f t="shared" si="0"/>
        <v>44</v>
      </c>
      <c r="D52" s="10">
        <f>'dpc-covid19-ita-andamento-naz'!K46</f>
        <v>17669</v>
      </c>
      <c r="E52" s="10">
        <f>Tabella8[[#This Row],[Italy cumulative]]*NOT(ISBLANK(Tabella8[[#This Row],[Italy cumulative]]))</f>
        <v>17669</v>
      </c>
      <c r="F52" s="10">
        <f>Tabella8[[#This Row],[Lombardy fit]]+Tabella8[[#This Row],[rest of Italy fit]]</f>
        <v>17785.945843417088</v>
      </c>
      <c r="G52" s="10">
        <f>Tabella8[[#This Row],[Italy sum]]*NOT(ISBLANK(Tabella8[[#This Row],[Italy cumulative]]))</f>
        <v>17785.945843417088</v>
      </c>
      <c r="H52" s="29">
        <f>Kt*EXP(-EXP(-(Tabella8[[#This Row],[Day]]-t0t)/wt))</f>
        <v>17783.833810700857</v>
      </c>
      <c r="I52" s="10">
        <f>Tabella8[[#This Row],[Italy fit]]*NOT(ISBLANK(Tabella8[[#This Row],[Italy cumulative]]))</f>
        <v>17783.833810700857</v>
      </c>
      <c r="J52" s="10">
        <f>Tabella8[[#This Row],[Italy sum]]+CI</f>
        <v>17998.559381551135</v>
      </c>
      <c r="K52" s="10">
        <f>MAX(Tabella8[[#This Row],[Italy sum]]-CI,0)</f>
        <v>17573.332305283042</v>
      </c>
      <c r="L52" s="4">
        <v>9722</v>
      </c>
      <c r="M52" s="10">
        <f>Tabella8[[#This Row],[Lombardy]]*NOT(ISBLANK(Tabella8[[#This Row],[Lombardy]]))</f>
        <v>9722</v>
      </c>
      <c r="N52" s="29">
        <f>Kr*EXP(-EXP(-(Tabella8[[#This Row],[Day]]-t0r)/wr))</f>
        <v>9771.4790354631077</v>
      </c>
      <c r="O52" s="10">
        <f>Tabella8[[#This Row],[Lombardy fit]]*NOT(ISBLANK(Tabella8[[#This Row],[Lombardy]]))</f>
        <v>9771.4790354631077</v>
      </c>
      <c r="P52" s="10">
        <f>Tabella8[[#This Row],[Lombardy fit]]+CIr</f>
        <v>9950.815252670378</v>
      </c>
      <c r="Q52" s="10">
        <f>MAX(Tabella8[[#This Row],[Lombardy fit]]-CIr,0)</f>
        <v>9592.1428182558375</v>
      </c>
      <c r="R52" s="10">
        <f>Tabella8[[#This Row],[Italy cumulative]]-Tabella8[[#This Row],[Lombardy]]</f>
        <v>7947</v>
      </c>
      <c r="S52" s="10">
        <f>Tabella8[[#This Row],[rest of Italy ]]*NOT(ISBLANK(Tabella8[[#This Row],[rest of Italy ]]))</f>
        <v>7947</v>
      </c>
      <c r="T52" s="29">
        <f>Ko*EXP(-EXP(-(Tabella8[[#This Row],[Day]]-t0o)/wo))</f>
        <v>8014.4668079539788</v>
      </c>
      <c r="U52" s="29">
        <f>Tabella8[[#This Row],[rest of Italy fit]]*NOT(ISBLANK(Tabella8[[#This Row],[rest of Italy ]]))</f>
        <v>8014.4668079539788</v>
      </c>
      <c r="V52" s="10">
        <f>Tabella8[[#This Row],[rest of Italy fit]]+CIo</f>
        <v>8088.2176117744675</v>
      </c>
      <c r="W52" s="10">
        <f>MAX(Tabella8[[#This Row],[rest of Italy fit]]-CIo,0)</f>
        <v>7940.7160041334901</v>
      </c>
    </row>
    <row r="53" spans="2:26" x14ac:dyDescent="0.3">
      <c r="B53" s="9">
        <v>43930</v>
      </c>
      <c r="C53" s="4">
        <f t="shared" si="0"/>
        <v>45</v>
      </c>
      <c r="D53" s="10">
        <f>'dpc-covid19-ita-andamento-naz'!K47</f>
        <v>18279</v>
      </c>
      <c r="E53" s="10">
        <f>Tabella8[[#This Row],[Italy cumulative]]*NOT(ISBLANK(Tabella8[[#This Row],[Italy cumulative]]))</f>
        <v>18279</v>
      </c>
      <c r="F53" s="10">
        <f>Tabella8[[#This Row],[Lombardy fit]]+Tabella8[[#This Row],[rest of Italy fit]]</f>
        <v>18370.818842709225</v>
      </c>
      <c r="G53" s="10">
        <f>Tabella8[[#This Row],[Italy sum]]*NOT(ISBLANK(Tabella8[[#This Row],[Italy cumulative]]))</f>
        <v>18370.818842709225</v>
      </c>
      <c r="H53" s="29">
        <f>Kt*EXP(-EXP(-(Tabella8[[#This Row],[Day]]-t0t)/wt))</f>
        <v>18365.406443888041</v>
      </c>
      <c r="I53" s="10">
        <f>Tabella8[[#This Row],[Italy fit]]*NOT(ISBLANK(Tabella8[[#This Row],[Italy cumulative]]))</f>
        <v>18365.406443888041</v>
      </c>
      <c r="J53" s="10">
        <f>Tabella8[[#This Row],[Italy sum]]+CI</f>
        <v>18583.432380843271</v>
      </c>
      <c r="K53" s="10">
        <f>MAX(Tabella8[[#This Row],[Italy sum]]-CI,0)</f>
        <v>18158.205304575178</v>
      </c>
      <c r="L53" s="4">
        <v>10022</v>
      </c>
      <c r="M53" s="10">
        <f>Tabella8[[#This Row],[Lombardy]]*NOT(ISBLANK(Tabella8[[#This Row],[Lombardy]]))</f>
        <v>10022</v>
      </c>
      <c r="N53" s="29">
        <f>Kr*EXP(-EXP(-(Tabella8[[#This Row],[Day]]-t0r)/wr))</f>
        <v>10040.717182925689</v>
      </c>
      <c r="O53" s="10">
        <f>Tabella8[[#This Row],[Lombardy fit]]*NOT(ISBLANK(Tabella8[[#This Row],[Lombardy]]))</f>
        <v>10040.717182925689</v>
      </c>
      <c r="P53" s="10">
        <f>Tabella8[[#This Row],[Lombardy fit]]+CIr</f>
        <v>10220.05340013296</v>
      </c>
      <c r="Q53" s="10">
        <f>MAX(Tabella8[[#This Row],[Lombardy fit]]-CIr,0)</f>
        <v>9861.3809657184192</v>
      </c>
      <c r="R53" s="10">
        <f>Tabella8[[#This Row],[Italy cumulative]]-Tabella8[[#This Row],[Lombardy]]</f>
        <v>8257</v>
      </c>
      <c r="S53" s="10">
        <f>Tabella8[[#This Row],[rest of Italy ]]*NOT(ISBLANK(Tabella8[[#This Row],[rest of Italy ]]))</f>
        <v>8257</v>
      </c>
      <c r="T53" s="29">
        <f>Ko*EXP(-EXP(-(Tabella8[[#This Row],[Day]]-t0o)/wo))</f>
        <v>8330.1016597835333</v>
      </c>
      <c r="U53" s="29">
        <f>Tabella8[[#This Row],[rest of Italy fit]]*NOT(ISBLANK(Tabella8[[#This Row],[rest of Italy ]]))</f>
        <v>8330.1016597835333</v>
      </c>
      <c r="V53" s="10">
        <f>Tabella8[[#This Row],[rest of Italy fit]]+CIo</f>
        <v>8403.852463604022</v>
      </c>
      <c r="W53" s="10">
        <f>MAX(Tabella8[[#This Row],[rest of Italy fit]]-CIo,0)</f>
        <v>8256.3508559630445</v>
      </c>
    </row>
    <row r="54" spans="2:26" x14ac:dyDescent="0.3">
      <c r="B54" s="9">
        <v>43931</v>
      </c>
      <c r="C54" s="4">
        <f t="shared" si="0"/>
        <v>46</v>
      </c>
      <c r="D54" s="10">
        <f>'dpc-covid19-ita-andamento-naz'!K48</f>
        <v>18849</v>
      </c>
      <c r="E54" s="10">
        <f>Tabella8[[#This Row],[Italy cumulative]]*NOT(ISBLANK(Tabella8[[#This Row],[Italy cumulative]]))</f>
        <v>18849</v>
      </c>
      <c r="F54" s="10">
        <f>Tabella8[[#This Row],[Lombardy fit]]+Tabella8[[#This Row],[rest of Italy fit]]</f>
        <v>18929.672540614971</v>
      </c>
      <c r="G54" s="10">
        <f>Tabella8[[#This Row],[Italy sum]]*NOT(ISBLANK(Tabella8[[#This Row],[Italy cumulative]]))</f>
        <v>18929.672540614971</v>
      </c>
      <c r="H54" s="29">
        <f>Kt*EXP(-EXP(-(Tabella8[[#This Row],[Day]]-t0t)/wt))</f>
        <v>18920.644215406708</v>
      </c>
      <c r="I54" s="10">
        <f>Tabella8[[#This Row],[Italy fit]]*NOT(ISBLANK(Tabella8[[#This Row],[Italy cumulative]]))</f>
        <v>18920.644215406708</v>
      </c>
      <c r="J54" s="10">
        <f>Tabella8[[#This Row],[Italy sum]]+CI</f>
        <v>19142.286078749017</v>
      </c>
      <c r="K54" s="10">
        <f>MAX(Tabella8[[#This Row],[Italy sum]]-CI,0)</f>
        <v>18717.059002480924</v>
      </c>
      <c r="L54" s="4">
        <v>10238</v>
      </c>
      <c r="M54" s="10">
        <f>Tabella8[[#This Row],[Lombardy]]*NOT(ISBLANK(Tabella8[[#This Row],[Lombardy]]))</f>
        <v>10238</v>
      </c>
      <c r="N54" s="29">
        <f>Kr*EXP(-EXP(-(Tabella8[[#This Row],[Day]]-t0r)/wr))</f>
        <v>10295.339857971596</v>
      </c>
      <c r="O54" s="10">
        <f>Tabella8[[#This Row],[Lombardy fit]]*NOT(ISBLANK(Tabella8[[#This Row],[Lombardy]]))</f>
        <v>10295.339857971596</v>
      </c>
      <c r="P54" s="10">
        <f>Tabella8[[#This Row],[Lombardy fit]]+CIr</f>
        <v>10474.676075178866</v>
      </c>
      <c r="Q54" s="10">
        <f>MAX(Tabella8[[#This Row],[Lombardy fit]]-CIr,0)</f>
        <v>10116.003640764326</v>
      </c>
      <c r="R54" s="10">
        <f>Tabella8[[#This Row],[Italy cumulative]]-Tabella8[[#This Row],[Lombardy]]</f>
        <v>8611</v>
      </c>
      <c r="S54" s="10">
        <f>Tabella8[[#This Row],[rest of Italy ]]*NOT(ISBLANK(Tabella8[[#This Row],[rest of Italy ]]))</f>
        <v>8611</v>
      </c>
      <c r="T54" s="29">
        <f>Ko*EXP(-EXP(-(Tabella8[[#This Row],[Day]]-t0o)/wo))</f>
        <v>8634.3326826433768</v>
      </c>
      <c r="U54" s="29">
        <f>Tabella8[[#This Row],[rest of Italy fit]]*NOT(ISBLANK(Tabella8[[#This Row],[rest of Italy ]]))</f>
        <v>8634.3326826433768</v>
      </c>
      <c r="V54" s="10">
        <f>Tabella8[[#This Row],[rest of Italy fit]]+CIo</f>
        <v>8708.0834864638655</v>
      </c>
      <c r="W54" s="10">
        <f>MAX(Tabella8[[#This Row],[rest of Italy fit]]-CIo,0)</f>
        <v>8560.581878822888</v>
      </c>
    </row>
    <row r="55" spans="2:26" x14ac:dyDescent="0.3">
      <c r="B55" s="9">
        <v>43932</v>
      </c>
      <c r="C55" s="4">
        <f t="shared" si="0"/>
        <v>47</v>
      </c>
      <c r="D55" s="10">
        <f>'dpc-covid19-ita-andamento-naz'!K49</f>
        <v>19468</v>
      </c>
      <c r="E55" s="10">
        <f>Tabella8[[#This Row],[Italy cumulative]]*NOT(ISBLANK(Tabella8[[#This Row],[Italy cumulative]]))</f>
        <v>19468</v>
      </c>
      <c r="F55" s="10">
        <f>Tabella8[[#This Row],[Lombardy fit]]+Tabella8[[#This Row],[rest of Italy fit]]</f>
        <v>19462.440336187894</v>
      </c>
      <c r="G55" s="10">
        <f>Tabella8[[#This Row],[Italy sum]]*NOT(ISBLANK(Tabella8[[#This Row],[Italy cumulative]]))</f>
        <v>19462.440336187894</v>
      </c>
      <c r="H55" s="29">
        <f>Kt*EXP(-EXP(-(Tabella8[[#This Row],[Day]]-t0t)/wt))</f>
        <v>19449.519571336943</v>
      </c>
      <c r="I55" s="10">
        <f>Tabella8[[#This Row],[Italy fit]]*NOT(ISBLANK(Tabella8[[#This Row],[Italy cumulative]]))</f>
        <v>19449.519571336943</v>
      </c>
      <c r="J55" s="10">
        <f>Tabella8[[#This Row],[Italy sum]]+CI</f>
        <v>19675.05387432194</v>
      </c>
      <c r="K55" s="10">
        <f>MAX(Tabella8[[#This Row],[Italy sum]]-CI,0)</f>
        <v>19249.826798053848</v>
      </c>
      <c r="L55" s="4">
        <v>10511</v>
      </c>
      <c r="M55" s="10">
        <f>Tabella8[[#This Row],[Lombardy]]*NOT(ISBLANK(Tabella8[[#This Row],[Lombardy]]))</f>
        <v>10511</v>
      </c>
      <c r="N55" s="29">
        <f>Kr*EXP(-EXP(-(Tabella8[[#This Row],[Day]]-t0r)/wr))</f>
        <v>10535.646570700603</v>
      </c>
      <c r="O55" s="10">
        <f>Tabella8[[#This Row],[Lombardy fit]]*NOT(ISBLANK(Tabella8[[#This Row],[Lombardy]]))</f>
        <v>10535.646570700603</v>
      </c>
      <c r="P55" s="10">
        <f>Tabella8[[#This Row],[Lombardy fit]]+CIr</f>
        <v>10714.982787907873</v>
      </c>
      <c r="Q55" s="10">
        <f>MAX(Tabella8[[#This Row],[Lombardy fit]]-CIr,0)</f>
        <v>10356.310353493333</v>
      </c>
      <c r="R55" s="10">
        <f>Tabella8[[#This Row],[Italy cumulative]]-Tabella8[[#This Row],[Lombardy]]</f>
        <v>8957</v>
      </c>
      <c r="S55" s="10">
        <f>Tabella8[[#This Row],[rest of Italy ]]*NOT(ISBLANK(Tabella8[[#This Row],[rest of Italy ]]))</f>
        <v>8957</v>
      </c>
      <c r="T55" s="29">
        <f>Ko*EXP(-EXP(-(Tabella8[[#This Row],[Day]]-t0o)/wo))</f>
        <v>8926.7937654872894</v>
      </c>
      <c r="U55" s="29">
        <f>Tabella8[[#This Row],[rest of Italy fit]]*NOT(ISBLANK(Tabella8[[#This Row],[rest of Italy ]]))</f>
        <v>8926.7937654872894</v>
      </c>
      <c r="V55" s="10">
        <f>Tabella8[[#This Row],[rest of Italy fit]]+CIo</f>
        <v>9000.5445693077781</v>
      </c>
      <c r="W55" s="10">
        <f>MAX(Tabella8[[#This Row],[rest of Italy fit]]-CIo,0)</f>
        <v>8853.0429616668007</v>
      </c>
    </row>
    <row r="56" spans="2:26" x14ac:dyDescent="0.3">
      <c r="B56" s="9">
        <v>43933</v>
      </c>
      <c r="C56" s="4">
        <f t="shared" si="0"/>
        <v>48</v>
      </c>
      <c r="D56" s="10">
        <f>'dpc-covid19-ita-andamento-naz'!K50</f>
        <v>19899</v>
      </c>
      <c r="E56" s="10">
        <f>Tabella8[[#This Row],[Italy cumulative]]*NOT(ISBLANK(Tabella8[[#This Row],[Italy cumulative]]))</f>
        <v>19899</v>
      </c>
      <c r="F56" s="10">
        <f>Tabella8[[#This Row],[Lombardy fit]]+Tabella8[[#This Row],[rest of Italy fit]]</f>
        <v>19969.260976872298</v>
      </c>
      <c r="G56" s="10">
        <f>Tabella8[[#This Row],[Italy sum]]*NOT(ISBLANK(Tabella8[[#This Row],[Italy cumulative]]))</f>
        <v>19969.260976872298</v>
      </c>
      <c r="H56" s="29">
        <f>Kt*EXP(-EXP(-(Tabella8[[#This Row],[Day]]-t0t)/wt))</f>
        <v>19952.210877943224</v>
      </c>
      <c r="I56" s="10">
        <f>Tabella8[[#This Row],[Italy fit]]*NOT(ISBLANK(Tabella8[[#This Row],[Italy cumulative]]))</f>
        <v>19952.210877943224</v>
      </c>
      <c r="J56" s="10">
        <f>Tabella8[[#This Row],[Italy sum]]+CI</f>
        <v>20181.874515006344</v>
      </c>
      <c r="K56" s="10">
        <f>MAX(Tabella8[[#This Row],[Italy sum]]-CI,0)</f>
        <v>19756.647438738251</v>
      </c>
      <c r="L56" s="4">
        <v>10621</v>
      </c>
      <c r="M56" s="10">
        <f>Tabella8[[#This Row],[Lombardy]]*NOT(ISBLANK(Tabella8[[#This Row],[Lombardy]]))</f>
        <v>10621</v>
      </c>
      <c r="N56" s="29">
        <f>Kr*EXP(-EXP(-(Tabella8[[#This Row],[Day]]-t0r)/wr))</f>
        <v>10762.013605976434</v>
      </c>
      <c r="O56" s="10">
        <f>Tabella8[[#This Row],[Lombardy fit]]*NOT(ISBLANK(Tabella8[[#This Row],[Lombardy]]))</f>
        <v>10762.013605976434</v>
      </c>
      <c r="P56" s="10">
        <f>Tabella8[[#This Row],[Lombardy fit]]+CIr</f>
        <v>10941.349823183704</v>
      </c>
      <c r="Q56" s="10">
        <f>MAX(Tabella8[[#This Row],[Lombardy fit]]-CIr,0)</f>
        <v>10582.677388769163</v>
      </c>
      <c r="R56" s="10">
        <f>Tabella8[[#This Row],[Italy cumulative]]-Tabella8[[#This Row],[Lombardy]]</f>
        <v>9278</v>
      </c>
      <c r="S56" s="10">
        <f>Tabella8[[#This Row],[rest of Italy ]]*NOT(ISBLANK(Tabella8[[#This Row],[rest of Italy ]]))</f>
        <v>9278</v>
      </c>
      <c r="T56" s="29">
        <f>Ko*EXP(-EXP(-(Tabella8[[#This Row],[Day]]-t0o)/wo))</f>
        <v>9207.2473708958623</v>
      </c>
      <c r="U56" s="29">
        <f>Tabella8[[#This Row],[rest of Italy fit]]*NOT(ISBLANK(Tabella8[[#This Row],[rest of Italy ]]))</f>
        <v>9207.2473708958623</v>
      </c>
      <c r="V56" s="10">
        <f>Tabella8[[#This Row],[rest of Italy fit]]+CIo</f>
        <v>9280.9981747163511</v>
      </c>
      <c r="W56" s="10">
        <f>MAX(Tabella8[[#This Row],[rest of Italy fit]]-CIo,0)</f>
        <v>9133.4965670753736</v>
      </c>
    </row>
    <row r="57" spans="2:26" x14ac:dyDescent="0.3">
      <c r="B57" s="9">
        <v>43934</v>
      </c>
      <c r="C57" s="4">
        <f t="shared" si="0"/>
        <v>49</v>
      </c>
      <c r="D57" s="10"/>
      <c r="E57" s="10">
        <f>Tabella8[[#This Row],[Italy cumulative]]*NOT(ISBLANK(Tabella8[[#This Row],[Italy cumulative]]))</f>
        <v>0</v>
      </c>
      <c r="F57" s="10">
        <f>Tabella8[[#This Row],[Lombardy fit]]+Tabella8[[#This Row],[rest of Italy fit]]</f>
        <v>20450.449154863833</v>
      </c>
      <c r="G57" s="10">
        <f>Tabella8[[#This Row],[Italy sum]]*NOT(ISBLANK(Tabella8[[#This Row],[Italy cumulative]]))</f>
        <v>0</v>
      </c>
      <c r="H57" s="29">
        <f>Kt*EXP(-EXP(-(Tabella8[[#This Row],[Day]]-t0t)/wt))</f>
        <v>20429.072124159349</v>
      </c>
      <c r="I57" s="10">
        <f>Tabella8[[#This Row],[Italy fit]]*NOT(ISBLANK(Tabella8[[#This Row],[Italy cumulative]]))</f>
        <v>0</v>
      </c>
      <c r="J57" s="10"/>
      <c r="K57" s="10"/>
      <c r="M57" s="10">
        <f>Tabella8[[#This Row],[Lombardy]]*NOT(ISBLANK(Tabella8[[#This Row],[Lombardy]]))</f>
        <v>0</v>
      </c>
      <c r="N57" s="29">
        <f>Kr*EXP(-EXP(-(Tabella8[[#This Row],[Day]]-t0r)/wr))</f>
        <v>10974.878242477649</v>
      </c>
      <c r="O57" s="10">
        <f>Tabella8[[#This Row],[Lombardy fit]]*NOT(ISBLANK(Tabella8[[#This Row],[Lombardy]]))</f>
        <v>0</v>
      </c>
      <c r="S57" s="10">
        <f>Tabella8[[#This Row],[rest of Italy ]]*NOT(ISBLANK(Tabella8[[#This Row],[rest of Italy ]]))</f>
        <v>0</v>
      </c>
      <c r="T57" s="29">
        <f>Ko*EXP(-EXP(-(Tabella8[[#This Row],[Day]]-t0o)/wo))</f>
        <v>9475.5709123861816</v>
      </c>
      <c r="U57" s="29">
        <f>Tabella8[[#This Row],[rest of Italy fit]]*NOT(ISBLANK(Tabella8[[#This Row],[rest of Italy ]]))</f>
        <v>0</v>
      </c>
    </row>
    <row r="58" spans="2:26" x14ac:dyDescent="0.3">
      <c r="B58" s="9">
        <v>43935</v>
      </c>
      <c r="C58" s="4">
        <f t="shared" si="0"/>
        <v>50</v>
      </c>
      <c r="D58" s="10"/>
      <c r="E58" s="10">
        <f>Tabella8[[#This Row],[Italy cumulative]]*NOT(ISBLANK(Tabella8[[#This Row],[Italy cumulative]]))</f>
        <v>0</v>
      </c>
      <c r="F58" s="10">
        <f>Tabella8[[#This Row],[Lombardy fit]]+Tabella8[[#This Row],[rest of Italy fit]]</f>
        <v>20906.467995828167</v>
      </c>
      <c r="G58" s="10">
        <f>Tabella8[[#This Row],[Italy sum]]*NOT(ISBLANK(Tabella8[[#This Row],[Italy cumulative]]))</f>
        <v>0</v>
      </c>
      <c r="H58" s="29">
        <f>Kt*EXP(-EXP(-(Tabella8[[#This Row],[Day]]-t0t)/wt))</f>
        <v>20880.604677802461</v>
      </c>
      <c r="I58" s="10">
        <f>Tabella8[[#This Row],[Italy fit]]*NOT(ISBLANK(Tabella8[[#This Row],[Italy cumulative]]))</f>
        <v>0</v>
      </c>
      <c r="J58" s="10"/>
      <c r="K58" s="10"/>
      <c r="M58" s="10">
        <f>Tabella8[[#This Row],[Lombardy]]*NOT(ISBLANK(Tabella8[[#This Row],[Lombardy]]))</f>
        <v>0</v>
      </c>
      <c r="N58" s="29">
        <f>Kr*EXP(-EXP(-(Tabella8[[#This Row],[Day]]-t0r)/wr))</f>
        <v>11174.724687765691</v>
      </c>
      <c r="O58" s="10">
        <f>Tabella8[[#This Row],[Lombardy fit]]*NOT(ISBLANK(Tabella8[[#This Row],[Lombardy]]))</f>
        <v>0</v>
      </c>
      <c r="S58" s="10">
        <f>Tabella8[[#This Row],[rest of Italy ]]*NOT(ISBLANK(Tabella8[[#This Row],[rest of Italy ]]))</f>
        <v>0</v>
      </c>
      <c r="T58" s="29">
        <f>Ko*EXP(-EXP(-(Tabella8[[#This Row],[Day]]-t0o)/wo))</f>
        <v>9731.743308062476</v>
      </c>
      <c r="U58" s="29">
        <f>Tabella8[[#This Row],[rest of Italy fit]]*NOT(ISBLANK(Tabella8[[#This Row],[rest of Italy ]]))</f>
        <v>0</v>
      </c>
    </row>
    <row r="59" spans="2:26" x14ac:dyDescent="0.3">
      <c r="B59" s="9">
        <v>43936</v>
      </c>
      <c r="C59" s="4">
        <f t="shared" si="0"/>
        <v>51</v>
      </c>
      <c r="D59" s="10"/>
      <c r="E59" s="10">
        <f>Tabella8[[#This Row],[Italy cumulative]]*NOT(ISBLANK(Tabella8[[#This Row],[Italy cumulative]]))</f>
        <v>0</v>
      </c>
      <c r="F59" s="10">
        <f>Tabella8[[#This Row],[Lombardy fit]]+Tabella8[[#This Row],[rest of Italy fit]]</f>
        <v>21337.903669738582</v>
      </c>
      <c r="G59" s="10">
        <f>Tabella8[[#This Row],[Italy sum]]*NOT(ISBLANK(Tabella8[[#This Row],[Italy cumulative]]))</f>
        <v>0</v>
      </c>
      <c r="H59" s="29">
        <f>Kt*EXP(-EXP(-(Tabella8[[#This Row],[Day]]-t0t)/wt))</f>
        <v>21307.431316466937</v>
      </c>
      <c r="I59" s="10">
        <f>Tabella8[[#This Row],[Italy fit]]*NOT(ISBLANK(Tabella8[[#This Row],[Italy cumulative]]))</f>
        <v>0</v>
      </c>
      <c r="J59" s="10"/>
      <c r="K59" s="10"/>
      <c r="M59" s="10">
        <f>Tabella8[[#This Row],[Lombardy]]*NOT(ISBLANK(Tabella8[[#This Row],[Lombardy]]))</f>
        <v>0</v>
      </c>
      <c r="N59" s="29">
        <f>Kr*EXP(-EXP(-(Tabella8[[#This Row],[Day]]-t0r)/wr))</f>
        <v>11362.071693392834</v>
      </c>
      <c r="O59" s="10">
        <f>Tabella8[[#This Row],[Lombardy fit]]*NOT(ISBLANK(Tabella8[[#This Row],[Lombardy]]))</f>
        <v>0</v>
      </c>
      <c r="S59" s="10">
        <f>Tabella8[[#This Row],[rest of Italy ]]*NOT(ISBLANK(Tabella8[[#This Row],[rest of Italy ]]))</f>
        <v>0</v>
      </c>
      <c r="T59" s="29">
        <f>Ko*EXP(-EXP(-(Tabella8[[#This Row],[Day]]-t0o)/wo))</f>
        <v>9975.8319763457494</v>
      </c>
      <c r="U59" s="29">
        <f>Tabella8[[#This Row],[rest of Italy fit]]*NOT(ISBLANK(Tabella8[[#This Row],[rest of Italy ]]))</f>
        <v>0</v>
      </c>
    </row>
    <row r="60" spans="2:26" x14ac:dyDescent="0.3">
      <c r="B60" s="9">
        <v>43937</v>
      </c>
      <c r="C60" s="4">
        <f t="shared" si="0"/>
        <v>52</v>
      </c>
      <c r="D60" s="10"/>
      <c r="E60" s="10">
        <f>Tabella8[[#This Row],[Italy cumulative]]*NOT(ISBLANK(Tabella8[[#This Row],[Italy cumulative]]))</f>
        <v>0</v>
      </c>
      <c r="F60" s="10">
        <f>Tabella8[[#This Row],[Lombardy fit]]+Tabella8[[#This Row],[rest of Italy fit]]</f>
        <v>21745.442247889529</v>
      </c>
      <c r="G60" s="10">
        <f>Tabella8[[#This Row],[Italy sum]]*NOT(ISBLANK(Tabella8[[#This Row],[Italy cumulative]]))</f>
        <v>0</v>
      </c>
      <c r="H60" s="29">
        <f>Kt*EXP(-EXP(-(Tabella8[[#This Row],[Day]]-t0t)/wt))</f>
        <v>21710.27264446062</v>
      </c>
      <c r="I60" s="10">
        <f>Tabella8[[#This Row],[Italy fit]]*NOT(ISBLANK(Tabella8[[#This Row],[Italy cumulative]]))</f>
        <v>0</v>
      </c>
      <c r="J60" s="10"/>
      <c r="K60" s="10"/>
      <c r="M60" s="10">
        <f>Tabella8[[#This Row],[Lombardy]]*NOT(ISBLANK(Tabella8[[#This Row],[Lombardy]]))</f>
        <v>0</v>
      </c>
      <c r="N60" s="29">
        <f>Kr*EXP(-EXP(-(Tabella8[[#This Row],[Day]]-t0r)/wr))</f>
        <v>11537.461776283641</v>
      </c>
      <c r="O60" s="10">
        <f>Tabella8[[#This Row],[Lombardy fit]]*NOT(ISBLANK(Tabella8[[#This Row],[Lombardy]]))</f>
        <v>0</v>
      </c>
      <c r="S60" s="10">
        <f>Tabella8[[#This Row],[rest of Italy ]]*NOT(ISBLANK(Tabella8[[#This Row],[rest of Italy ]]))</f>
        <v>0</v>
      </c>
      <c r="T60" s="29">
        <f>Ko*EXP(-EXP(-(Tabella8[[#This Row],[Day]]-t0o)/wo))</f>
        <v>10207.980471605888</v>
      </c>
      <c r="U60" s="29">
        <f>Tabella8[[#This Row],[rest of Italy fit]]*NOT(ISBLANK(Tabella8[[#This Row],[rest of Italy ]]))</f>
        <v>0</v>
      </c>
    </row>
    <row r="61" spans="2:26" x14ac:dyDescent="0.3">
      <c r="B61" s="9">
        <v>43938</v>
      </c>
      <c r="C61" s="4">
        <f t="shared" si="0"/>
        <v>53</v>
      </c>
      <c r="D61" s="10"/>
      <c r="E61" s="10">
        <f>Tabella8[[#This Row],[Italy cumulative]]*NOT(ISBLANK(Tabella8[[#This Row],[Italy cumulative]]))</f>
        <v>0</v>
      </c>
      <c r="F61" s="10">
        <f>Tabella8[[#This Row],[Lombardy fit]]+Tabella8[[#This Row],[rest of Italy fit]]</f>
        <v>22129.848845721244</v>
      </c>
      <c r="G61" s="10">
        <f>Tabella8[[#This Row],[Italy sum]]*NOT(ISBLANK(Tabella8[[#This Row],[Italy cumulative]]))</f>
        <v>0</v>
      </c>
      <c r="H61" s="29">
        <f>Kt*EXP(-EXP(-(Tabella8[[#This Row],[Day]]-t0t)/wt))</f>
        <v>22089.925920412668</v>
      </c>
      <c r="I61" s="10">
        <f>Tabella8[[#This Row],[Italy fit]]*NOT(ISBLANK(Tabella8[[#This Row],[Italy cumulative]]))</f>
        <v>0</v>
      </c>
      <c r="J61" s="10"/>
      <c r="K61" s="10"/>
      <c r="M61" s="10">
        <f>Tabella8[[#This Row],[Lombardy]]*NOT(ISBLANK(Tabella8[[#This Row],[Lombardy]]))</f>
        <v>0</v>
      </c>
      <c r="N61" s="29">
        <f>Kr*EXP(-EXP(-(Tabella8[[#This Row],[Day]]-t0r)/wr))</f>
        <v>11701.451946770456</v>
      </c>
      <c r="O61" s="10">
        <f>Tabella8[[#This Row],[Lombardy fit]]*NOT(ISBLANK(Tabella8[[#This Row],[Lombardy]]))</f>
        <v>0</v>
      </c>
      <c r="S61" s="10">
        <f>Tabella8[[#This Row],[rest of Italy ]]*NOT(ISBLANK(Tabella8[[#This Row],[rest of Italy ]]))</f>
        <v>0</v>
      </c>
      <c r="T61" s="29">
        <f>Ko*EXP(-EXP(-(Tabella8[[#This Row],[Day]]-t0o)/wo))</f>
        <v>10428.39689895079</v>
      </c>
      <c r="U61" s="29">
        <f>Tabella8[[#This Row],[rest of Italy fit]]*NOT(ISBLANK(Tabella8[[#This Row],[rest of Italy ]]))</f>
        <v>0</v>
      </c>
    </row>
    <row r="62" spans="2:26" x14ac:dyDescent="0.3">
      <c r="B62" s="9">
        <v>43939</v>
      </c>
      <c r="C62" s="4">
        <f t="shared" si="0"/>
        <v>54</v>
      </c>
      <c r="D62" s="10"/>
      <c r="E62" s="10">
        <f>Tabella8[[#This Row],[Italy cumulative]]*NOT(ISBLANK(Tabella8[[#This Row],[Italy cumulative]]))</f>
        <v>0</v>
      </c>
      <c r="F62" s="10">
        <f>Tabella8[[#This Row],[Lombardy fit]]+Tabella8[[#This Row],[rest of Italy fit]]</f>
        <v>22491.949025545677</v>
      </c>
      <c r="G62" s="10">
        <f>Tabella8[[#This Row],[Italy sum]]*NOT(ISBLANK(Tabella8[[#This Row],[Italy cumulative]]))</f>
        <v>0</v>
      </c>
      <c r="H62" s="29">
        <f>Kt*EXP(-EXP(-(Tabella8[[#This Row],[Day]]-t0t)/wt))</f>
        <v>22447.246253575024</v>
      </c>
      <c r="I62" s="10">
        <f>Tabella8[[#This Row],[Italy fit]]*NOT(ISBLANK(Tabella8[[#This Row],[Italy cumulative]]))</f>
        <v>0</v>
      </c>
      <c r="J62" s="10"/>
      <c r="K62" s="10"/>
      <c r="M62" s="10">
        <f>Tabella8[[#This Row],[Lombardy]]*NOT(ISBLANK(Tabella8[[#This Row],[Lombardy]]))</f>
        <v>0</v>
      </c>
      <c r="N62" s="29">
        <f>Kr*EXP(-EXP(-(Tabella8[[#This Row],[Day]]-t0r)/wr))</f>
        <v>11854.605827468647</v>
      </c>
      <c r="O62" s="10">
        <f>Tabella8[[#This Row],[Lombardy fit]]*NOT(ISBLANK(Tabella8[[#This Row],[Lombardy]]))</f>
        <v>0</v>
      </c>
      <c r="S62" s="10">
        <f>Tabella8[[#This Row],[rest of Italy ]]*NOT(ISBLANK(Tabella8[[#This Row],[rest of Italy ]]))</f>
        <v>0</v>
      </c>
      <c r="T62" s="29">
        <f>Ko*EXP(-EXP(-(Tabella8[[#This Row],[Day]]-t0o)/wo))</f>
        <v>10637.343198077027</v>
      </c>
      <c r="U62" s="29">
        <f>Tabella8[[#This Row],[rest of Italy fit]]*NOT(ISBLANK(Tabella8[[#This Row],[rest of Italy ]]))</f>
        <v>0</v>
      </c>
    </row>
    <row r="63" spans="2:26" x14ac:dyDescent="0.3">
      <c r="B63" s="9">
        <v>43940</v>
      </c>
      <c r="C63" s="4">
        <f t="shared" si="0"/>
        <v>55</v>
      </c>
      <c r="D63" s="10"/>
      <c r="E63" s="10">
        <f>Tabella8[[#This Row],[Italy cumulative]]*NOT(ISBLANK(Tabella8[[#This Row],[Italy cumulative]]))</f>
        <v>0</v>
      </c>
      <c r="F63" s="10">
        <f>Tabella8[[#This Row],[Lombardy fit]]+Tabella8[[#This Row],[rest of Italy fit]]</f>
        <v>22832.612384058841</v>
      </c>
      <c r="G63" s="10">
        <f>Tabella8[[#This Row],[Italy sum]]*NOT(ISBLANK(Tabella8[[#This Row],[Italy cumulative]]))</f>
        <v>0</v>
      </c>
      <c r="H63" s="29">
        <f>Kt*EXP(-EXP(-(Tabella8[[#This Row],[Day]]-t0t)/wt))</f>
        <v>22783.130077522575</v>
      </c>
      <c r="I63" s="10">
        <f>Tabella8[[#This Row],[Italy fit]]*NOT(ISBLANK(Tabella8[[#This Row],[Italy cumulative]]))</f>
        <v>0</v>
      </c>
      <c r="J63" s="10"/>
      <c r="K63" s="10"/>
      <c r="M63" s="10">
        <f>Tabella8[[#This Row],[Lombardy]]*NOT(ISBLANK(Tabella8[[#This Row],[Lombardy]]))</f>
        <v>0</v>
      </c>
      <c r="N63" s="29">
        <f>Kr*EXP(-EXP(-(Tabella8[[#This Row],[Day]]-t0r)/wr))</f>
        <v>11997.487038606978</v>
      </c>
      <c r="O63" s="10">
        <f>Tabella8[[#This Row],[Lombardy fit]]*NOT(ISBLANK(Tabella8[[#This Row],[Lombardy]]))</f>
        <v>0</v>
      </c>
      <c r="S63" s="10">
        <f>Tabella8[[#This Row],[rest of Italy ]]*NOT(ISBLANK(Tabella8[[#This Row],[rest of Italy ]]))</f>
        <v>0</v>
      </c>
      <c r="T63" s="29">
        <f>Ko*EXP(-EXP(-(Tabella8[[#This Row],[Day]]-t0o)/wo))</f>
        <v>10835.125345451863</v>
      </c>
      <c r="U63" s="29">
        <f>Tabella8[[#This Row],[rest of Italy fit]]*NOT(ISBLANK(Tabella8[[#This Row],[rest of Italy ]]))</f>
        <v>0</v>
      </c>
    </row>
    <row r="64" spans="2:26" x14ac:dyDescent="0.3">
      <c r="B64" s="9">
        <v>43941</v>
      </c>
      <c r="C64" s="4">
        <f t="shared" si="0"/>
        <v>56</v>
      </c>
      <c r="D64" s="10"/>
      <c r="E64" s="10">
        <f>Tabella8[[#This Row],[Italy cumulative]]*NOT(ISBLANK(Tabella8[[#This Row],[Italy cumulative]]))</f>
        <v>0</v>
      </c>
      <c r="F64" s="10">
        <f>Tabella8[[#This Row],[Lombardy fit]]+Tabella8[[#This Row],[rest of Italy fit]]</f>
        <v>23152.738214154495</v>
      </c>
      <c r="G64" s="10">
        <f>Tabella8[[#This Row],[Italy sum]]*NOT(ISBLANK(Tabella8[[#This Row],[Italy cumulative]]))</f>
        <v>0</v>
      </c>
      <c r="H64" s="29">
        <f>Kt*EXP(-EXP(-(Tabella8[[#This Row],[Day]]-t0t)/wt))</f>
        <v>23098.50077516415</v>
      </c>
      <c r="I64" s="10">
        <f>Tabella8[[#This Row],[Italy fit]]*NOT(ISBLANK(Tabella8[[#This Row],[Italy cumulative]]))</f>
        <v>0</v>
      </c>
      <c r="J64" s="10"/>
      <c r="K64" s="10"/>
      <c r="M64" s="10">
        <f>Tabella8[[#This Row],[Lombardy]]*NOT(ISBLANK(Tabella8[[#This Row],[Lombardy]]))</f>
        <v>0</v>
      </c>
      <c r="N64" s="29">
        <f>Kr*EXP(-EXP(-(Tabella8[[#This Row],[Day]]-t0r)/wr))</f>
        <v>12130.653722719679</v>
      </c>
      <c r="O64" s="10">
        <f>Tabella8[[#This Row],[Lombardy fit]]*NOT(ISBLANK(Tabella8[[#This Row],[Lombardy]]))</f>
        <v>0</v>
      </c>
      <c r="S64" s="10">
        <f>Tabella8[[#This Row],[rest of Italy ]]*NOT(ISBLANK(Tabella8[[#This Row],[rest of Italy ]]))</f>
        <v>0</v>
      </c>
      <c r="T64" s="29">
        <f>Ko*EXP(-EXP(-(Tabella8[[#This Row],[Day]]-t0o)/wo))</f>
        <v>11022.084491434818</v>
      </c>
      <c r="U64" s="29">
        <f>Tabella8[[#This Row],[rest of Italy fit]]*NOT(ISBLANK(Tabella8[[#This Row],[rest of Italy ]]))</f>
        <v>0</v>
      </c>
    </row>
    <row r="65" spans="2:21" x14ac:dyDescent="0.3">
      <c r="B65" s="9">
        <v>43942</v>
      </c>
      <c r="C65" s="4">
        <f t="shared" si="0"/>
        <v>57</v>
      </c>
      <c r="D65" s="10"/>
      <c r="E65" s="10">
        <f>Tabella8[[#This Row],[Italy cumulative]]*NOT(ISBLANK(Tabella8[[#This Row],[Italy cumulative]]))</f>
        <v>0</v>
      </c>
      <c r="F65" s="10">
        <f>Tabella8[[#This Row],[Lombardy fit]]+Tabella8[[#This Row],[rest of Italy fit]]</f>
        <v>23453.243106652371</v>
      </c>
      <c r="G65" s="10">
        <f>Tabella8[[#This Row],[Italy sum]]*NOT(ISBLANK(Tabella8[[#This Row],[Italy cumulative]]))</f>
        <v>0</v>
      </c>
      <c r="H65" s="29">
        <f>Kt*EXP(-EXP(-(Tabella8[[#This Row],[Day]]-t0t)/wt))</f>
        <v>23394.296306123026</v>
      </c>
      <c r="I65" s="10">
        <f>Tabella8[[#This Row],[Italy fit]]*NOT(ISBLANK(Tabella8[[#This Row],[Italy cumulative]]))</f>
        <v>0</v>
      </c>
      <c r="J65" s="10"/>
      <c r="K65" s="10"/>
      <c r="M65" s="10">
        <f>Tabella8[[#This Row],[Lombardy]]*NOT(ISBLANK(Tabella8[[#This Row],[Lombardy]]))</f>
        <v>0</v>
      </c>
      <c r="N65" s="29">
        <f>Kr*EXP(-EXP(-(Tabella8[[#This Row],[Day]]-t0r)/wr))</f>
        <v>12254.654083267334</v>
      </c>
      <c r="O65" s="10">
        <f>Tabella8[[#This Row],[Lombardy fit]]*NOT(ISBLANK(Tabella8[[#This Row],[Lombardy]]))</f>
        <v>0</v>
      </c>
      <c r="S65" s="10">
        <f>Tabella8[[#This Row],[rest of Italy ]]*NOT(ISBLANK(Tabella8[[#This Row],[rest of Italy ]]))</f>
        <v>0</v>
      </c>
      <c r="T65" s="29">
        <f>Ko*EXP(-EXP(-(Tabella8[[#This Row],[Day]]-t0o)/wo))</f>
        <v>11198.589023385039</v>
      </c>
      <c r="U65" s="29">
        <f>Tabella8[[#This Row],[rest of Italy fit]]*NOT(ISBLANK(Tabella8[[#This Row],[rest of Italy ]]))</f>
        <v>0</v>
      </c>
    </row>
    <row r="66" spans="2:21" x14ac:dyDescent="0.3">
      <c r="B66" s="9">
        <v>43943</v>
      </c>
      <c r="C66" s="4">
        <f t="shared" si="0"/>
        <v>58</v>
      </c>
      <c r="D66" s="10"/>
      <c r="E66" s="10">
        <f>Tabella8[[#This Row],[Italy cumulative]]*NOT(ISBLANK(Tabella8[[#This Row],[Italy cumulative]]))</f>
        <v>0</v>
      </c>
      <c r="F66" s="10">
        <f>Tabella8[[#This Row],[Lombardy fit]]+Tabella8[[#This Row],[rest of Italy fit]]</f>
        <v>23735.050342965118</v>
      </c>
      <c r="G66" s="10">
        <f>Tabella8[[#This Row],[Italy sum]]*NOT(ISBLANK(Tabella8[[#This Row],[Italy cumulative]]))</f>
        <v>0</v>
      </c>
      <c r="H66" s="29">
        <f>Kt*EXP(-EXP(-(Tabella8[[#This Row],[Day]]-t0t)/wt))</f>
        <v>23671.458674295885</v>
      </c>
      <c r="I66" s="10">
        <f>Tabella8[[#This Row],[Italy fit]]*NOT(ISBLANK(Tabella8[[#This Row],[Italy cumulative]]))</f>
        <v>0</v>
      </c>
      <c r="J66" s="10"/>
      <c r="K66" s="10"/>
      <c r="M66" s="10">
        <f>Tabella8[[#This Row],[Lombardy]]*NOT(ISBLANK(Tabella8[[#This Row],[Lombardy]]))</f>
        <v>0</v>
      </c>
      <c r="N66" s="29">
        <f>Kr*EXP(-EXP(-(Tabella8[[#This Row],[Day]]-t0r)/wr))</f>
        <v>12370.02281654951</v>
      </c>
      <c r="O66" s="10">
        <f>Tabella8[[#This Row],[Lombardy fit]]*NOT(ISBLANK(Tabella8[[#This Row],[Lombardy]]))</f>
        <v>0</v>
      </c>
      <c r="S66" s="10">
        <f>Tabella8[[#This Row],[rest of Italy ]]*NOT(ISBLANK(Tabella8[[#This Row],[rest of Italy ]]))</f>
        <v>0</v>
      </c>
      <c r="T66" s="29">
        <f>Ko*EXP(-EXP(-(Tabella8[[#This Row],[Day]]-t0o)/wo))</f>
        <v>11365.027526415608</v>
      </c>
      <c r="U66" s="29">
        <f>Tabella8[[#This Row],[rest of Italy fit]]*NOT(ISBLANK(Tabella8[[#This Row],[rest of Italy ]]))</f>
        <v>0</v>
      </c>
    </row>
    <row r="67" spans="2:21" x14ac:dyDescent="0.3">
      <c r="B67" s="9">
        <v>43944</v>
      </c>
      <c r="C67" s="4">
        <f t="shared" si="0"/>
        <v>59</v>
      </c>
      <c r="D67" s="10"/>
      <c r="E67" s="10">
        <f>Tabella8[[#This Row],[Italy cumulative]]*NOT(ISBLANK(Tabella8[[#This Row],[Italy cumulative]]))</f>
        <v>0</v>
      </c>
      <c r="F67" s="10">
        <f>Tabella8[[#This Row],[Lombardy fit]]+Tabella8[[#This Row],[rest of Italy fit]]</f>
        <v>23999.080922535264</v>
      </c>
      <c r="G67" s="10">
        <f>Tabella8[[#This Row],[Italy sum]]*NOT(ISBLANK(Tabella8[[#This Row],[Italy cumulative]]))</f>
        <v>0</v>
      </c>
      <c r="H67" s="29">
        <f>Kt*EXP(-EXP(-(Tabella8[[#This Row],[Day]]-t0t)/wt))</f>
        <v>23930.925067698729</v>
      </c>
      <c r="I67" s="10">
        <f>Tabella8[[#This Row],[Italy fit]]*NOT(ISBLANK(Tabella8[[#This Row],[Italy cumulative]]))</f>
        <v>0</v>
      </c>
      <c r="J67" s="10"/>
      <c r="K67" s="10"/>
      <c r="M67" s="10">
        <f>Tabella8[[#This Row],[Lombardy]]*NOT(ISBLANK(Tabella8[[#This Row],[Lombardy]]))</f>
        <v>0</v>
      </c>
      <c r="N67" s="29">
        <f>Kr*EXP(-EXP(-(Tabella8[[#This Row],[Day]]-t0r)/wr))</f>
        <v>12477.27832320302</v>
      </c>
      <c r="O67" s="10">
        <f>Tabella8[[#This Row],[Lombardy fit]]*NOT(ISBLANK(Tabella8[[#This Row],[Lombardy]]))</f>
        <v>0</v>
      </c>
      <c r="S67" s="10">
        <f>Tabella8[[#This Row],[rest of Italy ]]*NOT(ISBLANK(Tabella8[[#This Row],[rest of Italy ]]))</f>
        <v>0</v>
      </c>
      <c r="T67" s="29">
        <f>Ko*EXP(-EXP(-(Tabella8[[#This Row],[Day]]-t0o)/wo))</f>
        <v>11521.802599332244</v>
      </c>
      <c r="U67" s="29">
        <f>Tabella8[[#This Row],[rest of Italy fit]]*NOT(ISBLANK(Tabella8[[#This Row],[rest of Italy ]]))</f>
        <v>0</v>
      </c>
    </row>
    <row r="68" spans="2:21" x14ac:dyDescent="0.3">
      <c r="B68" s="9">
        <v>43945</v>
      </c>
      <c r="C68" s="4">
        <f t="shared" si="0"/>
        <v>60</v>
      </c>
      <c r="D68" s="10"/>
      <c r="E68" s="10">
        <f>Tabella8[[#This Row],[Italy cumulative]]*NOT(ISBLANK(Tabella8[[#This Row],[Italy cumulative]]))</f>
        <v>0</v>
      </c>
      <c r="F68" s="10">
        <f>Tabella8[[#This Row],[Lombardy fit]]+Tabella8[[#This Row],[rest of Italy fit]]</f>
        <v>24246.246067416003</v>
      </c>
      <c r="G68" s="10">
        <f>Tabella8[[#This Row],[Italy sum]]*NOT(ISBLANK(Tabella8[[#This Row],[Italy cumulative]]))</f>
        <v>0</v>
      </c>
      <c r="H68" s="29">
        <f>Kt*EXP(-EXP(-(Tabella8[[#This Row],[Day]]-t0t)/wt))</f>
        <v>24173.620502789447</v>
      </c>
      <c r="I68" s="10">
        <f>Tabella8[[#This Row],[Italy fit]]*NOT(ISBLANK(Tabella8[[#This Row],[Italy cumulative]]))</f>
        <v>0</v>
      </c>
      <c r="J68" s="10"/>
      <c r="K68" s="10"/>
      <c r="M68" s="10">
        <f>Tabella8[[#This Row],[Lombardy]]*NOT(ISBLANK(Tabella8[[#This Row],[Lombardy]]))</f>
        <v>0</v>
      </c>
      <c r="N68" s="29">
        <f>Kr*EXP(-EXP(-(Tabella8[[#This Row],[Day]]-t0r)/wr))</f>
        <v>12576.920593852701</v>
      </c>
      <c r="O68" s="10">
        <f>Tabella8[[#This Row],[Lombardy fit]]*NOT(ISBLANK(Tabella8[[#This Row],[Lombardy]]))</f>
        <v>0</v>
      </c>
      <c r="S68" s="10">
        <f>Tabella8[[#This Row],[rest of Italy ]]*NOT(ISBLANK(Tabella8[[#This Row],[rest of Italy ]]))</f>
        <v>0</v>
      </c>
      <c r="T68" s="29">
        <f>Ko*EXP(-EXP(-(Tabella8[[#This Row],[Day]]-t0o)/wo))</f>
        <v>11669.325473563302</v>
      </c>
      <c r="U68" s="29">
        <f>Tabella8[[#This Row],[rest of Italy fit]]*NOT(ISBLANK(Tabella8[[#This Row],[rest of Italy ]]))</f>
        <v>0</v>
      </c>
    </row>
    <row r="69" spans="2:21" x14ac:dyDescent="0.3">
      <c r="B69" s="9">
        <v>43946</v>
      </c>
      <c r="C69" s="4">
        <f t="shared" si="0"/>
        <v>61</v>
      </c>
      <c r="D69" s="10"/>
      <c r="E69" s="10">
        <f>Tabella8[[#This Row],[Italy cumulative]]*NOT(ISBLANK(Tabella8[[#This Row],[Italy cumulative]]))</f>
        <v>0</v>
      </c>
      <c r="F69" s="10">
        <f>Tabella8[[#This Row],[Lombardy fit]]+Tabella8[[#This Row],[rest of Italy fit]]</f>
        <v>24477.441049234963</v>
      </c>
      <c r="G69" s="10">
        <f>Tabella8[[#This Row],[Italy sum]]*NOT(ISBLANK(Tabella8[[#This Row],[Italy cumulative]]))</f>
        <v>0</v>
      </c>
      <c r="H69" s="29">
        <f>Kt*EXP(-EXP(-(Tabella8[[#This Row],[Day]]-t0t)/wt))</f>
        <v>24400.451809831444</v>
      </c>
      <c r="I69" s="10">
        <f>Tabella8[[#This Row],[Italy fit]]*NOT(ISBLANK(Tabella8[[#This Row],[Italy cumulative]]))</f>
        <v>0</v>
      </c>
      <c r="J69" s="10"/>
      <c r="K69" s="10"/>
      <c r="M69" s="10">
        <f>Tabella8[[#This Row],[Lombardy]]*NOT(ISBLANK(Tabella8[[#This Row],[Lombardy]]))</f>
        <v>0</v>
      </c>
      <c r="N69" s="29">
        <f>Kr*EXP(-EXP(-(Tabella8[[#This Row],[Day]]-t0r)/wr))</f>
        <v>12669.429672480675</v>
      </c>
      <c r="O69" s="10">
        <f>Tabella8[[#This Row],[Lombardy fit]]*NOT(ISBLANK(Tabella8[[#This Row],[Lombardy]]))</f>
        <v>0</v>
      </c>
      <c r="S69" s="10">
        <f>Tabella8[[#This Row],[rest of Italy ]]*NOT(ISBLANK(Tabella8[[#This Row],[rest of Italy ]]))</f>
        <v>0</v>
      </c>
      <c r="T69" s="29">
        <f>Ko*EXP(-EXP(-(Tabella8[[#This Row],[Day]]-t0o)/wo))</f>
        <v>11808.01137675429</v>
      </c>
      <c r="U69" s="29">
        <f>Tabella8[[#This Row],[rest of Italy fit]]*NOT(ISBLANK(Tabella8[[#This Row],[rest of Italy ]]))</f>
        <v>0</v>
      </c>
    </row>
    <row r="70" spans="2:21" x14ac:dyDescent="0.3">
      <c r="B70" s="9">
        <v>43947</v>
      </c>
      <c r="C70" s="4">
        <f t="shared" si="0"/>
        <v>62</v>
      </c>
      <c r="D70" s="10"/>
      <c r="E70" s="10">
        <f>Tabella8[[#This Row],[Italy cumulative]]*NOT(ISBLANK(Tabella8[[#This Row],[Italy cumulative]]))</f>
        <v>0</v>
      </c>
      <c r="F70" s="10">
        <f>Tabella8[[#This Row],[Lombardy fit]]+Tabella8[[#This Row],[rest of Italy fit]]</f>
        <v>24693.540189790379</v>
      </c>
      <c r="G70" s="10">
        <f>Tabella8[[#This Row],[Italy sum]]*NOT(ISBLANK(Tabella8[[#This Row],[Italy cumulative]]))</f>
        <v>0</v>
      </c>
      <c r="H70" s="29">
        <f>Kt*EXP(-EXP(-(Tabella8[[#This Row],[Day]]-t0t)/wt))</f>
        <v>24612.302803299553</v>
      </c>
      <c r="I70" s="10">
        <f>Tabella8[[#This Row],[Italy fit]]*NOT(ISBLANK(Tabella8[[#This Row],[Italy cumulative]]))</f>
        <v>0</v>
      </c>
      <c r="J70" s="10"/>
      <c r="K70" s="10"/>
      <c r="M70" s="10">
        <f>Tabella8[[#This Row],[Lombardy]]*NOT(ISBLANK(Tabella8[[#This Row],[Lombardy]]))</f>
        <v>0</v>
      </c>
      <c r="N70" s="29">
        <f>Kr*EXP(-EXP(-(Tabella8[[#This Row],[Day]]-t0r)/wr))</f>
        <v>12755.264610339418</v>
      </c>
      <c r="O70" s="10">
        <f>Tabella8[[#This Row],[Lombardy fit]]*NOT(ISBLANK(Tabella8[[#This Row],[Lombardy]]))</f>
        <v>0</v>
      </c>
      <c r="S70" s="10">
        <f>Tabella8[[#This Row],[rest of Italy ]]*NOT(ISBLANK(Tabella8[[#This Row],[rest of Italy ]]))</f>
        <v>0</v>
      </c>
      <c r="T70" s="29">
        <f>Ko*EXP(-EXP(-(Tabella8[[#This Row],[Day]]-t0o)/wo))</f>
        <v>11938.275579450963</v>
      </c>
      <c r="U70" s="29">
        <f>Tabella8[[#This Row],[rest of Italy fit]]*NOT(ISBLANK(Tabella8[[#This Row],[rest of Italy ]]))</f>
        <v>0</v>
      </c>
    </row>
    <row r="71" spans="2:21" x14ac:dyDescent="0.3">
      <c r="B71" s="9">
        <v>43948</v>
      </c>
      <c r="C71" s="4">
        <f t="shared" si="0"/>
        <v>63</v>
      </c>
      <c r="D71" s="10"/>
      <c r="E71" s="10">
        <f>Tabella8[[#This Row],[Italy cumulative]]*NOT(ISBLANK(Tabella8[[#This Row],[Italy cumulative]]))</f>
        <v>0</v>
      </c>
      <c r="F71" s="10">
        <f>Tabella8[[#This Row],[Lombardy fit]]+Tabella8[[#This Row],[rest of Italy fit]]</f>
        <v>24895.39289471841</v>
      </c>
      <c r="G71" s="10">
        <f>Tabella8[[#This Row],[Italy sum]]*NOT(ISBLANK(Tabella8[[#This Row],[Italy cumulative]]))</f>
        <v>0</v>
      </c>
      <c r="H71" s="29">
        <f>Kt*EXP(-EXP(-(Tabella8[[#This Row],[Day]]-t0t)/wt))</f>
        <v>24810.030490830522</v>
      </c>
      <c r="I71" s="10">
        <f>Tabella8[[#This Row],[Italy fit]]*NOT(ISBLANK(Tabella8[[#This Row],[Italy cumulative]]))</f>
        <v>0</v>
      </c>
      <c r="J71" s="10"/>
      <c r="K71" s="10"/>
      <c r="M71" s="10">
        <f>Tabella8[[#This Row],[Lombardy]]*NOT(ISBLANK(Tabella8[[#This Row],[Lombardy]]))</f>
        <v>0</v>
      </c>
      <c r="N71" s="29">
        <f>Kr*EXP(-EXP(-(Tabella8[[#This Row],[Day]]-t0r)/wr))</f>
        <v>12834.862832409937</v>
      </c>
      <c r="O71" s="10">
        <f>Tabella8[[#This Row],[Lombardy fit]]*NOT(ISBLANK(Tabella8[[#This Row],[Lombardy]]))</f>
        <v>0</v>
      </c>
      <c r="S71" s="10">
        <f>Tabella8[[#This Row],[rest of Italy ]]*NOT(ISBLANK(Tabella8[[#This Row],[rest of Italy ]]))</f>
        <v>0</v>
      </c>
      <c r="T71" s="29">
        <f>Ko*EXP(-EXP(-(Tabella8[[#This Row],[Day]]-t0o)/wo))</f>
        <v>12060.530062308475</v>
      </c>
      <c r="U71" s="29">
        <f>Tabella8[[#This Row],[rest of Italy fit]]*NOT(ISBLANK(Tabella8[[#This Row],[rest of Italy ]]))</f>
        <v>0</v>
      </c>
    </row>
    <row r="72" spans="2:21" x14ac:dyDescent="0.3">
      <c r="B72" s="9">
        <v>43949</v>
      </c>
      <c r="C72" s="4">
        <f t="shared" si="0"/>
        <v>64</v>
      </c>
      <c r="D72" s="10"/>
      <c r="E72" s="10">
        <f>Tabella8[[#This Row],[Italy cumulative]]*NOT(ISBLANK(Tabella8[[#This Row],[Italy cumulative]]))</f>
        <v>0</v>
      </c>
      <c r="F72" s="10">
        <f>Tabella8[[#This Row],[Lombardy fit]]+Tabella8[[#This Row],[rest of Italy fit]]</f>
        <v>25083.820589263181</v>
      </c>
      <c r="G72" s="10">
        <f>Tabella8[[#This Row],[Italy sum]]*NOT(ISBLANK(Tabella8[[#This Row],[Italy cumulative]]))</f>
        <v>0</v>
      </c>
      <c r="H72" s="29">
        <f>Kt*EXP(-EXP(-(Tabella8[[#This Row],[Day]]-t0t)/wt))</f>
        <v>24994.462184989985</v>
      </c>
      <c r="I72" s="10">
        <f>Tabella8[[#This Row],[Italy fit]]*NOT(ISBLANK(Tabella8[[#This Row],[Italy cumulative]]))</f>
        <v>0</v>
      </c>
      <c r="J72" s="10"/>
      <c r="K72" s="10"/>
      <c r="M72" s="10">
        <f>Tabella8[[#This Row],[Lombardy]]*NOT(ISBLANK(Tabella8[[#This Row],[Lombardy]]))</f>
        <v>0</v>
      </c>
      <c r="N72" s="29">
        <f>Kr*EXP(-EXP(-(Tabella8[[#This Row],[Day]]-t0r)/wr))</f>
        <v>12908.639847255872</v>
      </c>
      <c r="O72" s="10">
        <f>Tabella8[[#This Row],[Lombardy fit]]*NOT(ISBLANK(Tabella8[[#This Row],[Lombardy]]))</f>
        <v>0</v>
      </c>
      <c r="S72" s="10">
        <f>Tabella8[[#This Row],[rest of Italy ]]*NOT(ISBLANK(Tabella8[[#This Row],[rest of Italy ]]))</f>
        <v>0</v>
      </c>
      <c r="T72" s="29">
        <f>Ko*EXP(-EXP(-(Tabella8[[#This Row],[Day]]-t0o)/wo))</f>
        <v>12175.180742007309</v>
      </c>
      <c r="U72" s="29">
        <f>Tabella8[[#This Row],[rest of Italy fit]]*NOT(ISBLANK(Tabella8[[#This Row],[rest of Italy ]]))</f>
        <v>0</v>
      </c>
    </row>
    <row r="73" spans="2:21" x14ac:dyDescent="0.3">
      <c r="B73" s="9">
        <v>43950</v>
      </c>
      <c r="C73" s="4">
        <f t="shared" si="0"/>
        <v>65</v>
      </c>
      <c r="D73" s="10"/>
      <c r="E73" s="10">
        <f>Tabella8[[#This Row],[Italy cumulative]]*NOT(ISBLANK(Tabella8[[#This Row],[Italy cumulative]]))</f>
        <v>0</v>
      </c>
      <c r="F73" s="10">
        <f>Tabella8[[#This Row],[Lombardy fit]]+Tabella8[[#This Row],[rest of Italy fit]]</f>
        <v>25259.614435563391</v>
      </c>
      <c r="G73" s="10">
        <f>Tabella8[[#This Row],[Italy sum]]*NOT(ISBLANK(Tabella8[[#This Row],[Italy cumulative]]))</f>
        <v>0</v>
      </c>
      <c r="H73" s="29">
        <f>Kt*EXP(-EXP(-(Tabella8[[#This Row],[Day]]-t0t)/wt))</f>
        <v>25166.393393546146</v>
      </c>
      <c r="I73" s="10">
        <f>Tabella8[[#This Row],[Italy fit]]*NOT(ISBLANK(Tabella8[[#This Row],[Italy cumulative]]))</f>
        <v>0</v>
      </c>
      <c r="J73" s="10"/>
      <c r="K73" s="10"/>
      <c r="M73" s="10">
        <f>Tabella8[[#This Row],[Lombardy]]*NOT(ISBLANK(Tabella8[[#This Row],[Lombardy]]))</f>
        <v>0</v>
      </c>
      <c r="N73" s="29">
        <f>Kr*EXP(-EXP(-(Tabella8[[#This Row],[Day]]-t0r)/wr))</f>
        <v>12976.989239482826</v>
      </c>
      <c r="O73" s="10">
        <f>Tabella8[[#This Row],[Lombardy fit]]*NOT(ISBLANK(Tabella8[[#This Row],[Lombardy]]))</f>
        <v>0</v>
      </c>
      <c r="S73" s="10">
        <f>Tabella8[[#This Row],[rest of Italy ]]*NOT(ISBLANK(Tabella8[[#This Row],[rest of Italy ]]))</f>
        <v>0</v>
      </c>
      <c r="T73" s="29">
        <f>Ko*EXP(-EXP(-(Tabella8[[#This Row],[Day]]-t0o)/wo))</f>
        <v>12282.625196080566</v>
      </c>
      <c r="U73" s="29">
        <f>Tabella8[[#This Row],[rest of Italy fit]]*NOT(ISBLANK(Tabella8[[#This Row],[rest of Italy ]]))</f>
        <v>0</v>
      </c>
    </row>
    <row r="74" spans="2:21" x14ac:dyDescent="0.3">
      <c r="B74" s="9">
        <v>43951</v>
      </c>
      <c r="C74" s="4">
        <f t="shared" ref="C74:C78" si="1">C73+1</f>
        <v>66</v>
      </c>
      <c r="D74" s="10"/>
      <c r="E74" s="10">
        <f>Tabella8[[#This Row],[Italy cumulative]]*NOT(ISBLANK(Tabella8[[#This Row],[Italy cumulative]]))</f>
        <v>0</v>
      </c>
      <c r="F74" s="10">
        <f>Tabella8[[#This Row],[Lombardy fit]]+Tabella8[[#This Row],[rest of Italy fit]]</f>
        <v>25423.533721568529</v>
      </c>
      <c r="G74" s="10">
        <f>Tabella8[[#This Row],[Italy sum]]*NOT(ISBLANK(Tabella8[[#This Row],[Italy cumulative]]))</f>
        <v>0</v>
      </c>
      <c r="H74" s="29">
        <f>Kt*EXP(-EXP(-(Tabella8[[#This Row],[Day]]-t0t)/wt))</f>
        <v>25326.586375534509</v>
      </c>
      <c r="I74" s="10">
        <f>Tabella8[[#This Row],[Italy fit]]*NOT(ISBLANK(Tabella8[[#This Row],[Italy cumulative]]))</f>
        <v>0</v>
      </c>
      <c r="J74" s="10"/>
      <c r="K74" s="10"/>
      <c r="M74" s="10">
        <f>Tabella8[[#This Row],[Lombardy]]*NOT(ISBLANK(Tabella8[[#This Row],[Lombardy]]))</f>
        <v>0</v>
      </c>
      <c r="N74" s="29">
        <f>Kr*EXP(-EXP(-(Tabella8[[#This Row],[Day]]-t0r)/wr))</f>
        <v>13040.282891777269</v>
      </c>
      <c r="O74" s="10">
        <f>Tabella8[[#This Row],[Lombardy fit]]*NOT(ISBLANK(Tabella8[[#This Row],[Lombardy]]))</f>
        <v>0</v>
      </c>
      <c r="S74" s="10">
        <f>Tabella8[[#This Row],[rest of Italy ]]*NOT(ISBLANK(Tabella8[[#This Row],[rest of Italy ]]))</f>
        <v>0</v>
      </c>
      <c r="T74" s="29">
        <f>Ko*EXP(-EXP(-(Tabella8[[#This Row],[Day]]-t0o)/wo))</f>
        <v>12383.250829791259</v>
      </c>
      <c r="U74" s="29">
        <f>Tabella8[[#This Row],[rest of Italy fit]]*NOT(ISBLANK(Tabella8[[#This Row],[rest of Italy ]]))</f>
        <v>0</v>
      </c>
    </row>
    <row r="75" spans="2:21" x14ac:dyDescent="0.3">
      <c r="B75" s="9">
        <v>43952</v>
      </c>
      <c r="C75" s="4">
        <f t="shared" si="1"/>
        <v>67</v>
      </c>
      <c r="D75" s="10"/>
      <c r="E75" s="10">
        <f>Tabella8[[#This Row],[Italy cumulative]]*NOT(ISBLANK(Tabella8[[#This Row],[Italy cumulative]]))</f>
        <v>0</v>
      </c>
      <c r="F75" s="10">
        <f>Tabella8[[#This Row],[Lombardy fit]]+Tabella8[[#This Row],[rest of Italy fit]]</f>
        <v>25576.304822355924</v>
      </c>
      <c r="G75" s="10">
        <f>Tabella8[[#This Row],[Italy sum]]*NOT(ISBLANK(Tabella8[[#This Row],[Italy cumulative]]))</f>
        <v>0</v>
      </c>
      <c r="H75" s="29">
        <f>Kt*EXP(-EXP(-(Tabella8[[#This Row],[Day]]-t0t)/wt))</f>
        <v>25475.769261816509</v>
      </c>
      <c r="I75" s="10">
        <f>Tabella8[[#This Row],[Italy fit]]*NOT(ISBLANK(Tabella8[[#This Row],[Italy cumulative]]))</f>
        <v>0</v>
      </c>
      <c r="J75" s="10"/>
      <c r="K75" s="10"/>
      <c r="M75" s="10">
        <f>Tabella8[[#This Row],[Lombardy]]*NOT(ISBLANK(Tabella8[[#This Row],[Lombardy]]))</f>
        <v>0</v>
      </c>
      <c r="N75" s="29">
        <f>Kr*EXP(-EXP(-(Tabella8[[#This Row],[Day]]-t0r)/wr))</f>
        <v>13098.871390615606</v>
      </c>
      <c r="O75" s="10">
        <f>Tabella8[[#This Row],[Lombardy fit]]*NOT(ISBLANK(Tabella8[[#This Row],[Lombardy]]))</f>
        <v>0</v>
      </c>
      <c r="S75" s="10">
        <f>Tabella8[[#This Row],[rest of Italy ]]*NOT(ISBLANK(Tabella8[[#This Row],[rest of Italy ]]))</f>
        <v>0</v>
      </c>
      <c r="T75" s="29">
        <f>Ko*EXP(-EXP(-(Tabella8[[#This Row],[Day]]-t0o)/wo))</f>
        <v>12477.433431740315</v>
      </c>
      <c r="U75" s="29">
        <f>Tabella8[[#This Row],[rest of Italy fit]]*NOT(ISBLANK(Tabella8[[#This Row],[rest of Italy ]]))</f>
        <v>0</v>
      </c>
    </row>
    <row r="76" spans="2:21" x14ac:dyDescent="0.3">
      <c r="B76" s="9">
        <v>43953</v>
      </c>
      <c r="C76" s="4">
        <f t="shared" si="1"/>
        <v>68</v>
      </c>
      <c r="D76" s="10"/>
      <c r="E76" s="10">
        <f>Tabella8[[#This Row],[Italy cumulative]]*NOT(ISBLANK(Tabella8[[#This Row],[Italy cumulative]]))</f>
        <v>0</v>
      </c>
      <c r="F76" s="10">
        <f>Tabella8[[#This Row],[Lombardy fit]]+Tabella8[[#This Row],[rest of Italy fit]]</f>
        <v>25718.620644976385</v>
      </c>
      <c r="G76" s="10">
        <f>Tabella8[[#This Row],[Italy sum]]*NOT(ISBLANK(Tabella8[[#This Row],[Italy cumulative]]))</f>
        <v>0</v>
      </c>
      <c r="H76" s="29">
        <f>Kt*EXP(-EXP(-(Tabella8[[#This Row],[Day]]-t0t)/wt))</f>
        <v>25614.635649827309</v>
      </c>
      <c r="I76" s="10">
        <f>Tabella8[[#This Row],[Italy fit]]*NOT(ISBLANK(Tabella8[[#This Row],[Italy cumulative]]))</f>
        <v>0</v>
      </c>
      <c r="J76" s="10"/>
      <c r="K76" s="10"/>
      <c r="M76" s="10">
        <f>Tabella8[[#This Row],[Lombardy]]*NOT(ISBLANK(Tabella8[[#This Row],[Lombardy]]))</f>
        <v>0</v>
      </c>
      <c r="N76" s="29">
        <f>Kr*EXP(-EXP(-(Tabella8[[#This Row],[Day]]-t0r)/wr))</f>
        <v>13153.084576181323</v>
      </c>
      <c r="O76" s="10">
        <f>Tabella8[[#This Row],[Lombardy fit]]*NOT(ISBLANK(Tabella8[[#This Row],[Lombardy]]))</f>
        <v>0</v>
      </c>
      <c r="S76" s="10">
        <f>Tabella8[[#This Row],[rest of Italy ]]*NOT(ISBLANK(Tabella8[[#This Row],[rest of Italy ]]))</f>
        <v>0</v>
      </c>
      <c r="T76" s="29">
        <f>Ko*EXP(-EXP(-(Tabella8[[#This Row],[Day]]-t0o)/wo))</f>
        <v>12565.53606879506</v>
      </c>
      <c r="U76" s="29">
        <f>Tabella8[[#This Row],[rest of Italy fit]]*NOT(ISBLANK(Tabella8[[#This Row],[rest of Italy ]]))</f>
        <v>0</v>
      </c>
    </row>
    <row r="77" spans="2:21" x14ac:dyDescent="0.3">
      <c r="B77" s="9">
        <v>43954</v>
      </c>
      <c r="C77" s="4">
        <f t="shared" si="1"/>
        <v>69</v>
      </c>
      <c r="D77" s="10"/>
      <c r="E77" s="10">
        <f>Tabella8[[#This Row],[Italy cumulative]]*NOT(ISBLANK(Tabella8[[#This Row],[Italy cumulative]]))</f>
        <v>0</v>
      </c>
      <c r="F77" s="10">
        <f>Tabella8[[#This Row],[Lombardy fit]]+Tabella8[[#This Row],[rest of Italy fit]]</f>
        <v>25851.140477827561</v>
      </c>
      <c r="G77" s="10">
        <f>Tabella8[[#This Row],[Italy sum]]*NOT(ISBLANK(Tabella8[[#This Row],[Italy cumulative]]))</f>
        <v>0</v>
      </c>
      <c r="H77" s="29">
        <f>Kt*EXP(-EXP(-(Tabella8[[#This Row],[Day]]-t0t)/wt))</f>
        <v>25743.844592601803</v>
      </c>
      <c r="I77" s="10">
        <f>Tabella8[[#This Row],[Italy fit]]*NOT(ISBLANK(Tabella8[[#This Row],[Italy cumulative]]))</f>
        <v>0</v>
      </c>
      <c r="J77" s="10"/>
      <c r="K77" s="10"/>
      <c r="M77" s="10">
        <f>Tabella8[[#This Row],[Lombardy]]*NOT(ISBLANK(Tabella8[[#This Row],[Lombardy]]))</f>
        <v>0</v>
      </c>
      <c r="N77" s="29">
        <f>Kr*EXP(-EXP(-(Tabella8[[#This Row],[Day]]-t0r)/wr))</f>
        <v>13203.232202812262</v>
      </c>
      <c r="O77" s="10">
        <f>Tabella8[[#This Row],[Lombardy fit]]*NOT(ISBLANK(Tabella8[[#This Row],[Lombardy]]))</f>
        <v>0</v>
      </c>
      <c r="S77" s="10">
        <f>Tabella8[[#This Row],[rest of Italy ]]*NOT(ISBLANK(Tabella8[[#This Row],[rest of Italy ]]))</f>
        <v>0</v>
      </c>
      <c r="T77" s="29">
        <f>Ko*EXP(-EXP(-(Tabella8[[#This Row],[Day]]-t0o)/wo))</f>
        <v>12647.908275015299</v>
      </c>
      <c r="U77" s="29">
        <f>Tabella8[[#This Row],[rest of Italy fit]]*NOT(ISBLANK(Tabella8[[#This Row],[rest of Italy ]]))</f>
        <v>0</v>
      </c>
    </row>
    <row r="78" spans="2:21" x14ac:dyDescent="0.3">
      <c r="B78" s="9">
        <v>43955</v>
      </c>
      <c r="C78" s="4">
        <f t="shared" si="1"/>
        <v>70</v>
      </c>
      <c r="D78" s="10"/>
      <c r="E78" s="10">
        <f>Tabella8[[#This Row],[Italy cumulative]]*NOT(ISBLANK(Tabella8[[#This Row],[Italy cumulative]]))</f>
        <v>0</v>
      </c>
      <c r="F78" s="10">
        <f>Tabella8[[#This Row],[Lombardy fit]]+Tabella8[[#This Row],[rest of Italy fit]]</f>
        <v>25974.490174818799</v>
      </c>
      <c r="G78" s="10">
        <f>Tabella8[[#This Row],[Italy sum]]*NOT(ISBLANK(Tabella8[[#This Row],[Italy cumulative]]))</f>
        <v>0</v>
      </c>
      <c r="H78" s="29">
        <f>Kt*EXP(-EXP(-(Tabella8[[#This Row],[Day]]-t0t)/wt))</f>
        <v>25864.020911855074</v>
      </c>
      <c r="I78" s="10">
        <f>Tabella8[[#This Row],[Italy fit]]*NOT(ISBLANK(Tabella8[[#This Row],[Italy cumulative]]))</f>
        <v>0</v>
      </c>
      <c r="J78" s="10"/>
      <c r="K78" s="10"/>
      <c r="M78" s="10">
        <f>Tabella8[[#This Row],[Lombardy]]*NOT(ISBLANK(Tabella8[[#This Row],[Lombardy]]))</f>
        <v>0</v>
      </c>
      <c r="N78" s="29">
        <f>Kr*EXP(-EXP(-(Tabella8[[#This Row],[Day]]-t0r)/wr))</f>
        <v>13249.604681444273</v>
      </c>
      <c r="O78" s="10">
        <f>Tabella8[[#This Row],[Lombardy fit]]*NOT(ISBLANK(Tabella8[[#This Row],[Lombardy]]))</f>
        <v>0</v>
      </c>
      <c r="S78" s="10">
        <f>Tabella8[[#This Row],[rest of Italy ]]*NOT(ISBLANK(Tabella8[[#This Row],[rest of Italy ]]))</f>
        <v>0</v>
      </c>
      <c r="T78" s="29">
        <f>Ko*EXP(-EXP(-(Tabella8[[#This Row],[Day]]-t0o)/wo))</f>
        <v>12724.885493374528</v>
      </c>
      <c r="U78" s="29">
        <f>Tabella8[[#This Row],[rest of Italy fit]]*NOT(ISBLANK(Tabella8[[#This Row],[rest of Italy ]]))</f>
        <v>0</v>
      </c>
    </row>
  </sheetData>
  <mergeCells count="7">
    <mergeCell ref="B2:I2"/>
    <mergeCell ref="H3:I6"/>
    <mergeCell ref="AB3:AF3"/>
    <mergeCell ref="B4:G4"/>
    <mergeCell ref="AB4:AF4"/>
    <mergeCell ref="B5:G5"/>
    <mergeCell ref="AB5:AF5"/>
  </mergeCells>
  <pageMargins left="0.7" right="0.7" top="0.75" bottom="0.75" header="0.3" footer="0.3"/>
  <drawing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406D-92FD-4EA3-85D8-E2226734837A}">
  <dimension ref="B2:AS78"/>
  <sheetViews>
    <sheetView zoomScale="55" zoomScaleNormal="55" workbookViewId="0"/>
  </sheetViews>
  <sheetFormatPr defaultRowHeight="14.4" x14ac:dyDescent="0.3"/>
  <cols>
    <col min="1" max="1" width="2.77734375" style="2" customWidth="1"/>
    <col min="2" max="2" width="8.77734375" style="2" customWidth="1"/>
    <col min="3" max="3" width="14" style="2" bestFit="1" customWidth="1"/>
    <col min="4" max="4" width="20.6640625" style="2" bestFit="1" customWidth="1"/>
    <col min="5" max="5" width="26" style="2" bestFit="1" customWidth="1"/>
    <col min="6" max="6" width="20.109375" style="2" bestFit="1" customWidth="1"/>
    <col min="7" max="7" width="19.88671875" style="2" bestFit="1" customWidth="1"/>
    <col min="8" max="8" width="19.6640625" style="2" bestFit="1" customWidth="1"/>
    <col min="9" max="9" width="19.6640625" style="2" customWidth="1"/>
    <col min="10" max="10" width="14" style="2" bestFit="1" customWidth="1"/>
    <col min="11" max="11" width="14" style="2" customWidth="1"/>
    <col min="12" max="12" width="21.88671875" style="2" bestFit="1" customWidth="1"/>
    <col min="13" max="13" width="20.33203125" style="2" bestFit="1" customWidth="1"/>
    <col min="14" max="14" width="16.109375" style="2" bestFit="1" customWidth="1"/>
    <col min="15" max="15" width="20.6640625" style="2" bestFit="1" customWidth="1"/>
    <col min="16" max="16" width="20.5546875" style="2" bestFit="1" customWidth="1"/>
    <col min="17" max="17" width="21.109375" style="2" bestFit="1" customWidth="1"/>
    <col min="18" max="18" width="19.5546875" style="2" bestFit="1" customWidth="1"/>
    <col min="19" max="19" width="21.88671875" style="2" bestFit="1" customWidth="1"/>
    <col min="20" max="21" width="18.6640625" style="2" bestFit="1" customWidth="1"/>
    <col min="22" max="22" width="17.44140625" style="2" bestFit="1" customWidth="1"/>
    <col min="23" max="23" width="18.109375" style="2" bestFit="1" customWidth="1"/>
    <col min="24" max="24" width="21.88671875" style="2" bestFit="1" customWidth="1"/>
    <col min="25" max="25" width="21.109375" style="2" bestFit="1" customWidth="1"/>
    <col min="26" max="26" width="24" style="2" bestFit="1" customWidth="1"/>
    <col min="27" max="27" width="23.33203125" style="2" bestFit="1" customWidth="1"/>
    <col min="28" max="28" width="21.5546875" style="2" bestFit="1" customWidth="1"/>
    <col min="29" max="29" width="19.33203125" style="2" bestFit="1" customWidth="1"/>
    <col min="30" max="30" width="1.77734375" style="2" customWidth="1"/>
    <col min="31" max="31" width="19.21875" style="2" customWidth="1"/>
    <col min="32" max="32" width="18.77734375" style="2" customWidth="1"/>
    <col min="33" max="34" width="8.88671875" style="2"/>
    <col min="35" max="35" width="17.88671875" style="2" bestFit="1" customWidth="1"/>
    <col min="36" max="36" width="8.88671875" style="2"/>
    <col min="37" max="37" width="11" style="2" bestFit="1" customWidth="1"/>
    <col min="38" max="44" width="8.88671875" style="2"/>
    <col min="45" max="45" width="9.5546875" style="2" bestFit="1" customWidth="1"/>
    <col min="46" max="16384" width="8.88671875" style="2"/>
  </cols>
  <sheetData>
    <row r="2" spans="2:45" ht="24" thickBot="1" x14ac:dyDescent="0.5">
      <c r="B2" s="86" t="s">
        <v>12</v>
      </c>
      <c r="C2" s="86"/>
      <c r="D2" s="86"/>
      <c r="E2" s="86"/>
      <c r="F2" s="86"/>
    </row>
    <row r="3" spans="2:45" ht="17.399999999999999" customHeight="1" thickBot="1" x14ac:dyDescent="0.65">
      <c r="B3" s="11"/>
      <c r="F3" s="87"/>
      <c r="AG3" s="85" t="s">
        <v>0</v>
      </c>
      <c r="AH3" s="88" t="s">
        <v>130</v>
      </c>
      <c r="AI3" s="88"/>
      <c r="AJ3" s="88"/>
      <c r="AK3" s="88"/>
      <c r="AL3" s="88"/>
    </row>
    <row r="4" spans="2:45" ht="20.399999999999999" thickBot="1" x14ac:dyDescent="0.45">
      <c r="B4" s="89" t="s">
        <v>149</v>
      </c>
      <c r="C4" s="89"/>
      <c r="D4" s="89"/>
      <c r="E4" s="89"/>
      <c r="F4" s="87"/>
      <c r="AG4" s="85" t="s">
        <v>131</v>
      </c>
      <c r="AH4" s="88" t="s">
        <v>130</v>
      </c>
      <c r="AI4" s="88"/>
      <c r="AJ4" s="88"/>
      <c r="AK4" s="88"/>
      <c r="AL4" s="88"/>
    </row>
    <row r="5" spans="2:45" ht="18.600000000000001" thickTop="1" thickBot="1" x14ac:dyDescent="0.4">
      <c r="B5" s="90" t="s">
        <v>150</v>
      </c>
      <c r="C5" s="90"/>
      <c r="D5" s="90"/>
      <c r="E5" s="90"/>
      <c r="F5" s="87"/>
      <c r="AG5" s="85" t="s">
        <v>1</v>
      </c>
      <c r="AH5" s="91" t="s">
        <v>130</v>
      </c>
      <c r="AI5" s="91"/>
      <c r="AJ5" s="91"/>
      <c r="AK5" s="91"/>
      <c r="AL5" s="91"/>
    </row>
    <row r="6" spans="2:45" ht="19.2" thickTop="1" thickBot="1" x14ac:dyDescent="0.4">
      <c r="B6" s="44"/>
      <c r="C6" s="44"/>
      <c r="D6" s="44"/>
      <c r="E6" s="44"/>
      <c r="F6" s="87"/>
      <c r="AG6" s="16"/>
      <c r="AH6" s="15"/>
      <c r="AI6" s="12"/>
      <c r="AJ6" s="12"/>
    </row>
    <row r="7" spans="2:45" ht="29.4" thickTop="1" x14ac:dyDescent="0.3">
      <c r="B7" s="4" t="s">
        <v>10</v>
      </c>
      <c r="C7" s="4" t="s">
        <v>11</v>
      </c>
      <c r="D7" s="4" t="s">
        <v>102</v>
      </c>
      <c r="E7" s="4" t="s">
        <v>140</v>
      </c>
      <c r="F7" s="4" t="s">
        <v>115</v>
      </c>
      <c r="G7" s="8" t="s">
        <v>101</v>
      </c>
      <c r="H7" s="8" t="s">
        <v>132</v>
      </c>
      <c r="I7" s="8" t="s">
        <v>88</v>
      </c>
      <c r="J7" s="8" t="s">
        <v>116</v>
      </c>
      <c r="K7" s="8" t="s">
        <v>141</v>
      </c>
      <c r="L7" s="8" t="s">
        <v>103</v>
      </c>
      <c r="M7" s="8" t="s">
        <v>104</v>
      </c>
      <c r="N7" s="4" t="s">
        <v>105</v>
      </c>
      <c r="O7" s="4" t="s">
        <v>86</v>
      </c>
      <c r="P7" s="4" t="s">
        <v>117</v>
      </c>
      <c r="Q7" s="8" t="s">
        <v>106</v>
      </c>
      <c r="R7" s="8" t="s">
        <v>133</v>
      </c>
      <c r="S7" s="4" t="s">
        <v>142</v>
      </c>
      <c r="T7" s="8" t="s">
        <v>111</v>
      </c>
      <c r="U7" s="8" t="s">
        <v>112</v>
      </c>
      <c r="V7" s="4" t="s">
        <v>107</v>
      </c>
      <c r="W7" s="4" t="s">
        <v>138</v>
      </c>
      <c r="X7" s="4" t="s">
        <v>143</v>
      </c>
      <c r="Y7" s="8" t="s">
        <v>108</v>
      </c>
      <c r="Z7" s="8" t="s">
        <v>135</v>
      </c>
      <c r="AA7" s="4" t="s">
        <v>144</v>
      </c>
      <c r="AB7" s="8" t="s">
        <v>109</v>
      </c>
      <c r="AC7" s="8" t="s">
        <v>110</v>
      </c>
      <c r="AD7" s="8"/>
      <c r="AE7" s="45" t="s">
        <v>136</v>
      </c>
      <c r="AF7" s="28" t="s">
        <v>132</v>
      </c>
      <c r="AG7" s="3"/>
      <c r="AS7" s="72" t="s">
        <v>114</v>
      </c>
    </row>
    <row r="8" spans="2:45" x14ac:dyDescent="0.3">
      <c r="B8" s="18">
        <v>43885</v>
      </c>
      <c r="C8" s="4">
        <v>0</v>
      </c>
      <c r="D8" s="10">
        <f>'dpc-covid19-ita-andamento-naz'!K2</f>
        <v>7</v>
      </c>
      <c r="E8" s="46"/>
      <c r="F8" s="10">
        <f>Tabella3[[#This Row],[Italy]]*NOT(ISBLANK(Tabella3[[#This Row],[Italy]]))</f>
        <v>0</v>
      </c>
      <c r="G8" s="10">
        <f>Tabella3[[#This Row],[Cum_L_fit]]+Tabella3[[#This Row],[Cum_o_fit]]</f>
        <v>5.2638232508796755E-2</v>
      </c>
      <c r="H8" s="10">
        <f>Tabella3[[#This Row],[Lombardy fit]]+Tabella3[[#This Row],[rest of Italy fit]]</f>
        <v>5.4791932473463159E-2</v>
      </c>
      <c r="I8" s="10">
        <f>Kf*EXP(-EXP(-(Tabella3[[#This Row],[Day]]-t0f)/wf))*EXP(-(Tabella3[[#This Row],[Day]]-t0f)/wf)/wf</f>
        <v>6.3205348051973961E-2</v>
      </c>
      <c r="J8" s="10">
        <f>Tabella3[[#This Row],[Italy sum]]*NOT(ISBLANK(Tabella3[[#This Row],[Italy]]))</f>
        <v>0</v>
      </c>
      <c r="K8" s="10">
        <f>Tabella3[[#This Row],[Italy fit]]*NOT(ISBLANK(Tabella3[[#This Row],[Italy]]))</f>
        <v>0</v>
      </c>
      <c r="L8" s="10">
        <f>Tabella3[[#This Row],[Italy sum]]+CIw</f>
        <v>136.73420751356295</v>
      </c>
      <c r="M8" s="10">
        <f>MAX(Tabella3[[#This Row],[Italy sum]]-CIw,0)</f>
        <v>0</v>
      </c>
      <c r="N8" s="4">
        <v>6</v>
      </c>
      <c r="O8" s="46"/>
      <c r="P8" s="10">
        <f>Tabella3[[#This Row],[Lombardy]]*NOT(ISBLANK(Tabella3[[#This Row],[Lombardy]]))</f>
        <v>0</v>
      </c>
      <c r="Q8" s="10">
        <f>Kl*EXP(-EXP(-(Tabella3[[#This Row],[Day]]-t0l)/wl))</f>
        <v>4.1937547951869318E-2</v>
      </c>
      <c r="R8" s="10">
        <f>Kl*EXP(-EXP(-(Tabella3[[#This Row],[Day]]-t0l)/wl))*EXP(-(Tabella3[[#This Row],[Day]]-t0l)/wl)/wl</f>
        <v>4.3646501534211436E-2</v>
      </c>
      <c r="S8" s="10">
        <f>Tabella3[[#This Row],[Lombardy fit]]*NOT(ISBLANK(Tabella3[[#This Row],[Lombardy]]))</f>
        <v>0</v>
      </c>
      <c r="T8" s="10">
        <f>Tabella3[[#This Row],[Lombardy fit]]+CIl</f>
        <v>121.19333207030647</v>
      </c>
      <c r="U8" s="10">
        <f>MAX(Tabella3[[#This Row],[Lombardy fit]]-CIl,0)</f>
        <v>0</v>
      </c>
      <c r="V8" s="10">
        <f>Tabella3[[#This Row],[Cum_Italy]]-Tabella3[[#This Row],[Cum_Lom]]</f>
        <v>1</v>
      </c>
      <c r="W8" s="46"/>
      <c r="X8" s="10">
        <f>Tabella3[[#This Row],[rest of Italy]]*NOT(ISBLANK(Tabella3[[#This Row],[rest of Italy]]))</f>
        <v>0</v>
      </c>
      <c r="Y8" s="10">
        <f>Ka*EXP(-EXP(-(Tabella3[[#This Row],[Day]]-t0a)/wa))</f>
        <v>1.0700684556927438E-2</v>
      </c>
      <c r="Z8" s="10">
        <f>Ka*EXP(-EXP(-(Tabella3[[#This Row],[Day]]-t0a)/wa))*EXP(-(Tabella3[[#This Row],[Day]]-t0a)/wa)/wa</f>
        <v>1.1145430939251725E-2</v>
      </c>
      <c r="AA8" s="10">
        <f>Tabella3[[#This Row],[rest of Italy fit]]*NOT(ISBLANK(Tabella3[[#This Row],[rest of Italy]]))</f>
        <v>0</v>
      </c>
      <c r="AB8" s="10">
        <f>Tabella3[[#This Row],[rest of Italy fit]]+CIa</f>
        <v>66.308450043615622</v>
      </c>
      <c r="AC8" s="10">
        <f>MAX(Tabella3[[#This Row],[rest of Italy fit]]-CIa,0)</f>
        <v>0</v>
      </c>
      <c r="AD8" s="8"/>
      <c r="AE8" s="30"/>
      <c r="AF8" s="31"/>
      <c r="AG8" s="3"/>
      <c r="AS8" s="92" t="s">
        <v>148</v>
      </c>
    </row>
    <row r="9" spans="2:45" x14ac:dyDescent="0.3">
      <c r="B9" s="9">
        <v>43886</v>
      </c>
      <c r="C9" s="4">
        <f>C8+1</f>
        <v>1</v>
      </c>
      <c r="D9" s="10">
        <f>'dpc-covid19-ita-andamento-naz'!K3</f>
        <v>10</v>
      </c>
      <c r="E9" s="10">
        <f>Tabella3[[#This Row],[Cum_Italy]]-D8</f>
        <v>3</v>
      </c>
      <c r="F9" s="10">
        <f>Tabella3[[#This Row],[Italy]]*NOT(ISBLANK(Tabella3[[#This Row],[Italy]]))</f>
        <v>3</v>
      </c>
      <c r="G9" s="10">
        <f>Tabella3[[#This Row],[Cum_L_fit]]+Tabella3[[#This Row],[Cum_o_fit]]</f>
        <v>0.14311613765579281</v>
      </c>
      <c r="H9" s="10">
        <f>Tabella3[[#This Row],[Lombardy fit]]+Tabella3[[#This Row],[rest of Italy fit]]</f>
        <v>0.13747620954622158</v>
      </c>
      <c r="I9" s="10">
        <f>Kf*EXP(-EXP(-(Tabella3[[#This Row],[Day]]-t0f)/wf))*EXP(-(Tabella3[[#This Row],[Day]]-t0f)/wf)/wf</f>
        <v>0.153713273228547</v>
      </c>
      <c r="J9" s="10">
        <f>Tabella3[[#This Row],[Italy sum]]*NOT(ISBLANK(Tabella3[[#This Row],[Italy]]))</f>
        <v>0.13747620954622158</v>
      </c>
      <c r="K9" s="10">
        <f>Tabella3[[#This Row],[Italy fit]]*NOT(ISBLANK(Tabella3[[#This Row],[Italy]]))</f>
        <v>0.153713273228547</v>
      </c>
      <c r="L9" s="10">
        <f>Tabella3[[#This Row],[Italy sum]]+CIw</f>
        <v>136.81689179063571</v>
      </c>
      <c r="M9" s="10">
        <f>MAX(Tabella3[[#This Row],[Italy sum]]-CIw,0)</f>
        <v>0</v>
      </c>
      <c r="N9" s="4">
        <v>9</v>
      </c>
      <c r="O9" s="10">
        <f>Tabella3[[#This Row],[Cum_Lom]]-N8</f>
        <v>3</v>
      </c>
      <c r="P9" s="10">
        <f>Tabella3[[#This Row],[Lombardy]]*NOT(ISBLANK(Tabella3[[#This Row],[Lombardy]]))</f>
        <v>3</v>
      </c>
      <c r="Q9" s="10">
        <f>Kl*EXP(-EXP(-(Tabella3[[#This Row],[Day]]-t0l)/wl))</f>
        <v>0.11391387560367425</v>
      </c>
      <c r="R9" s="10">
        <f>Kl*EXP(-EXP(-(Tabella3[[#This Row],[Day]]-t0l)/wl))*EXP(-(Tabella3[[#This Row],[Day]]-t0l)/wl)/wl</f>
        <v>0.10923085776504002</v>
      </c>
      <c r="S9" s="10">
        <f>Tabella3[[#This Row],[Lombardy fit]]*NOT(ISBLANK(Tabella3[[#This Row],[Lombardy]]))</f>
        <v>0.10923085776504002</v>
      </c>
      <c r="T9" s="10">
        <f>Tabella3[[#This Row],[Lombardy fit]]+CIl</f>
        <v>121.2589164265373</v>
      </c>
      <c r="U9" s="10">
        <f>MAX(Tabella3[[#This Row],[Lombardy fit]]-CIl,0)</f>
        <v>0</v>
      </c>
      <c r="V9" s="10">
        <f>Tabella3[[#This Row],[Cum_Italy]]-Tabella3[[#This Row],[Cum_Lom]]</f>
        <v>1</v>
      </c>
      <c r="W9" s="10">
        <f>Tabella3[[#This Row],[Cum_o]]-V8</f>
        <v>0</v>
      </c>
      <c r="X9" s="10">
        <f>Tabella3[[#This Row],[rest of Italy]]*NOT(ISBLANK(Tabella3[[#This Row],[rest of Italy]]))</f>
        <v>0</v>
      </c>
      <c r="Y9" s="10">
        <f>Ka*EXP(-EXP(-(Tabella3[[#This Row],[Day]]-t0a)/wa))</f>
        <v>2.9202262052118566E-2</v>
      </c>
      <c r="Z9" s="10">
        <f>Ka*EXP(-EXP(-(Tabella3[[#This Row],[Day]]-t0a)/wa))*EXP(-(Tabella3[[#This Row],[Day]]-t0a)/wa)/wa</f>
        <v>2.8245351781181555E-2</v>
      </c>
      <c r="AA9" s="10">
        <f>Tabella3[[#This Row],[rest of Italy fit]]*NOT(ISBLANK(Tabella3[[#This Row],[rest of Italy]]))</f>
        <v>2.8245351781181555E-2</v>
      </c>
      <c r="AB9" s="10">
        <f>Tabella3[[#This Row],[rest of Italy fit]]+CIa</f>
        <v>66.325549964457551</v>
      </c>
      <c r="AC9" s="10">
        <f>MAX(Tabella3[[#This Row],[rest of Italy fit]]-CIa,0)</f>
        <v>0</v>
      </c>
      <c r="AD9" s="8"/>
      <c r="AE9" s="30"/>
      <c r="AF9" s="31"/>
      <c r="AG9" s="3"/>
      <c r="AS9" s="93"/>
    </row>
    <row r="10" spans="2:45" x14ac:dyDescent="0.3">
      <c r="B10" s="9">
        <v>43887</v>
      </c>
      <c r="C10" s="4">
        <f t="shared" ref="C10:C73" si="0">C9+1</f>
        <v>2</v>
      </c>
      <c r="D10" s="10">
        <f>'dpc-covid19-ita-andamento-naz'!K4</f>
        <v>12</v>
      </c>
      <c r="E10" s="10">
        <f>Tabella3[[#This Row],[Cum_Italy]]-D9</f>
        <v>2</v>
      </c>
      <c r="F10" s="10">
        <f>Tabella3[[#This Row],[Italy]]*NOT(ISBLANK(Tabella3[[#This Row],[Italy]]))</f>
        <v>2</v>
      </c>
      <c r="G10" s="10">
        <f>Tabella3[[#This Row],[Cum_L_fit]]+Tabella3[[#This Row],[Cum_o_fit]]</f>
        <v>0.36021622897722455</v>
      </c>
      <c r="H10" s="10">
        <f>Tabella3[[#This Row],[Lombardy fit]]+Tabella3[[#This Row],[rest of Italy fit]]</f>
        <v>0.3193329026047787</v>
      </c>
      <c r="I10" s="10">
        <f>Kf*EXP(-EXP(-(Tabella3[[#This Row],[Day]]-t0f)/wf))*EXP(-(Tabella3[[#This Row],[Day]]-t0f)/wf)/wf</f>
        <v>0.34790022754838396</v>
      </c>
      <c r="J10" s="10">
        <f>Tabella3[[#This Row],[Italy sum]]*NOT(ISBLANK(Tabella3[[#This Row],[Italy]]))</f>
        <v>0.3193329026047787</v>
      </c>
      <c r="K10" s="10">
        <f>Tabella3[[#This Row],[Italy fit]]*NOT(ISBLANK(Tabella3[[#This Row],[Italy]]))</f>
        <v>0.34790022754838396</v>
      </c>
      <c r="L10" s="10">
        <f>Tabella3[[#This Row],[Italy sum]]+CIw</f>
        <v>136.99874848369427</v>
      </c>
      <c r="M10" s="10">
        <f>MAX(Tabella3[[#This Row],[Italy sum]]-CIw,0)</f>
        <v>0</v>
      </c>
      <c r="N10" s="4">
        <v>9</v>
      </c>
      <c r="O10" s="10">
        <f>Tabella3[[#This Row],[Cum_Lom]]-N9</f>
        <v>0</v>
      </c>
      <c r="P10" s="10">
        <f>Tabella3[[#This Row],[Lombardy]]*NOT(ISBLANK(Tabella3[[#This Row],[Lombardy]]))</f>
        <v>0</v>
      </c>
      <c r="Q10" s="10">
        <f>Kl*EXP(-EXP(-(Tabella3[[#This Row],[Day]]-t0l)/wl))</f>
        <v>0.28603294294396803</v>
      </c>
      <c r="R10" s="10">
        <f>Kl*EXP(-EXP(-(Tabella3[[#This Row],[Day]]-t0l)/wl))*EXP(-(Tabella3[[#This Row],[Day]]-t0l)/wl)/wl</f>
        <v>0.25270107094293431</v>
      </c>
      <c r="S10" s="10">
        <f>Tabella3[[#This Row],[Lombardy fit]]*NOT(ISBLANK(Tabella3[[#This Row],[Lombardy]]))</f>
        <v>0.25270107094293431</v>
      </c>
      <c r="T10" s="10">
        <f>Tabella3[[#This Row],[Lombardy fit]]+CIl</f>
        <v>121.40238663971519</v>
      </c>
      <c r="U10" s="10">
        <f>MAX(Tabella3[[#This Row],[Lombardy fit]]-CIl,0)</f>
        <v>0</v>
      </c>
      <c r="V10" s="10">
        <f>Tabella3[[#This Row],[Cum_Italy]]-Tabella3[[#This Row],[Cum_Lom]]</f>
        <v>3</v>
      </c>
      <c r="W10" s="10">
        <f>Tabella3[[#This Row],[Cum_o]]-V9</f>
        <v>2</v>
      </c>
      <c r="X10" s="10">
        <f>Tabella3[[#This Row],[rest of Italy]]*NOT(ISBLANK(Tabella3[[#This Row],[rest of Italy]]))</f>
        <v>2</v>
      </c>
      <c r="Y10" s="10">
        <f>Ka*EXP(-EXP(-(Tabella3[[#This Row],[Day]]-t0a)/wa))</f>
        <v>7.4183286033256524E-2</v>
      </c>
      <c r="Z10" s="10">
        <f>Ka*EXP(-EXP(-(Tabella3[[#This Row],[Day]]-t0a)/wa))*EXP(-(Tabella3[[#This Row],[Day]]-t0a)/wa)/wa</f>
        <v>6.6631831661844387E-2</v>
      </c>
      <c r="AA10" s="10">
        <f>Tabella3[[#This Row],[rest of Italy fit]]*NOT(ISBLANK(Tabella3[[#This Row],[rest of Italy]]))</f>
        <v>6.6631831661844387E-2</v>
      </c>
      <c r="AB10" s="10">
        <f>Tabella3[[#This Row],[rest of Italy fit]]+CIa</f>
        <v>66.363936444338208</v>
      </c>
      <c r="AC10" s="10">
        <f>MAX(Tabella3[[#This Row],[rest of Italy fit]]-CIa,0)</f>
        <v>0</v>
      </c>
      <c r="AD10" s="8"/>
      <c r="AE10" s="30"/>
      <c r="AF10" s="47"/>
      <c r="AG10" s="3"/>
      <c r="AS10" s="93"/>
    </row>
    <row r="11" spans="2:45" x14ac:dyDescent="0.3">
      <c r="B11" s="9">
        <v>43888</v>
      </c>
      <c r="C11" s="4">
        <f t="shared" si="0"/>
        <v>3</v>
      </c>
      <c r="D11" s="10">
        <f>'dpc-covid19-ita-andamento-naz'!K5</f>
        <v>17</v>
      </c>
      <c r="E11" s="10">
        <f>Tabella3[[#This Row],[Cum_Italy]]-D10</f>
        <v>5</v>
      </c>
      <c r="F11" s="10">
        <f>Tabella3[[#This Row],[Italy]]*NOT(ISBLANK(Tabella3[[#This Row],[Italy]]))</f>
        <v>5</v>
      </c>
      <c r="G11" s="10">
        <f>Tabella3[[#This Row],[Cum_L_fit]]+Tabella3[[#This Row],[Cum_o_fit]]</f>
        <v>0.84436533416991399</v>
      </c>
      <c r="H11" s="10">
        <f>Tabella3[[#This Row],[Lombardy fit]]+Tabella3[[#This Row],[rest of Italy fit]]</f>
        <v>0.69084448566975976</v>
      </c>
      <c r="I11" s="10">
        <f>Kf*EXP(-EXP(-(Tabella3[[#This Row],[Day]]-t0f)/wf))*EXP(-(Tabella3[[#This Row],[Day]]-t0f)/wf)/wf</f>
        <v>0.73672642755976148</v>
      </c>
      <c r="J11" s="10">
        <f>Tabella3[[#This Row],[Italy sum]]*NOT(ISBLANK(Tabella3[[#This Row],[Italy]]))</f>
        <v>0.69084448566975976</v>
      </c>
      <c r="K11" s="10">
        <f>Tabella3[[#This Row],[Italy fit]]*NOT(ISBLANK(Tabella3[[#This Row],[Italy]]))</f>
        <v>0.73672642755976148</v>
      </c>
      <c r="L11" s="10">
        <f>Tabella3[[#This Row],[Italy sum]]+CIw</f>
        <v>137.37026006675927</v>
      </c>
      <c r="M11" s="10">
        <f>MAX(Tabella3[[#This Row],[Italy sum]]-CIw,0)</f>
        <v>0</v>
      </c>
      <c r="N11" s="4">
        <v>14</v>
      </c>
      <c r="O11" s="10">
        <f>Tabella3[[#This Row],[Cum_Lom]]-N10</f>
        <v>5</v>
      </c>
      <c r="P11" s="10">
        <f>Tabella3[[#This Row],[Lombardy]]*NOT(ISBLANK(Tabella3[[#This Row],[Lombardy]]))</f>
        <v>5</v>
      </c>
      <c r="Q11" s="10">
        <f>Kl*EXP(-EXP(-(Tabella3[[#This Row],[Day]]-t0l)/wl))</f>
        <v>0.66804564188629179</v>
      </c>
      <c r="R11" s="10">
        <f>Kl*EXP(-EXP(-(Tabella3[[#This Row],[Day]]-t0l)/wl))*EXP(-(Tabella3[[#This Row],[Day]]-t0l)/wl)/wl</f>
        <v>0.54377529757717846</v>
      </c>
      <c r="S11" s="10">
        <f>Tabella3[[#This Row],[Lombardy fit]]*NOT(ISBLANK(Tabella3[[#This Row],[Lombardy]]))</f>
        <v>0.54377529757717846</v>
      </c>
      <c r="T11" s="10">
        <f>Tabella3[[#This Row],[Lombardy fit]]+CIl</f>
        <v>121.69346086634944</v>
      </c>
      <c r="U11" s="10">
        <f>MAX(Tabella3[[#This Row],[Lombardy fit]]-CIl,0)</f>
        <v>0</v>
      </c>
      <c r="V11" s="10">
        <f>Tabella3[[#This Row],[Cum_Italy]]-Tabella3[[#This Row],[Cum_Lom]]</f>
        <v>3</v>
      </c>
      <c r="W11" s="10">
        <f>Tabella3[[#This Row],[Cum_o]]-V10</f>
        <v>0</v>
      </c>
      <c r="X11" s="10">
        <f>Tabella3[[#This Row],[rest of Italy]]*NOT(ISBLANK(Tabella3[[#This Row],[rest of Italy]]))</f>
        <v>0</v>
      </c>
      <c r="Y11" s="10">
        <f>Ka*EXP(-EXP(-(Tabella3[[#This Row],[Day]]-t0a)/wa))</f>
        <v>0.17631969228362226</v>
      </c>
      <c r="Z11" s="10">
        <f>Ka*EXP(-EXP(-(Tabella3[[#This Row],[Day]]-t0a)/wa))*EXP(-(Tabella3[[#This Row],[Day]]-t0a)/wa)/wa</f>
        <v>0.14706918809258132</v>
      </c>
      <c r="AA11" s="10">
        <f>Tabella3[[#This Row],[rest of Italy fit]]*NOT(ISBLANK(Tabella3[[#This Row],[rest of Italy]]))</f>
        <v>0.14706918809258132</v>
      </c>
      <c r="AB11" s="10">
        <f>Tabella3[[#This Row],[rest of Italy fit]]+CIa</f>
        <v>66.444373800768957</v>
      </c>
      <c r="AC11" s="10">
        <f>MAX(Tabella3[[#This Row],[rest of Italy fit]]-CIa,0)</f>
        <v>0</v>
      </c>
      <c r="AD11" s="8"/>
      <c r="AE11" s="32" t="s">
        <v>2</v>
      </c>
      <c r="AF11" s="33">
        <f>AVERAGE(Tabella3[Italy])</f>
        <v>414.41666666666669</v>
      </c>
      <c r="AG11" s="3"/>
      <c r="AS11" s="93"/>
    </row>
    <row r="12" spans="2:45" x14ac:dyDescent="0.3">
      <c r="B12" s="9">
        <v>43889</v>
      </c>
      <c r="C12" s="4">
        <f t="shared" si="0"/>
        <v>4</v>
      </c>
      <c r="D12" s="10">
        <f>'dpc-covid19-ita-andamento-naz'!K6</f>
        <v>21</v>
      </c>
      <c r="E12" s="10">
        <f>Tabella3[[#This Row],[Cum_Italy]]-D11</f>
        <v>4</v>
      </c>
      <c r="F12" s="10">
        <f>Tabella3[[#This Row],[Italy]]*NOT(ISBLANK(Tabella3[[#This Row],[Italy]]))</f>
        <v>4</v>
      </c>
      <c r="G12" s="10">
        <f>Tabella3[[#This Row],[Cum_L_fit]]+Tabella3[[#This Row],[Cum_o_fit]]</f>
        <v>1.8535248706888041</v>
      </c>
      <c r="H12" s="10">
        <f>Tabella3[[#This Row],[Lombardy fit]]+Tabella3[[#This Row],[rest of Italy fit]]</f>
        <v>1.399762723578615</v>
      </c>
      <c r="I12" s="10">
        <f>Kf*EXP(-EXP(-(Tabella3[[#This Row],[Day]]-t0f)/wf))*EXP(-(Tabella3[[#This Row],[Day]]-t0f)/wf)/wf</f>
        <v>1.4669509207807929</v>
      </c>
      <c r="J12" s="10">
        <f>Tabella3[[#This Row],[Italy sum]]*NOT(ISBLANK(Tabella3[[#This Row],[Italy]]))</f>
        <v>1.399762723578615</v>
      </c>
      <c r="K12" s="10">
        <f>Tabella3[[#This Row],[Italy fit]]*NOT(ISBLANK(Tabella3[[#This Row],[Italy]]))</f>
        <v>1.4669509207807929</v>
      </c>
      <c r="L12" s="10">
        <f>Tabella3[[#This Row],[Italy sum]]+CIw</f>
        <v>138.07917830466812</v>
      </c>
      <c r="M12" s="10">
        <f>MAX(Tabella3[[#This Row],[Italy sum]]-CIw,0)</f>
        <v>0</v>
      </c>
      <c r="N12" s="4">
        <v>17</v>
      </c>
      <c r="O12" s="10">
        <f>Tabella3[[#This Row],[Cum_Lom]]-N11</f>
        <v>3</v>
      </c>
      <c r="P12" s="10">
        <f>Tabella3[[#This Row],[Lombardy]]*NOT(ISBLANK(Tabella3[[#This Row],[Lombardy]]))</f>
        <v>3</v>
      </c>
      <c r="Q12" s="10">
        <f>Kl*EXP(-EXP(-(Tabella3[[#This Row],[Day]]-t0l)/wl))</f>
        <v>1.4595551716583999</v>
      </c>
      <c r="R12" s="10">
        <f>Kl*EXP(-EXP(-(Tabella3[[#This Row],[Day]]-t0l)/wl))*EXP(-(Tabella3[[#This Row],[Day]]-t0l)/wl)/wl</f>
        <v>1.0946018235870854</v>
      </c>
      <c r="S12" s="10">
        <f>Tabella3[[#This Row],[Lombardy fit]]*NOT(ISBLANK(Tabella3[[#This Row],[Lombardy]]))</f>
        <v>1.0946018235870854</v>
      </c>
      <c r="T12" s="10">
        <f>Tabella3[[#This Row],[Lombardy fit]]+CIl</f>
        <v>122.24428739235934</v>
      </c>
      <c r="U12" s="10">
        <f>MAX(Tabella3[[#This Row],[Lombardy fit]]-CIl,0)</f>
        <v>0</v>
      </c>
      <c r="V12" s="10">
        <f>Tabella3[[#This Row],[Cum_Italy]]-Tabella3[[#This Row],[Cum_Lom]]</f>
        <v>4</v>
      </c>
      <c r="W12" s="10">
        <f>Tabella3[[#This Row],[Cum_o]]-V11</f>
        <v>1</v>
      </c>
      <c r="X12" s="10">
        <f>Tabella3[[#This Row],[rest of Italy]]*NOT(ISBLANK(Tabella3[[#This Row],[rest of Italy]]))</f>
        <v>1</v>
      </c>
      <c r="Y12" s="10">
        <f>Ka*EXP(-EXP(-(Tabella3[[#This Row],[Day]]-t0a)/wa))</f>
        <v>0.39396969903040424</v>
      </c>
      <c r="Z12" s="10">
        <f>Ka*EXP(-EXP(-(Tabella3[[#This Row],[Day]]-t0a)/wa))*EXP(-(Tabella3[[#This Row],[Day]]-t0a)/wa)/wa</f>
        <v>0.30516089999152957</v>
      </c>
      <c r="AA12" s="10">
        <f>Tabella3[[#This Row],[rest of Italy fit]]*NOT(ISBLANK(Tabella3[[#This Row],[rest of Italy]]))</f>
        <v>0.30516089999152957</v>
      </c>
      <c r="AB12" s="10">
        <f>Tabella3[[#This Row],[rest of Italy fit]]+CIa</f>
        <v>66.602465512667905</v>
      </c>
      <c r="AC12" s="10">
        <f>MAX(Tabella3[[#This Row],[rest of Italy fit]]-CIa,0)</f>
        <v>0</v>
      </c>
      <c r="AD12" s="1"/>
      <c r="AE12" s="32" t="s">
        <v>3</v>
      </c>
      <c r="AF12" s="33">
        <f>COUNT(Tabella3[Italy])-COUNT(AF8:AF10)</f>
        <v>48</v>
      </c>
      <c r="AS12" s="93"/>
    </row>
    <row r="13" spans="2:45" x14ac:dyDescent="0.3">
      <c r="B13" s="9">
        <v>43890</v>
      </c>
      <c r="C13" s="4">
        <f t="shared" si="0"/>
        <v>5</v>
      </c>
      <c r="D13" s="10">
        <f>'dpc-covid19-ita-andamento-naz'!K7</f>
        <v>29</v>
      </c>
      <c r="E13" s="10">
        <f>Tabella3[[#This Row],[Cum_Italy]]-D12</f>
        <v>8</v>
      </c>
      <c r="F13" s="10">
        <f>Tabella3[[#This Row],[Italy]]*NOT(ISBLANK(Tabella3[[#This Row],[Italy]]))</f>
        <v>8</v>
      </c>
      <c r="G13" s="10">
        <f>Tabella3[[#This Row],[Cum_L_fit]]+Tabella3[[#This Row],[Cum_o_fit]]</f>
        <v>3.8299390879984276</v>
      </c>
      <c r="H13" s="10">
        <f>Tabella3[[#This Row],[Lombardy fit]]+Tabella3[[#This Row],[rest of Italy fit]]</f>
        <v>2.6699167699190136</v>
      </c>
      <c r="I13" s="10">
        <f>Kf*EXP(-EXP(-(Tabella3[[#This Row],[Day]]-t0f)/wf))*EXP(-(Tabella3[[#This Row],[Day]]-t0f)/wf)/wf</f>
        <v>2.7591314291293076</v>
      </c>
      <c r="J13" s="10">
        <f>Tabella3[[#This Row],[Italy sum]]*NOT(ISBLANK(Tabella3[[#This Row],[Italy]]))</f>
        <v>2.6699167699190136</v>
      </c>
      <c r="K13" s="10">
        <f>Tabella3[[#This Row],[Italy fit]]*NOT(ISBLANK(Tabella3[[#This Row],[Italy]]))</f>
        <v>2.7591314291293076</v>
      </c>
      <c r="L13" s="10">
        <f>Tabella3[[#This Row],[Italy sum]]+CIw</f>
        <v>139.34933235100851</v>
      </c>
      <c r="M13" s="10">
        <f>MAX(Tabella3[[#This Row],[Italy sum]]-CIw,0)</f>
        <v>0</v>
      </c>
      <c r="N13" s="4">
        <v>23</v>
      </c>
      <c r="O13" s="10">
        <f>Tabella3[[#This Row],[Cum_Lom]]-N12</f>
        <v>6</v>
      </c>
      <c r="P13" s="10">
        <f>Tabella3[[#This Row],[Lombardy]]*NOT(ISBLANK(Tabella3[[#This Row],[Lombardy]]))</f>
        <v>6</v>
      </c>
      <c r="Q13" s="10">
        <f>Kl*EXP(-EXP(-(Tabella3[[#This Row],[Day]]-t0l)/wl))</f>
        <v>2.9987363169143402</v>
      </c>
      <c r="R13" s="10">
        <f>Kl*EXP(-EXP(-(Tabella3[[#This Row],[Day]]-t0l)/wl))*EXP(-(Tabella3[[#This Row],[Day]]-t0l)/wl)/wl</f>
        <v>2.0720309690372081</v>
      </c>
      <c r="S13" s="10">
        <f>Tabella3[[#This Row],[Lombardy fit]]*NOT(ISBLANK(Tabella3[[#This Row],[Lombardy]]))</f>
        <v>2.0720309690372081</v>
      </c>
      <c r="T13" s="10">
        <f>Tabella3[[#This Row],[Lombardy fit]]+CIl</f>
        <v>123.22171653780947</v>
      </c>
      <c r="U13" s="10">
        <f>MAX(Tabella3[[#This Row],[Lombardy fit]]-CIl,0)</f>
        <v>0</v>
      </c>
      <c r="V13" s="10">
        <f>Tabella3[[#This Row],[Cum_Italy]]-Tabella3[[#This Row],[Cum_Lom]]</f>
        <v>6</v>
      </c>
      <c r="W13" s="10">
        <f>Tabella3[[#This Row],[Cum_o]]-V12</f>
        <v>2</v>
      </c>
      <c r="X13" s="10">
        <f>Tabella3[[#This Row],[rest of Italy]]*NOT(ISBLANK(Tabella3[[#This Row],[rest of Italy]]))</f>
        <v>2</v>
      </c>
      <c r="Y13" s="10">
        <f>Ka*EXP(-EXP(-(Tabella3[[#This Row],[Day]]-t0a)/wa))</f>
        <v>0.83120277108408736</v>
      </c>
      <c r="Z13" s="10">
        <f>Ka*EXP(-EXP(-(Tabella3[[#This Row],[Day]]-t0a)/wa))*EXP(-(Tabella3[[#This Row],[Day]]-t0a)/wa)/wa</f>
        <v>0.59788580088180565</v>
      </c>
      <c r="AA13" s="10">
        <f>Tabella3[[#This Row],[rest of Italy fit]]*NOT(ISBLANK(Tabella3[[#This Row],[rest of Italy]]))</f>
        <v>0.59788580088180565</v>
      </c>
      <c r="AB13" s="10">
        <f>Tabella3[[#This Row],[rest of Italy fit]]+CIa</f>
        <v>66.895190413558183</v>
      </c>
      <c r="AC13" s="10">
        <f>MAX(Tabella3[[#This Row],[rest of Italy fit]]-CIa,0)</f>
        <v>0</v>
      </c>
      <c r="AD13" s="1"/>
      <c r="AE13" s="32" t="s">
        <v>4</v>
      </c>
      <c r="AF13" s="34" cm="1">
        <f t="array" ref="AF13">SQRT(SUM((Tabella3[Colonna1]-Tabella3[Colonna2])^2)/dfw)</f>
        <v>67.978241728293838</v>
      </c>
      <c r="AS13" s="93"/>
    </row>
    <row r="14" spans="2:45" ht="16.2" x14ac:dyDescent="0.3">
      <c r="B14" s="18">
        <v>43891</v>
      </c>
      <c r="C14" s="4">
        <f t="shared" si="0"/>
        <v>6</v>
      </c>
      <c r="D14" s="10">
        <f>'dpc-covid19-ita-andamento-naz'!K8</f>
        <v>34</v>
      </c>
      <c r="E14" s="10">
        <f>Tabella3[[#This Row],[Cum_Italy]]-D13</f>
        <v>5</v>
      </c>
      <c r="F14" s="10">
        <f>Tabella3[[#This Row],[Italy]]*NOT(ISBLANK(Tabella3[[#This Row],[Italy]]))</f>
        <v>5</v>
      </c>
      <c r="G14" s="10">
        <f>Tabella3[[#This Row],[Cum_L_fit]]+Tabella3[[#This Row],[Cum_o_fit]]</f>
        <v>7.4845173738673818</v>
      </c>
      <c r="H14" s="10">
        <f>Tabella3[[#This Row],[Lombardy fit]]+Tabella3[[#This Row],[rest of Italy fit]]</f>
        <v>4.8169174788469169</v>
      </c>
      <c r="I14" s="10">
        <f>Kf*EXP(-EXP(-(Tabella3[[#This Row],[Day]]-t0f)/wf))*EXP(-(Tabella3[[#This Row],[Day]]-t0f)/wf)/wf</f>
        <v>4.9228691974474232</v>
      </c>
      <c r="J14" s="10">
        <f>Tabella3[[#This Row],[Italy sum]]*NOT(ISBLANK(Tabella3[[#This Row],[Italy]]))</f>
        <v>4.8169174788469169</v>
      </c>
      <c r="K14" s="10">
        <f>Tabella3[[#This Row],[Italy fit]]*NOT(ISBLANK(Tabella3[[#This Row],[Italy]]))</f>
        <v>4.9228691974474232</v>
      </c>
      <c r="L14" s="10">
        <f>Tabella3[[#This Row],[Italy sum]]+CIw</f>
        <v>141.4963330599364</v>
      </c>
      <c r="M14" s="10">
        <f>MAX(Tabella3[[#This Row],[Italy sum]]-CIw,0)</f>
        <v>0</v>
      </c>
      <c r="N14" s="4">
        <v>24</v>
      </c>
      <c r="O14" s="10">
        <f>Tabella3[[#This Row],[Cum_Lom]]-N13</f>
        <v>1</v>
      </c>
      <c r="P14" s="10">
        <f>Tabella3[[#This Row],[Lombardy]]*NOT(ISBLANK(Tabella3[[#This Row],[Lombardy]]))</f>
        <v>1</v>
      </c>
      <c r="Q14" s="10">
        <f>Kl*EXP(-EXP(-(Tabella3[[#This Row],[Day]]-t0l)/wl))</f>
        <v>5.8218263261705205</v>
      </c>
      <c r="R14" s="10">
        <f>Kl*EXP(-EXP(-(Tabella3[[#This Row],[Day]]-t0l)/wl))*EXP(-(Tabella3[[#This Row],[Day]]-t0l)/wl)/wl</f>
        <v>3.7062910437651184</v>
      </c>
      <c r="S14" s="10">
        <f>Tabella3[[#This Row],[Lombardy fit]]*NOT(ISBLANK(Tabella3[[#This Row],[Lombardy]]))</f>
        <v>3.7062910437651184</v>
      </c>
      <c r="T14" s="10">
        <f>Tabella3[[#This Row],[Lombardy fit]]+CIl</f>
        <v>124.85597661253738</v>
      </c>
      <c r="U14" s="10">
        <f>MAX(Tabella3[[#This Row],[Lombardy fit]]-CIl,0)</f>
        <v>0</v>
      </c>
      <c r="V14" s="10">
        <f>Tabella3[[#This Row],[Cum_Italy]]-Tabella3[[#This Row],[Cum_Lom]]</f>
        <v>10</v>
      </c>
      <c r="W14" s="10">
        <f>Tabella3[[#This Row],[Cum_o]]-V13</f>
        <v>4</v>
      </c>
      <c r="X14" s="10">
        <f>Tabella3[[#This Row],[rest of Italy]]*NOT(ISBLANK(Tabella3[[#This Row],[rest of Italy]]))</f>
        <v>4</v>
      </c>
      <c r="Y14" s="10">
        <f>Ka*EXP(-EXP(-(Tabella3[[#This Row],[Day]]-t0a)/wa))</f>
        <v>1.6626910476968617</v>
      </c>
      <c r="Z14" s="10">
        <f>Ka*EXP(-EXP(-(Tabella3[[#This Row],[Day]]-t0a)/wa))*EXP(-(Tabella3[[#This Row],[Day]]-t0a)/wa)/wa</f>
        <v>1.1106264350817983</v>
      </c>
      <c r="AA14" s="10">
        <f>Tabella3[[#This Row],[rest of Italy fit]]*NOT(ISBLANK(Tabella3[[#This Row],[rest of Italy]]))</f>
        <v>1.1106264350817983</v>
      </c>
      <c r="AB14" s="10">
        <f>Tabella3[[#This Row],[rest of Italy fit]]+CIa</f>
        <v>67.407931047758169</v>
      </c>
      <c r="AC14" s="10">
        <f>MAX(Tabella3[[#This Row],[rest of Italy fit]]-CIa,0)</f>
        <v>0</v>
      </c>
      <c r="AD14" s="1"/>
      <c r="AE14" s="32" t="s">
        <v>137</v>
      </c>
      <c r="AF14" s="35" cm="1">
        <f t="array" ref="AF14">1-SUM((Tabella3[Colonna1]-Tabella3[Colonna2])^2)/SUM((Tabella3[Colonna1]-Mean_of_yw)^2)</f>
        <v>0.97361408595720977</v>
      </c>
      <c r="AS14" s="93"/>
    </row>
    <row r="15" spans="2:45" x14ac:dyDescent="0.3">
      <c r="B15" s="9">
        <v>43892</v>
      </c>
      <c r="C15" s="4">
        <f t="shared" si="0"/>
        <v>7</v>
      </c>
      <c r="D15" s="10">
        <f>'dpc-covid19-ita-andamento-naz'!K9</f>
        <v>52</v>
      </c>
      <c r="E15" s="10">
        <f>Tabella3[[#This Row],[Cum_Italy]]-D14</f>
        <v>18</v>
      </c>
      <c r="F15" s="10">
        <f>Tabella3[[#This Row],[Italy]]*NOT(ISBLANK(Tabella3[[#This Row],[Italy]]))</f>
        <v>18</v>
      </c>
      <c r="G15" s="10">
        <f>Tabella3[[#This Row],[Cum_L_fit]]+Tabella3[[#This Row],[Cum_o_fit]]</f>
        <v>13.893377850749623</v>
      </c>
      <c r="H15" s="10">
        <f>Tabella3[[#This Row],[Lombardy fit]]+Tabella3[[#This Row],[rest of Italy fit]]</f>
        <v>8.2559566705900149</v>
      </c>
      <c r="I15" s="10">
        <f>Kf*EXP(-EXP(-(Tabella3[[#This Row],[Day]]-t0f)/wf))*EXP(-(Tabella3[[#This Row],[Day]]-t0f)/wf)/wf</f>
        <v>8.3648454791954201</v>
      </c>
      <c r="J15" s="10">
        <f>Tabella3[[#This Row],[Italy sum]]*NOT(ISBLANK(Tabella3[[#This Row],[Italy]]))</f>
        <v>8.2559566705900149</v>
      </c>
      <c r="K15" s="10">
        <f>Tabella3[[#This Row],[Italy fit]]*NOT(ISBLANK(Tabella3[[#This Row],[Italy]]))</f>
        <v>8.3648454791954201</v>
      </c>
      <c r="L15" s="10">
        <f>Tabella3[[#This Row],[Italy sum]]+CIw</f>
        <v>144.93537225167952</v>
      </c>
      <c r="M15" s="10">
        <f>MAX(Tabella3[[#This Row],[Italy sum]]-CIw,0)</f>
        <v>0</v>
      </c>
      <c r="N15" s="4">
        <v>38</v>
      </c>
      <c r="O15" s="10">
        <f>Tabella3[[#This Row],[Cum_Lom]]-N14</f>
        <v>14</v>
      </c>
      <c r="P15" s="10">
        <f>Tabella3[[#This Row],[Lombardy]]*NOT(ISBLANK(Tabella3[[#This Row],[Lombardy]]))</f>
        <v>14</v>
      </c>
      <c r="Q15" s="10">
        <f>Kl*EXP(-EXP(-(Tabella3[[#This Row],[Day]]-t0l)/wl))</f>
        <v>10.727982950929871</v>
      </c>
      <c r="R15" s="10">
        <f>Kl*EXP(-EXP(-(Tabella3[[#This Row],[Day]]-t0l)/wl))*EXP(-(Tabella3[[#This Row],[Day]]-t0l)/wl)/wl</f>
        <v>6.2924628587445195</v>
      </c>
      <c r="S15" s="10">
        <f>Tabella3[[#This Row],[Lombardy fit]]*NOT(ISBLANK(Tabella3[[#This Row],[Lombardy]]))</f>
        <v>6.2924628587445195</v>
      </c>
      <c r="T15" s="10">
        <f>Tabella3[[#This Row],[Lombardy fit]]+CIl</f>
        <v>127.44214842751677</v>
      </c>
      <c r="U15" s="10">
        <f>MAX(Tabella3[[#This Row],[Lombardy fit]]-CIl,0)</f>
        <v>0</v>
      </c>
      <c r="V15" s="10">
        <f>Tabella3[[#This Row],[Cum_Italy]]-Tabella3[[#This Row],[Cum_Lom]]</f>
        <v>14</v>
      </c>
      <c r="W15" s="10">
        <f>Tabella3[[#This Row],[Cum_o]]-V14</f>
        <v>4</v>
      </c>
      <c r="X15" s="10">
        <f>Tabella3[[#This Row],[rest of Italy]]*NOT(ISBLANK(Tabella3[[#This Row],[rest of Italy]]))</f>
        <v>4</v>
      </c>
      <c r="Y15" s="10">
        <f>Ka*EXP(-EXP(-(Tabella3[[#This Row],[Day]]-t0a)/wa))</f>
        <v>3.165394899819753</v>
      </c>
      <c r="Z15" s="10">
        <f>Ka*EXP(-EXP(-(Tabella3[[#This Row],[Day]]-t0a)/wa))*EXP(-(Tabella3[[#This Row],[Day]]-t0a)/wa)/wa</f>
        <v>1.9634938118454952</v>
      </c>
      <c r="AA15" s="10">
        <f>Tabella3[[#This Row],[rest of Italy fit]]*NOT(ISBLANK(Tabella3[[#This Row],[rest of Italy]]))</f>
        <v>1.9634938118454952</v>
      </c>
      <c r="AB15" s="10">
        <f>Tabella3[[#This Row],[rest of Italy fit]]+CIa</f>
        <v>68.260798424521866</v>
      </c>
      <c r="AC15" s="10">
        <f>MAX(Tabella3[[#This Row],[rest of Italy fit]]-CIa,0)</f>
        <v>0</v>
      </c>
      <c r="AD15" s="1"/>
      <c r="AE15" s="32" t="s">
        <v>6</v>
      </c>
      <c r="AF15" s="35">
        <f>TINV(0.05,dfw)</f>
        <v>2.0106347576242314</v>
      </c>
      <c r="AS15" s="93"/>
    </row>
    <row r="16" spans="2:45" x14ac:dyDescent="0.3">
      <c r="B16" s="9">
        <v>43893</v>
      </c>
      <c r="C16" s="4">
        <f t="shared" si="0"/>
        <v>8</v>
      </c>
      <c r="D16" s="10">
        <f>'dpc-covid19-ita-andamento-naz'!K10</f>
        <v>79</v>
      </c>
      <c r="E16" s="10">
        <f>Tabella3[[#This Row],[Cum_Italy]]-D15</f>
        <v>27</v>
      </c>
      <c r="F16" s="10">
        <f>Tabella3[[#This Row],[Italy]]*NOT(ISBLANK(Tabella3[[#This Row],[Italy]]))</f>
        <v>27</v>
      </c>
      <c r="G16" s="10">
        <f>Tabella3[[#This Row],[Cum_L_fit]]+Tabella3[[#This Row],[Cum_o_fit]]</f>
        <v>24.596295003735815</v>
      </c>
      <c r="H16" s="10">
        <f>Tabella3[[#This Row],[Lombardy fit]]+Tabella3[[#This Row],[rest of Italy fit]]</f>
        <v>13.497146577596711</v>
      </c>
      <c r="I16" s="10">
        <f>Kf*EXP(-EXP(-(Tabella3[[#This Row],[Day]]-t0f)/wf))*EXP(-(Tabella3[[#This Row],[Day]]-t0f)/wf)/wf</f>
        <v>13.585294405247957</v>
      </c>
      <c r="J16" s="10">
        <f>Tabella3[[#This Row],[Italy sum]]*NOT(ISBLANK(Tabella3[[#This Row],[Italy]]))</f>
        <v>13.497146577596711</v>
      </c>
      <c r="K16" s="10">
        <f>Tabella3[[#This Row],[Italy fit]]*NOT(ISBLANK(Tabella3[[#This Row],[Italy]]))</f>
        <v>13.585294405247957</v>
      </c>
      <c r="L16" s="10">
        <f>Tabella3[[#This Row],[Italy sum]]+CIw</f>
        <v>150.17656215868621</v>
      </c>
      <c r="M16" s="10">
        <f>MAX(Tabella3[[#This Row],[Italy sum]]-CIw,0)</f>
        <v>0</v>
      </c>
      <c r="N16" s="4">
        <v>55</v>
      </c>
      <c r="O16" s="10">
        <f>Tabella3[[#This Row],[Cum_Lom]]-N15</f>
        <v>17</v>
      </c>
      <c r="P16" s="10">
        <f>Tabella3[[#This Row],[Lombardy]]*NOT(ISBLANK(Tabella3[[#This Row],[Lombardy]]))</f>
        <v>17</v>
      </c>
      <c r="Q16" s="10">
        <f>Kl*EXP(-EXP(-(Tabella3[[#This Row],[Day]]-t0l)/wl))</f>
        <v>18.840709589875217</v>
      </c>
      <c r="R16" s="10">
        <f>Kl*EXP(-EXP(-(Tabella3[[#This Row],[Day]]-t0l)/wl))*EXP(-(Tabella3[[#This Row],[Day]]-t0l)/wl)/wl</f>
        <v>10.181743527658423</v>
      </c>
      <c r="S16" s="10">
        <f>Tabella3[[#This Row],[Lombardy fit]]*NOT(ISBLANK(Tabella3[[#This Row],[Lombardy]]))</f>
        <v>10.181743527658423</v>
      </c>
      <c r="T16" s="10">
        <f>Tabella3[[#This Row],[Lombardy fit]]+CIl</f>
        <v>131.33142909643067</v>
      </c>
      <c r="U16" s="10">
        <f>MAX(Tabella3[[#This Row],[Lombardy fit]]-CIl,0)</f>
        <v>0</v>
      </c>
      <c r="V16" s="10">
        <f>Tabella3[[#This Row],[Cum_Italy]]-Tabella3[[#This Row],[Cum_Lom]]</f>
        <v>24</v>
      </c>
      <c r="W16" s="10">
        <f>Tabella3[[#This Row],[Cum_o]]-V15</f>
        <v>10</v>
      </c>
      <c r="X16" s="10">
        <f>Tabella3[[#This Row],[rest of Italy]]*NOT(ISBLANK(Tabella3[[#This Row],[rest of Italy]]))</f>
        <v>10</v>
      </c>
      <c r="Y16" s="10">
        <f>Ka*EXP(-EXP(-(Tabella3[[#This Row],[Day]]-t0a)/wa))</f>
        <v>5.7555854138605982</v>
      </c>
      <c r="Z16" s="10">
        <f>Ka*EXP(-EXP(-(Tabella3[[#This Row],[Day]]-t0a)/wa))*EXP(-(Tabella3[[#This Row],[Day]]-t0a)/wa)/wa</f>
        <v>3.315403049938288</v>
      </c>
      <c r="AA16" s="10">
        <f>Tabella3[[#This Row],[rest of Italy fit]]*NOT(ISBLANK(Tabella3[[#This Row],[rest of Italy]]))</f>
        <v>3.315403049938288</v>
      </c>
      <c r="AB16" s="10">
        <f>Tabella3[[#This Row],[rest of Italy fit]]+CIa</f>
        <v>69.612707662614653</v>
      </c>
      <c r="AC16" s="10">
        <f>MAX(Tabella3[[#This Row],[rest of Italy fit]]-CIa,0)</f>
        <v>0</v>
      </c>
      <c r="AD16" s="1"/>
      <c r="AE16" s="32" t="s">
        <v>7</v>
      </c>
      <c r="AF16" s="33">
        <f>Critical_tw*SE_of_yw</f>
        <v>136.6794155810895</v>
      </c>
      <c r="AS16" s="93"/>
    </row>
    <row r="17" spans="2:45" ht="15" thickBot="1" x14ac:dyDescent="0.35">
      <c r="B17" s="9">
        <v>43894</v>
      </c>
      <c r="C17" s="4">
        <f t="shared" si="0"/>
        <v>9</v>
      </c>
      <c r="D17" s="10">
        <f>'dpc-covid19-ita-andamento-naz'!K11</f>
        <v>107</v>
      </c>
      <c r="E17" s="10">
        <f>Tabella3[[#This Row],[Cum_Italy]]-D16</f>
        <v>28</v>
      </c>
      <c r="F17" s="10">
        <f>Tabella3[[#This Row],[Italy]]*NOT(ISBLANK(Tabella3[[#This Row],[Italy]]))</f>
        <v>28</v>
      </c>
      <c r="G17" s="10">
        <f>Tabella3[[#This Row],[Cum_L_fit]]+Tabella3[[#This Row],[Cum_o_fit]]</f>
        <v>41.682904788721139</v>
      </c>
      <c r="H17" s="10">
        <f>Tabella3[[#This Row],[Lombardy fit]]+Tabella3[[#This Row],[rest of Italy fit]]</f>
        <v>21.125383881467709</v>
      </c>
      <c r="I17" s="10">
        <f>Kf*EXP(-EXP(-(Tabella3[[#This Row],[Day]]-t0f)/wf))*EXP(-(Tabella3[[#This Row],[Day]]-t0f)/wf)/wf</f>
        <v>21.159825816582277</v>
      </c>
      <c r="J17" s="10">
        <f>Tabella3[[#This Row],[Italy sum]]*NOT(ISBLANK(Tabella3[[#This Row],[Italy]]))</f>
        <v>21.125383881467709</v>
      </c>
      <c r="K17" s="10">
        <f>Tabella3[[#This Row],[Italy fit]]*NOT(ISBLANK(Tabella3[[#This Row],[Italy]]))</f>
        <v>21.159825816582277</v>
      </c>
      <c r="L17" s="10">
        <f>Tabella3[[#This Row],[Italy sum]]+CIw</f>
        <v>157.80479946255721</v>
      </c>
      <c r="M17" s="10">
        <f>MAX(Tabella3[[#This Row],[Italy sum]]-CIw,0)</f>
        <v>0</v>
      </c>
      <c r="N17" s="4">
        <v>73</v>
      </c>
      <c r="O17" s="10">
        <f>Tabella3[[#This Row],[Cum_Lom]]-N16</f>
        <v>18</v>
      </c>
      <c r="P17" s="10">
        <f>Tabella3[[#This Row],[Lombardy]]*NOT(ISBLANK(Tabella3[[#This Row],[Lombardy]]))</f>
        <v>18</v>
      </c>
      <c r="Q17" s="10">
        <f>Kl*EXP(-EXP(-(Tabella3[[#This Row],[Day]]-t0l)/wl))</f>
        <v>31.654763663909648</v>
      </c>
      <c r="R17" s="10">
        <f>Kl*EXP(-EXP(-(Tabella3[[#This Row],[Day]]-t0l)/wl))*EXP(-(Tabella3[[#This Row],[Day]]-t0l)/wl)/wl</f>
        <v>15.761091301196869</v>
      </c>
      <c r="S17" s="10">
        <f>Tabella3[[#This Row],[Lombardy fit]]*NOT(ISBLANK(Tabella3[[#This Row],[Lombardy]]))</f>
        <v>15.761091301196869</v>
      </c>
      <c r="T17" s="10">
        <f>Tabella3[[#This Row],[Lombardy fit]]+CIl</f>
        <v>136.91077686996911</v>
      </c>
      <c r="U17" s="10">
        <f>MAX(Tabella3[[#This Row],[Lombardy fit]]-CIl,0)</f>
        <v>0</v>
      </c>
      <c r="V17" s="10">
        <f>Tabella3[[#This Row],[Cum_Italy]]-Tabella3[[#This Row],[Cum_Lom]]</f>
        <v>34</v>
      </c>
      <c r="W17" s="10">
        <f>Tabella3[[#This Row],[Cum_o]]-V16</f>
        <v>10</v>
      </c>
      <c r="X17" s="10">
        <f>Tabella3[[#This Row],[rest of Italy]]*NOT(ISBLANK(Tabella3[[#This Row],[rest of Italy]]))</f>
        <v>10</v>
      </c>
      <c r="Y17" s="10">
        <f>Ka*EXP(-EXP(-(Tabella3[[#This Row],[Day]]-t0a)/wa))</f>
        <v>10.028141124811492</v>
      </c>
      <c r="Z17" s="10">
        <f>Ka*EXP(-EXP(-(Tabella3[[#This Row],[Day]]-t0a)/wa))*EXP(-(Tabella3[[#This Row],[Day]]-t0a)/wa)/wa</f>
        <v>5.364292580270841</v>
      </c>
      <c r="AA17" s="10">
        <f>Tabella3[[#This Row],[rest of Italy fit]]*NOT(ISBLANK(Tabella3[[#This Row],[rest of Italy]]))</f>
        <v>5.364292580270841</v>
      </c>
      <c r="AB17" s="10">
        <f>Tabella3[[#This Row],[rest of Italy fit]]+CIa</f>
        <v>71.661597192947212</v>
      </c>
      <c r="AC17" s="10">
        <f>MAX(Tabella3[[#This Row],[rest of Italy fit]]-CIa,0)</f>
        <v>0</v>
      </c>
      <c r="AD17" s="1"/>
      <c r="AE17" s="48" t="s">
        <v>113</v>
      </c>
      <c r="AF17" s="49">
        <f>MAX(Tabella3[Italy sum])</f>
        <v>778.01223776576467</v>
      </c>
      <c r="AS17" s="94"/>
    </row>
    <row r="18" spans="2:45" ht="15" thickTop="1" x14ac:dyDescent="0.3">
      <c r="B18" s="18">
        <v>43895</v>
      </c>
      <c r="C18" s="4">
        <f t="shared" si="0"/>
        <v>10</v>
      </c>
      <c r="D18" s="10">
        <f>'dpc-covid19-ita-andamento-naz'!K12</f>
        <v>148</v>
      </c>
      <c r="E18" s="10">
        <f>Tabella3[[#This Row],[Cum_Italy]]-D17</f>
        <v>41</v>
      </c>
      <c r="F18" s="10">
        <f>Tabella3[[#This Row],[Italy]]*NOT(ISBLANK(Tabella3[[#This Row],[Italy]]))</f>
        <v>41</v>
      </c>
      <c r="G18" s="10">
        <f>Tabella3[[#This Row],[Cum_L_fit]]+Tabella3[[#This Row],[Cum_o_fit]]</f>
        <v>67.850733424393667</v>
      </c>
      <c r="H18" s="10">
        <f>Tabella3[[#This Row],[Lombardy fit]]+Tabella3[[#This Row],[rest of Italy fit]]</f>
        <v>31.764313414940347</v>
      </c>
      <c r="I18" s="10">
        <f>Kf*EXP(-EXP(-(Tabella3[[#This Row],[Day]]-t0f)/wf))*EXP(-(Tabella3[[#This Row],[Day]]-t0f)/wf)/wf</f>
        <v>31.705803623320474</v>
      </c>
      <c r="J18" s="10">
        <f>Tabella3[[#This Row],[Italy sum]]*NOT(ISBLANK(Tabella3[[#This Row],[Italy]]))</f>
        <v>31.764313414940347</v>
      </c>
      <c r="K18" s="10">
        <f>Tabella3[[#This Row],[Italy fit]]*NOT(ISBLANK(Tabella3[[#This Row],[Italy]]))</f>
        <v>31.705803623320474</v>
      </c>
      <c r="L18" s="10">
        <f>Tabella3[[#This Row],[Italy sum]]+CIw</f>
        <v>168.44372899602985</v>
      </c>
      <c r="M18" s="10">
        <f>MAX(Tabella3[[#This Row],[Italy sum]]-CIw,0)</f>
        <v>0</v>
      </c>
      <c r="N18" s="4">
        <v>98</v>
      </c>
      <c r="O18" s="10">
        <f>Tabella3[[#This Row],[Cum_Lom]]-N17</f>
        <v>25</v>
      </c>
      <c r="P18" s="10">
        <f>Tabella3[[#This Row],[Lombardy]]*NOT(ISBLANK(Tabella3[[#This Row],[Lombardy]]))</f>
        <v>25</v>
      </c>
      <c r="Q18" s="10">
        <f>Kl*EXP(-EXP(-(Tabella3[[#This Row],[Day]]-t0l)/wl))</f>
        <v>51.057159306112283</v>
      </c>
      <c r="R18" s="10">
        <f>Kl*EXP(-EXP(-(Tabella3[[#This Row],[Day]]-t0l)/wl))*EXP(-(Tabella3[[#This Row],[Day]]-t0l)/wl)/wl</f>
        <v>23.422118244326349</v>
      </c>
      <c r="S18" s="10">
        <f>Tabella3[[#This Row],[Lombardy fit]]*NOT(ISBLANK(Tabella3[[#This Row],[Lombardy]]))</f>
        <v>23.422118244326349</v>
      </c>
      <c r="T18" s="10">
        <f>Tabella3[[#This Row],[Lombardy fit]]+CIl</f>
        <v>144.5718038130986</v>
      </c>
      <c r="U18" s="10">
        <f>MAX(Tabella3[[#This Row],[Lombardy fit]]-CIl,0)</f>
        <v>0</v>
      </c>
      <c r="V18" s="10">
        <f>Tabella3[[#This Row],[Cum_Italy]]-Tabella3[[#This Row],[Cum_Lom]]</f>
        <v>50</v>
      </c>
      <c r="W18" s="10">
        <f>Tabella3[[#This Row],[Cum_o]]-V17</f>
        <v>16</v>
      </c>
      <c r="X18" s="10">
        <f>Tabella3[[#This Row],[rest of Italy]]*NOT(ISBLANK(Tabella3[[#This Row],[rest of Italy]]))</f>
        <v>16</v>
      </c>
      <c r="Y18" s="10">
        <f>Ka*EXP(-EXP(-(Tabella3[[#This Row],[Day]]-t0a)/wa))</f>
        <v>16.793574118281388</v>
      </c>
      <c r="Z18" s="10">
        <f>Ka*EXP(-EXP(-(Tabella3[[#This Row],[Day]]-t0a)/wa))*EXP(-(Tabella3[[#This Row],[Day]]-t0a)/wa)/wa</f>
        <v>8.3421951706139961</v>
      </c>
      <c r="AA18" s="10">
        <f>Tabella3[[#This Row],[rest of Italy fit]]*NOT(ISBLANK(Tabella3[[#This Row],[rest of Italy]]))</f>
        <v>8.3421951706139961</v>
      </c>
      <c r="AB18" s="10">
        <f>Tabella3[[#This Row],[rest of Italy fit]]+CIa</f>
        <v>74.639499783290361</v>
      </c>
      <c r="AC18" s="10">
        <f>MAX(Tabella3[[#This Row],[rest of Italy fit]]-CIa,0)</f>
        <v>0</v>
      </c>
      <c r="AD18" s="1"/>
      <c r="AE18" s="48" t="s">
        <v>145</v>
      </c>
      <c r="AF18" s="50">
        <f>_xlfn.XLOOKUP(Peak_w,Tabella3[Italy sum],Tabella3[Date])</f>
        <v>43918</v>
      </c>
      <c r="AS18" s="73">
        <f>MAX($AF$26)</f>
        <v>0.93246322509116208</v>
      </c>
    </row>
    <row r="19" spans="2:45" x14ac:dyDescent="0.3">
      <c r="B19" s="9">
        <v>43896</v>
      </c>
      <c r="C19" s="4">
        <f t="shared" si="0"/>
        <v>11</v>
      </c>
      <c r="D19" s="10">
        <f>'dpc-covid19-ita-andamento-naz'!K13</f>
        <v>197</v>
      </c>
      <c r="E19" s="10">
        <f>Tabella3[[#This Row],[Cum_Italy]]-D18</f>
        <v>49</v>
      </c>
      <c r="F19" s="10">
        <f>Tabella3[[#This Row],[Italy]]*NOT(ISBLANK(Tabella3[[#This Row],[Italy]]))</f>
        <v>49</v>
      </c>
      <c r="G19" s="10">
        <f>Tabella3[[#This Row],[Cum_L_fit]]+Tabella3[[#This Row],[Cum_o_fit]]</f>
        <v>106.42020675641278</v>
      </c>
      <c r="H19" s="10">
        <f>Tabella3[[#This Row],[Lombardy fit]]+Tabella3[[#This Row],[rest of Italy fit]]</f>
        <v>46.02701168168791</v>
      </c>
      <c r="I19" s="10">
        <f>Kf*EXP(-EXP(-(Tabella3[[#This Row],[Day]]-t0f)/wf))*EXP(-(Tabella3[[#This Row],[Day]]-t0f)/wf)/wf</f>
        <v>45.83531857300116</v>
      </c>
      <c r="J19" s="10">
        <f>Tabella3[[#This Row],[Italy sum]]*NOT(ISBLANK(Tabella3[[#This Row],[Italy]]))</f>
        <v>46.02701168168791</v>
      </c>
      <c r="K19" s="10">
        <f>Tabella3[[#This Row],[Italy fit]]*NOT(ISBLANK(Tabella3[[#This Row],[Italy]]))</f>
        <v>45.83531857300116</v>
      </c>
      <c r="L19" s="10">
        <f>Tabella3[[#This Row],[Italy sum]]+CIw</f>
        <v>182.70642726277742</v>
      </c>
      <c r="M19" s="10">
        <f>MAX(Tabella3[[#This Row],[Italy sum]]-CIw,0)</f>
        <v>0</v>
      </c>
      <c r="N19" s="4">
        <v>135</v>
      </c>
      <c r="O19" s="10">
        <f>Tabella3[[#This Row],[Cum_Lom]]-N18</f>
        <v>37</v>
      </c>
      <c r="P19" s="10">
        <f>Tabella3[[#This Row],[Lombardy]]*NOT(ISBLANK(Tabella3[[#This Row],[Lombardy]]))</f>
        <v>37</v>
      </c>
      <c r="Q19" s="10">
        <f>Kl*EXP(-EXP(-(Tabella3[[#This Row],[Day]]-t0l)/wl))</f>
        <v>79.312944432239163</v>
      </c>
      <c r="R19" s="10">
        <f>Kl*EXP(-EXP(-(Tabella3[[#This Row],[Day]]-t0l)/wl))*EXP(-(Tabella3[[#This Row],[Day]]-t0l)/wl)/wl</f>
        <v>33.522461891138924</v>
      </c>
      <c r="S19" s="10">
        <f>Tabella3[[#This Row],[Lombardy fit]]*NOT(ISBLANK(Tabella3[[#This Row],[Lombardy]]))</f>
        <v>33.522461891138924</v>
      </c>
      <c r="T19" s="10">
        <f>Tabella3[[#This Row],[Lombardy fit]]+CIl</f>
        <v>154.67214745991117</v>
      </c>
      <c r="U19" s="10">
        <f>MAX(Tabella3[[#This Row],[Lombardy fit]]-CIl,0)</f>
        <v>0</v>
      </c>
      <c r="V19" s="10">
        <f>Tabella3[[#This Row],[Cum_Italy]]-Tabella3[[#This Row],[Cum_Lom]]</f>
        <v>62</v>
      </c>
      <c r="W19" s="10">
        <f>Tabella3[[#This Row],[Cum_o]]-V18</f>
        <v>12</v>
      </c>
      <c r="X19" s="10">
        <f>Tabella3[[#This Row],[rest of Italy]]*NOT(ISBLANK(Tabella3[[#This Row],[rest of Italy]]))</f>
        <v>12</v>
      </c>
      <c r="Y19" s="10">
        <f>Ka*EXP(-EXP(-(Tabella3[[#This Row],[Day]]-t0a)/wa))</f>
        <v>27.107262324173615</v>
      </c>
      <c r="Z19" s="10">
        <f>Ka*EXP(-EXP(-(Tabella3[[#This Row],[Day]]-t0a)/wa))*EXP(-(Tabella3[[#This Row],[Day]]-t0a)/wa)/wa</f>
        <v>12.504549790548987</v>
      </c>
      <c r="AA19" s="10">
        <f>Tabella3[[#This Row],[rest of Italy fit]]*NOT(ISBLANK(Tabella3[[#This Row],[rest of Italy]]))</f>
        <v>12.504549790548987</v>
      </c>
      <c r="AB19" s="10">
        <f>Tabella3[[#This Row],[rest of Italy fit]]+CIa</f>
        <v>78.801854403225363</v>
      </c>
      <c r="AC19" s="10">
        <f>MAX(Tabella3[[#This Row],[rest of Italy fit]]-CIa,0)</f>
        <v>0</v>
      </c>
      <c r="AD19" s="1"/>
      <c r="AE19" s="23" t="s">
        <v>80</v>
      </c>
      <c r="AF19" s="3" t="s">
        <v>133</v>
      </c>
      <c r="AS19" s="74">
        <f>COUNT($AF$20,$AF$21,$AF$22)</f>
        <v>3</v>
      </c>
    </row>
    <row r="20" spans="2:45" x14ac:dyDescent="0.3">
      <c r="B20" s="9">
        <v>43897</v>
      </c>
      <c r="C20" s="4">
        <f t="shared" si="0"/>
        <v>12</v>
      </c>
      <c r="D20" s="10">
        <f>'dpc-covid19-ita-andamento-naz'!K14</f>
        <v>233</v>
      </c>
      <c r="E20" s="10">
        <f>Tabella3[[#This Row],[Cum_Italy]]-D19</f>
        <v>36</v>
      </c>
      <c r="F20" s="10">
        <f>Tabella3[[#This Row],[Italy]]*NOT(ISBLANK(Tabella3[[#This Row],[Italy]]))</f>
        <v>36</v>
      </c>
      <c r="G20" s="10">
        <f>Tabella3[[#This Row],[Cum_L_fit]]+Tabella3[[#This Row],[Cum_o_fit]]</f>
        <v>161.29584544454693</v>
      </c>
      <c r="H20" s="10">
        <f>Tabella3[[#This Row],[Lombardy fit]]+Tabella3[[#This Row],[rest of Italy fit]]</f>
        <v>64.458754790359436</v>
      </c>
      <c r="I20" s="10">
        <f>Kf*EXP(-EXP(-(Tabella3[[#This Row],[Day]]-t0f)/wf))*EXP(-(Tabella3[[#This Row],[Day]]-t0f)/wf)/wf</f>
        <v>64.099498858908859</v>
      </c>
      <c r="J20" s="10">
        <f>Tabella3[[#This Row],[Italy sum]]*NOT(ISBLANK(Tabella3[[#This Row],[Italy]]))</f>
        <v>64.458754790359436</v>
      </c>
      <c r="K20" s="10">
        <f>Tabella3[[#This Row],[Italy fit]]*NOT(ISBLANK(Tabella3[[#This Row],[Italy]]))</f>
        <v>64.099498858908859</v>
      </c>
      <c r="L20" s="10">
        <f>Tabella3[[#This Row],[Italy sum]]+CIw</f>
        <v>201.13817037144895</v>
      </c>
      <c r="M20" s="10">
        <f>MAX(Tabella3[[#This Row],[Italy sum]]-CIw,0)</f>
        <v>0</v>
      </c>
      <c r="N20" s="4">
        <v>154</v>
      </c>
      <c r="O20" s="10">
        <f>Tabella3[[#This Row],[Cum_Lom]]-N19</f>
        <v>19</v>
      </c>
      <c r="P20" s="10">
        <f>Tabella3[[#This Row],[Lombardy]]*NOT(ISBLANK(Tabella3[[#This Row],[Lombardy]]))</f>
        <v>19</v>
      </c>
      <c r="Q20" s="10">
        <f>Kl*EXP(-EXP(-(Tabella3[[#This Row],[Day]]-t0l)/wl))</f>
        <v>119.01064174449056</v>
      </c>
      <c r="R20" s="10">
        <f>Kl*EXP(-EXP(-(Tabella3[[#This Row],[Day]]-t0l)/wl))*EXP(-(Tabella3[[#This Row],[Day]]-t0l)/wl)/wl</f>
        <v>46.344685721189649</v>
      </c>
      <c r="S20" s="10">
        <f>Tabella3[[#This Row],[Lombardy fit]]*NOT(ISBLANK(Tabella3[[#This Row],[Lombardy]]))</f>
        <v>46.344685721189649</v>
      </c>
      <c r="T20" s="10">
        <f>Tabella3[[#This Row],[Lombardy fit]]+CIl</f>
        <v>167.49437128996192</v>
      </c>
      <c r="U20" s="10">
        <f>MAX(Tabella3[[#This Row],[Lombardy fit]]-CIl,0)</f>
        <v>0</v>
      </c>
      <c r="V20" s="10">
        <f>Tabella3[[#This Row],[Cum_Italy]]-Tabella3[[#This Row],[Cum_Lom]]</f>
        <v>79</v>
      </c>
      <c r="W20" s="10">
        <f>Tabella3[[#This Row],[Cum_o]]-V19</f>
        <v>17</v>
      </c>
      <c r="X20" s="10">
        <f>Tabella3[[#This Row],[rest of Italy]]*NOT(ISBLANK(Tabella3[[#This Row],[rest of Italy]]))</f>
        <v>17</v>
      </c>
      <c r="Y20" s="10">
        <f>Ka*EXP(-EXP(-(Tabella3[[#This Row],[Day]]-t0a)/wa))</f>
        <v>42.285203700056371</v>
      </c>
      <c r="Z20" s="10">
        <f>Ka*EXP(-EXP(-(Tabella3[[#This Row],[Day]]-t0a)/wa))*EXP(-(Tabella3[[#This Row],[Day]]-t0a)/wa)/wa</f>
        <v>18.114069069169783</v>
      </c>
      <c r="AA20" s="10">
        <f>Tabella3[[#This Row],[rest of Italy fit]]*NOT(ISBLANK(Tabella3[[#This Row],[rest of Italy]]))</f>
        <v>18.114069069169783</v>
      </c>
      <c r="AB20" s="10">
        <f>Tabella3[[#This Row],[rest of Italy fit]]+CIa</f>
        <v>84.411373681846158</v>
      </c>
      <c r="AC20" s="10">
        <f>MAX(Tabella3[[#This Row],[rest of Italy fit]]-CIa,0)</f>
        <v>0</v>
      </c>
      <c r="AD20" s="1"/>
      <c r="AE20" s="17" t="s">
        <v>0</v>
      </c>
      <c r="AF20" s="5">
        <f>Kr</f>
        <v>13805.081935152721</v>
      </c>
      <c r="AS20" s="74">
        <f>{32767;32767;0.000001;0;FALSE;FALSE;FALSE;1;2;1;0.0001;TRUE}</f>
        <v>32767</v>
      </c>
    </row>
    <row r="21" spans="2:45" ht="15.6" x14ac:dyDescent="0.35">
      <c r="B21" s="18">
        <v>43898</v>
      </c>
      <c r="C21" s="4">
        <f t="shared" si="0"/>
        <v>13</v>
      </c>
      <c r="D21" s="10">
        <f>'dpc-covid19-ita-andamento-naz'!K15</f>
        <v>366</v>
      </c>
      <c r="E21" s="10">
        <f>Tabella3[[#This Row],[Cum_Italy]]-D20</f>
        <v>133</v>
      </c>
      <c r="F21" s="10">
        <f>Tabella3[[#This Row],[Italy]]*NOT(ISBLANK(Tabella3[[#This Row],[Italy]]))</f>
        <v>133</v>
      </c>
      <c r="G21" s="10">
        <f>Tabella3[[#This Row],[Cum_L_fit]]+Tabella3[[#This Row],[Cum_o_fit]]</f>
        <v>236.8692059911252</v>
      </c>
      <c r="H21" s="10">
        <f>Tabella3[[#This Row],[Lombardy fit]]+Tabella3[[#This Row],[rest of Italy fit]]</f>
        <v>87.479011529916832</v>
      </c>
      <c r="I21" s="10">
        <f>Kf*EXP(-EXP(-(Tabella3[[#This Row],[Day]]-t0f)/wf))*EXP(-(Tabella3[[#This Row],[Day]]-t0f)/wf)/wf</f>
        <v>86.930829011068809</v>
      </c>
      <c r="J21" s="10">
        <f>Tabella3[[#This Row],[Italy sum]]*NOT(ISBLANK(Tabella3[[#This Row],[Italy]]))</f>
        <v>87.479011529916832</v>
      </c>
      <c r="K21" s="10">
        <f>Tabella3[[#This Row],[Italy fit]]*NOT(ISBLANK(Tabella3[[#This Row],[Italy]]))</f>
        <v>86.930829011068809</v>
      </c>
      <c r="L21" s="10">
        <f>Tabella3[[#This Row],[Italy sum]]+CIw</f>
        <v>224.15842711100635</v>
      </c>
      <c r="M21" s="10">
        <f>MAX(Tabella3[[#This Row],[Italy sum]]-CIw,0)</f>
        <v>0</v>
      </c>
      <c r="N21" s="4">
        <v>267</v>
      </c>
      <c r="O21" s="10">
        <f>Tabella3[[#This Row],[Cum_Lom]]-N20</f>
        <v>113</v>
      </c>
      <c r="P21" s="10">
        <f>Tabella3[[#This Row],[Lombardy]]*NOT(ISBLANK(Tabella3[[#This Row],[Lombardy]]))</f>
        <v>113</v>
      </c>
      <c r="Q21" s="10">
        <f>Kl*EXP(-EXP(-(Tabella3[[#This Row],[Day]]-t0l)/wl))</f>
        <v>172.96779094601177</v>
      </c>
      <c r="R21" s="10">
        <f>Kl*EXP(-EXP(-(Tabella3[[#This Row],[Day]]-t0l)/wl))*EXP(-(Tabella3[[#This Row],[Day]]-t0l)/wl)/wl</f>
        <v>62.05856011670965</v>
      </c>
      <c r="S21" s="10">
        <f>Tabella3[[#This Row],[Lombardy fit]]*NOT(ISBLANK(Tabella3[[#This Row],[Lombardy]]))</f>
        <v>62.05856011670965</v>
      </c>
      <c r="T21" s="10">
        <f>Tabella3[[#This Row],[Lombardy fit]]+CIl</f>
        <v>183.2082456854819</v>
      </c>
      <c r="U21" s="10">
        <f>MAX(Tabella3[[#This Row],[Lombardy fit]]-CIl,0)</f>
        <v>0</v>
      </c>
      <c r="V21" s="10">
        <f>Tabella3[[#This Row],[Cum_Italy]]-Tabella3[[#This Row],[Cum_Lom]]</f>
        <v>99</v>
      </c>
      <c r="W21" s="10">
        <f>Tabella3[[#This Row],[Cum_o]]-V20</f>
        <v>20</v>
      </c>
      <c r="X21" s="10">
        <f>Tabella3[[#This Row],[rest of Italy]]*NOT(ISBLANK(Tabella3[[#This Row],[rest of Italy]]))</f>
        <v>20</v>
      </c>
      <c r="Y21" s="10">
        <f>Ka*EXP(-EXP(-(Tabella3[[#This Row],[Day]]-t0a)/wa))</f>
        <v>63.901415045113417</v>
      </c>
      <c r="Z21" s="10">
        <f>Ka*EXP(-EXP(-(Tabella3[[#This Row],[Day]]-t0a)/wa))*EXP(-(Tabella3[[#This Row],[Day]]-t0a)/wa)/wa</f>
        <v>25.420451413207179</v>
      </c>
      <c r="AA21" s="10">
        <f>Tabella3[[#This Row],[rest of Italy fit]]*NOT(ISBLANK(Tabella3[[#This Row],[rest of Italy]]))</f>
        <v>25.420451413207179</v>
      </c>
      <c r="AB21" s="10">
        <f>Tabella3[[#This Row],[rest of Italy fit]]+CIa</f>
        <v>91.717756025883546</v>
      </c>
      <c r="AC21" s="10">
        <f>MAX(Tabella3[[#This Row],[rest of Italy fit]]-CIa,0)</f>
        <v>0</v>
      </c>
      <c r="AD21" s="1"/>
      <c r="AE21" s="17" t="s">
        <v>24</v>
      </c>
      <c r="AF21" s="37">
        <f>t0r</f>
        <v>31.029362508909827</v>
      </c>
      <c r="AS21" s="74">
        <f>{0;0;1;100;0;FALSE;FALSE;0.075;0;0;FALSE;30}</f>
        <v>0</v>
      </c>
    </row>
    <row r="22" spans="2:45" x14ac:dyDescent="0.3">
      <c r="B22" s="9">
        <v>43899</v>
      </c>
      <c r="C22" s="4">
        <f t="shared" si="0"/>
        <v>14</v>
      </c>
      <c r="D22" s="10">
        <f>'dpc-covid19-ita-andamento-naz'!K16</f>
        <v>463</v>
      </c>
      <c r="E22" s="10">
        <f>Tabella3[[#This Row],[Cum_Italy]]-D21</f>
        <v>97</v>
      </c>
      <c r="F22" s="10">
        <f>Tabella3[[#This Row],[Italy]]*NOT(ISBLANK(Tabella3[[#This Row],[Italy]]))</f>
        <v>97</v>
      </c>
      <c r="G22" s="10">
        <f>Tabella3[[#This Row],[Cum_L_fit]]+Tabella3[[#This Row],[Cum_o_fit]]</f>
        <v>337.86659867552828</v>
      </c>
      <c r="H22" s="10">
        <f>Tabella3[[#This Row],[Lombardy fit]]+Tabella3[[#This Row],[rest of Italy fit]]</f>
        <v>115.33022411676868</v>
      </c>
      <c r="I22" s="10">
        <f>Kf*EXP(-EXP(-(Tabella3[[#This Row],[Day]]-t0f)/wf))*EXP(-(Tabella3[[#This Row],[Day]]-t0f)/wf)/wf</f>
        <v>114.59086007603618</v>
      </c>
      <c r="J22" s="10">
        <f>Tabella3[[#This Row],[Italy sum]]*NOT(ISBLANK(Tabella3[[#This Row],[Italy]]))</f>
        <v>115.33022411676868</v>
      </c>
      <c r="K22" s="10">
        <f>Tabella3[[#This Row],[Italy fit]]*NOT(ISBLANK(Tabella3[[#This Row],[Italy]]))</f>
        <v>114.59086007603618</v>
      </c>
      <c r="L22" s="10">
        <f>Tabella3[[#This Row],[Italy sum]]+CIw</f>
        <v>252.00963969785818</v>
      </c>
      <c r="M22" s="10">
        <f>MAX(Tabella3[[#This Row],[Italy sum]]-CIw,0)</f>
        <v>0</v>
      </c>
      <c r="N22" s="4">
        <v>333</v>
      </c>
      <c r="O22" s="10">
        <f>Tabella3[[#This Row],[Cum_Lom]]-N21</f>
        <v>66</v>
      </c>
      <c r="P22" s="10">
        <f>Tabella3[[#This Row],[Lombardy]]*NOT(ISBLANK(Tabella3[[#This Row],[Lombardy]]))</f>
        <v>66</v>
      </c>
      <c r="Q22" s="10">
        <f>Kl*EXP(-EXP(-(Tabella3[[#This Row],[Day]]-t0l)/wl))</f>
        <v>244.10278560129476</v>
      </c>
      <c r="R22" s="10">
        <f>Kl*EXP(-EXP(-(Tabella3[[#This Row],[Day]]-t0l)/wl))*EXP(-(Tabella3[[#This Row],[Day]]-t0l)/wl)/wl</f>
        <v>80.69219011396153</v>
      </c>
      <c r="S22" s="10">
        <f>Tabella3[[#This Row],[Lombardy fit]]*NOT(ISBLANK(Tabella3[[#This Row],[Lombardy]]))</f>
        <v>80.69219011396153</v>
      </c>
      <c r="T22" s="10">
        <f>Tabella3[[#This Row],[Lombardy fit]]+CIl</f>
        <v>201.84187568273379</v>
      </c>
      <c r="U22" s="10">
        <f>MAX(Tabella3[[#This Row],[Lombardy fit]]-CIl,0)</f>
        <v>0</v>
      </c>
      <c r="V22" s="10">
        <f>Tabella3[[#This Row],[Cum_Italy]]-Tabella3[[#This Row],[Cum_Lom]]</f>
        <v>130</v>
      </c>
      <c r="W22" s="10">
        <f>Tabella3[[#This Row],[Cum_o]]-V21</f>
        <v>31</v>
      </c>
      <c r="X22" s="10">
        <f>Tabella3[[#This Row],[rest of Italy]]*NOT(ISBLANK(Tabella3[[#This Row],[rest of Italy]]))</f>
        <v>31</v>
      </c>
      <c r="Y22" s="10">
        <f>Ka*EXP(-EXP(-(Tabella3[[#This Row],[Day]]-t0a)/wa))</f>
        <v>93.763813074233511</v>
      </c>
      <c r="Z22" s="10">
        <f>Ka*EXP(-EXP(-(Tabella3[[#This Row],[Day]]-t0a)/wa))*EXP(-(Tabella3[[#This Row],[Day]]-t0a)/wa)/wa</f>
        <v>34.638034002807146</v>
      </c>
      <c r="AA22" s="10">
        <f>Tabella3[[#This Row],[rest of Italy fit]]*NOT(ISBLANK(Tabella3[[#This Row],[rest of Italy]]))</f>
        <v>34.638034002807146</v>
      </c>
      <c r="AB22" s="10">
        <f>Tabella3[[#This Row],[rest of Italy fit]]+CIa</f>
        <v>100.93533861548352</v>
      </c>
      <c r="AC22" s="10">
        <f>MAX(Tabella3[[#This Row],[rest of Italy fit]]-CIa,0)</f>
        <v>0</v>
      </c>
      <c r="AD22" s="1"/>
      <c r="AE22" s="17" t="s">
        <v>1</v>
      </c>
      <c r="AF22" s="37">
        <f>wr</f>
        <v>12.206933669002085</v>
      </c>
      <c r="AS22" s="74">
        <f>{32767;32767;0.000001;0;FALSE;FALSE;FALSE;1;2;1;0.0001;TRUE}</f>
        <v>32767</v>
      </c>
    </row>
    <row r="23" spans="2:45" x14ac:dyDescent="0.3">
      <c r="B23" s="18">
        <v>43900</v>
      </c>
      <c r="C23" s="4">
        <f t="shared" si="0"/>
        <v>15</v>
      </c>
      <c r="D23" s="10">
        <f>'dpc-covid19-ita-andamento-naz'!K17</f>
        <v>631</v>
      </c>
      <c r="E23" s="10">
        <f>Tabella3[[#This Row],[Cum_Italy]]-D22</f>
        <v>168</v>
      </c>
      <c r="F23" s="10">
        <f>Tabella3[[#This Row],[Italy]]*NOT(ISBLANK(Tabella3[[#This Row],[Italy]]))</f>
        <v>168</v>
      </c>
      <c r="G23" s="10">
        <f>Tabella3[[#This Row],[Cum_L_fit]]+Tabella3[[#This Row],[Cum_o_fit]]</f>
        <v>469.15180449915442</v>
      </c>
      <c r="H23" s="10">
        <f>Tabella3[[#This Row],[Lombardy fit]]+Tabella3[[#This Row],[rest of Italy fit]]</f>
        <v>148.03998310579283</v>
      </c>
      <c r="I23" s="10">
        <f>Kf*EXP(-EXP(-(Tabella3[[#This Row],[Day]]-t0f)/wf))*EXP(-(Tabella3[[#This Row],[Day]]-t0f)/wf)/wf</f>
        <v>147.13007361314388</v>
      </c>
      <c r="J23" s="10">
        <f>Tabella3[[#This Row],[Italy sum]]*NOT(ISBLANK(Tabella3[[#This Row],[Italy]]))</f>
        <v>148.03998310579283</v>
      </c>
      <c r="K23" s="10">
        <f>Tabella3[[#This Row],[Italy fit]]*NOT(ISBLANK(Tabella3[[#This Row],[Italy]]))</f>
        <v>147.13007361314388</v>
      </c>
      <c r="L23" s="10">
        <f>Tabella3[[#This Row],[Italy sum]]+CIw</f>
        <v>284.7193986868823</v>
      </c>
      <c r="M23" s="10">
        <f>MAX(Tabella3[[#This Row],[Italy sum]]-CIw,0)</f>
        <v>11.360567524703328</v>
      </c>
      <c r="N23" s="4">
        <v>468</v>
      </c>
      <c r="O23" s="10">
        <f>Tabella3[[#This Row],[Cum_Lom]]-N22</f>
        <v>135</v>
      </c>
      <c r="P23" s="10">
        <f>Tabella3[[#This Row],[Lombardy]]*NOT(ISBLANK(Tabella3[[#This Row],[Lombardy]]))</f>
        <v>135</v>
      </c>
      <c r="Q23" s="10">
        <f>Kl*EXP(-EXP(-(Tabella3[[#This Row],[Day]]-t0l)/wl))</f>
        <v>335.28402646061807</v>
      </c>
      <c r="R23" s="10">
        <f>Kl*EXP(-EXP(-(Tabella3[[#This Row],[Day]]-t0l)/wl))*EXP(-(Tabella3[[#This Row],[Day]]-t0l)/wl)/wl</f>
        <v>102.11603478980638</v>
      </c>
      <c r="S23" s="10">
        <f>Tabella3[[#This Row],[Lombardy fit]]*NOT(ISBLANK(Tabella3[[#This Row],[Lombardy]]))</f>
        <v>102.11603478980638</v>
      </c>
      <c r="T23" s="10">
        <f>Tabella3[[#This Row],[Lombardy fit]]+CIl</f>
        <v>223.26572035857862</v>
      </c>
      <c r="U23" s="10">
        <f>MAX(Tabella3[[#This Row],[Lombardy fit]]-CIl,0)</f>
        <v>0</v>
      </c>
      <c r="V23" s="10">
        <f>Tabella3[[#This Row],[Cum_Italy]]-Tabella3[[#This Row],[Cum_Lom]]</f>
        <v>163</v>
      </c>
      <c r="W23" s="10">
        <f>Tabella3[[#This Row],[Cum_o]]-V22</f>
        <v>33</v>
      </c>
      <c r="X23" s="10">
        <f>Tabella3[[#This Row],[rest of Italy]]*NOT(ISBLANK(Tabella3[[#This Row],[rest of Italy]]))</f>
        <v>33</v>
      </c>
      <c r="Y23" s="10">
        <f>Ka*EXP(-EXP(-(Tabella3[[#This Row],[Day]]-t0a)/wa))</f>
        <v>133.86777803853636</v>
      </c>
      <c r="Z23" s="10">
        <f>Ka*EXP(-EXP(-(Tabella3[[#This Row],[Day]]-t0a)/wa))*EXP(-(Tabella3[[#This Row],[Day]]-t0a)/wa)/wa</f>
        <v>45.923948315986451</v>
      </c>
      <c r="AA23" s="10">
        <f>Tabella3[[#This Row],[rest of Italy fit]]*NOT(ISBLANK(Tabella3[[#This Row],[rest of Italy]]))</f>
        <v>45.923948315986451</v>
      </c>
      <c r="AB23" s="10">
        <f>Tabella3[[#This Row],[rest of Italy fit]]+CIa</f>
        <v>112.22125292866282</v>
      </c>
      <c r="AC23" s="10">
        <f>MAX(Tabella3[[#This Row],[rest of Italy fit]]-CIa,0)</f>
        <v>0</v>
      </c>
      <c r="AD23" s="1"/>
      <c r="AE23" s="2" t="s">
        <v>2</v>
      </c>
      <c r="AF23" s="1">
        <f>AVERAGE(Tabella3[Lombardy])</f>
        <v>221.14583333333334</v>
      </c>
      <c r="AS23" s="75">
        <f>{0;0;1;100;0;FALSE;FALSE;0.075;0;0;FALSE;30}</f>
        <v>0</v>
      </c>
    </row>
    <row r="24" spans="2:45" x14ac:dyDescent="0.3">
      <c r="B24" s="9">
        <v>43901</v>
      </c>
      <c r="C24" s="4">
        <f t="shared" si="0"/>
        <v>16</v>
      </c>
      <c r="D24" s="10">
        <f>'dpc-covid19-ita-andamento-naz'!K18</f>
        <v>827</v>
      </c>
      <c r="E24" s="10">
        <f>Tabella3[[#This Row],[Cum_Italy]]-D23</f>
        <v>196</v>
      </c>
      <c r="F24" s="10">
        <f>Tabella3[[#This Row],[Italy]]*NOT(ISBLANK(Tabella3[[#This Row],[Italy]]))</f>
        <v>196</v>
      </c>
      <c r="G24" s="10">
        <f>Tabella3[[#This Row],[Cum_L_fit]]+Tabella3[[#This Row],[Cum_o_fit]]</f>
        <v>635.49967321224733</v>
      </c>
      <c r="H24" s="10">
        <f>Tabella3[[#This Row],[Lombardy fit]]+Tabella3[[#This Row],[rest of Italy fit]]</f>
        <v>185.40116767585047</v>
      </c>
      <c r="I24" s="10">
        <f>Kf*EXP(-EXP(-(Tabella3[[#This Row],[Day]]-t0f)/wf))*EXP(-(Tabella3[[#This Row],[Day]]-t0f)/wf)/wf</f>
        <v>184.36490709001899</v>
      </c>
      <c r="J24" s="10">
        <f>Tabella3[[#This Row],[Italy sum]]*NOT(ISBLANK(Tabella3[[#This Row],[Italy]]))</f>
        <v>185.40116767585047</v>
      </c>
      <c r="K24" s="10">
        <f>Tabella3[[#This Row],[Italy fit]]*NOT(ISBLANK(Tabella3[[#This Row],[Italy]]))</f>
        <v>184.36490709001899</v>
      </c>
      <c r="L24" s="10">
        <f>Tabella3[[#This Row],[Italy sum]]+CIw</f>
        <v>322.08058325693997</v>
      </c>
      <c r="M24" s="10">
        <f>MAX(Tabella3[[#This Row],[Italy sum]]-CIw,0)</f>
        <v>48.721752094760973</v>
      </c>
      <c r="N24" s="4">
        <v>617</v>
      </c>
      <c r="O24" s="10">
        <f>Tabella3[[#This Row],[Cum_Lom]]-N23</f>
        <v>149</v>
      </c>
      <c r="P24" s="10">
        <f>Tabella3[[#This Row],[Lombardy]]*NOT(ISBLANK(Tabella3[[#This Row],[Lombardy]]))</f>
        <v>149</v>
      </c>
      <c r="Q24" s="10">
        <f>Kl*EXP(-EXP(-(Tabella3[[#This Row],[Day]]-t0l)/wl))</f>
        <v>449.17045732287943</v>
      </c>
      <c r="R24" s="10">
        <f>Kl*EXP(-EXP(-(Tabella3[[#This Row],[Day]]-t0l)/wl))*EXP(-(Tabella3[[#This Row],[Day]]-t0l)/wl)/wl</f>
        <v>126.04179375570924</v>
      </c>
      <c r="S24" s="10">
        <f>Tabella3[[#This Row],[Lombardy fit]]*NOT(ISBLANK(Tabella3[[#This Row],[Lombardy]]))</f>
        <v>126.04179375570924</v>
      </c>
      <c r="T24" s="10">
        <f>Tabella3[[#This Row],[Lombardy fit]]+CIl</f>
        <v>247.19147932448149</v>
      </c>
      <c r="U24" s="10">
        <f>MAX(Tabella3[[#This Row],[Lombardy fit]]-CIl,0)</f>
        <v>4.89210818693698</v>
      </c>
      <c r="V24" s="10">
        <f>Tabella3[[#This Row],[Cum_Italy]]-Tabella3[[#This Row],[Cum_Lom]]</f>
        <v>210</v>
      </c>
      <c r="W24" s="10">
        <f>Tabella3[[#This Row],[Cum_o]]-V23</f>
        <v>47</v>
      </c>
      <c r="X24" s="10">
        <f>Tabella3[[#This Row],[rest of Italy]]*NOT(ISBLANK(Tabella3[[#This Row],[rest of Italy]]))</f>
        <v>47</v>
      </c>
      <c r="Y24" s="10">
        <f>Ka*EXP(-EXP(-(Tabella3[[#This Row],[Day]]-t0a)/wa))</f>
        <v>186.32921588936787</v>
      </c>
      <c r="Z24" s="10">
        <f>Ka*EXP(-EXP(-(Tabella3[[#This Row],[Day]]-t0a)/wa))*EXP(-(Tabella3[[#This Row],[Day]]-t0a)/wa)/wa</f>
        <v>59.359373920141245</v>
      </c>
      <c r="AA24" s="10">
        <f>Tabella3[[#This Row],[rest of Italy fit]]*NOT(ISBLANK(Tabella3[[#This Row],[rest of Italy]]))</f>
        <v>59.359373920141245</v>
      </c>
      <c r="AB24" s="10">
        <f>Tabella3[[#This Row],[rest of Italy fit]]+CIa</f>
        <v>125.65667853281761</v>
      </c>
      <c r="AC24" s="10">
        <f>MAX(Tabella3[[#This Row],[rest of Italy fit]]-CIa,0)</f>
        <v>0</v>
      </c>
      <c r="AD24" s="1"/>
      <c r="AE24" s="2" t="s">
        <v>3</v>
      </c>
      <c r="AF24" s="1">
        <f>COUNT(Tabella3[Lombardy])-COUNT(AF20:AF22)</f>
        <v>45</v>
      </c>
      <c r="AS24" s="76"/>
    </row>
    <row r="25" spans="2:45" x14ac:dyDescent="0.3">
      <c r="B25" s="18">
        <v>43902</v>
      </c>
      <c r="C25" s="4">
        <f t="shared" si="0"/>
        <v>17</v>
      </c>
      <c r="D25" s="10">
        <f>'dpc-covid19-ita-andamento-naz'!K19</f>
        <v>1016</v>
      </c>
      <c r="E25" s="10">
        <f>Tabella3[[#This Row],[Cum_Italy]]-D24</f>
        <v>189</v>
      </c>
      <c r="F25" s="10">
        <f>Tabella3[[#This Row],[Italy]]*NOT(ISBLANK(Tabella3[[#This Row],[Italy]]))</f>
        <v>189</v>
      </c>
      <c r="G25" s="10">
        <f>Tabella3[[#This Row],[Cum_L_fit]]+Tabella3[[#This Row],[Cum_o_fit]]</f>
        <v>841.35977210422482</v>
      </c>
      <c r="H25" s="10">
        <f>Tabella3[[#This Row],[Lombardy fit]]+Tabella3[[#This Row],[rest of Italy fit]]</f>
        <v>226.97200408343815</v>
      </c>
      <c r="I25" s="10">
        <f>Kf*EXP(-EXP(-(Tabella3[[#This Row],[Day]]-t0f)/wf))*EXP(-(Tabella3[[#This Row],[Day]]-t0f)/wf)/wf</f>
        <v>225.87448431357512</v>
      </c>
      <c r="J25" s="10">
        <f>Tabella3[[#This Row],[Italy sum]]*NOT(ISBLANK(Tabella3[[#This Row],[Italy]]))</f>
        <v>226.97200408343815</v>
      </c>
      <c r="K25" s="10">
        <f>Tabella3[[#This Row],[Italy fit]]*NOT(ISBLANK(Tabella3[[#This Row],[Italy]]))</f>
        <v>225.87448431357512</v>
      </c>
      <c r="L25" s="10">
        <f>Tabella3[[#This Row],[Italy sum]]+CIw</f>
        <v>363.65141966452768</v>
      </c>
      <c r="M25" s="10">
        <f>MAX(Tabella3[[#This Row],[Italy sum]]-CIw,0)</f>
        <v>90.29258850234865</v>
      </c>
      <c r="N25" s="4">
        <v>744</v>
      </c>
      <c r="O25" s="10">
        <f>Tabella3[[#This Row],[Cum_Lom]]-N24</f>
        <v>127</v>
      </c>
      <c r="P25" s="10">
        <f>Tabella3[[#This Row],[Lombardy]]*NOT(ISBLANK(Tabella3[[#This Row],[Lombardy]]))</f>
        <v>127</v>
      </c>
      <c r="Q25" s="10">
        <f>Kl*EXP(-EXP(-(Tabella3[[#This Row],[Day]]-t0l)/wl))</f>
        <v>588.05840263096559</v>
      </c>
      <c r="R25" s="10">
        <f>Kl*EXP(-EXP(-(Tabella3[[#This Row],[Day]]-t0l)/wl))*EXP(-(Tabella3[[#This Row],[Day]]-t0l)/wl)/wl</f>
        <v>152.03590458794037</v>
      </c>
      <c r="S25" s="10">
        <f>Tabella3[[#This Row],[Lombardy fit]]*NOT(ISBLANK(Tabella3[[#This Row],[Lombardy]]))</f>
        <v>152.03590458794037</v>
      </c>
      <c r="T25" s="10">
        <f>Tabella3[[#This Row],[Lombardy fit]]+CIl</f>
        <v>273.18559015671264</v>
      </c>
      <c r="U25" s="10">
        <f>MAX(Tabella3[[#This Row],[Lombardy fit]]-CIl,0)</f>
        <v>30.886219019168109</v>
      </c>
      <c r="V25" s="10">
        <f>Tabella3[[#This Row],[Cum_Italy]]-Tabella3[[#This Row],[Cum_Lom]]</f>
        <v>272</v>
      </c>
      <c r="W25" s="10">
        <f>Tabella3[[#This Row],[Cum_o]]-V24</f>
        <v>62</v>
      </c>
      <c r="X25" s="10">
        <f>Tabella3[[#This Row],[rest of Italy]]*NOT(ISBLANK(Tabella3[[#This Row],[rest of Italy]]))</f>
        <v>62</v>
      </c>
      <c r="Y25" s="10">
        <f>Ka*EXP(-EXP(-(Tabella3[[#This Row],[Day]]-t0a)/wa))</f>
        <v>253.3013694732592</v>
      </c>
      <c r="Z25" s="10">
        <f>Ka*EXP(-EXP(-(Tabella3[[#This Row],[Day]]-t0a)/wa))*EXP(-(Tabella3[[#This Row],[Day]]-t0a)/wa)/wa</f>
        <v>74.9360994954978</v>
      </c>
      <c r="AA25" s="10">
        <f>Tabella3[[#This Row],[rest of Italy fit]]*NOT(ISBLANK(Tabella3[[#This Row],[rest of Italy]]))</f>
        <v>74.9360994954978</v>
      </c>
      <c r="AB25" s="10">
        <f>Tabella3[[#This Row],[rest of Italy fit]]+CIa</f>
        <v>141.23340410817417</v>
      </c>
      <c r="AC25" s="10">
        <f>MAX(Tabella3[[#This Row],[rest of Italy fit]]-CIa,0)</f>
        <v>8.6387948828214292</v>
      </c>
      <c r="AD25" s="1"/>
      <c r="AE25" s="2" t="s">
        <v>4</v>
      </c>
      <c r="AF25" s="6" cm="1">
        <f t="array" ref="AF25">SQRT(SUM((Tabella3[Colonna3]-Tabella3[Colonna32])^2)/dfl)</f>
        <v>60.150678578665293</v>
      </c>
      <c r="AS25" s="77"/>
    </row>
    <row r="26" spans="2:45" ht="16.2" x14ac:dyDescent="0.3">
      <c r="B26" s="9">
        <v>43903</v>
      </c>
      <c r="C26" s="4">
        <f t="shared" si="0"/>
        <v>18</v>
      </c>
      <c r="D26" s="10">
        <f>'dpc-covid19-ita-andamento-naz'!K20</f>
        <v>1266</v>
      </c>
      <c r="E26" s="10">
        <f>Tabella3[[#This Row],[Cum_Italy]]-D25</f>
        <v>250</v>
      </c>
      <c r="F26" s="10">
        <f>Tabella3[[#This Row],[Italy]]*NOT(ISBLANK(Tabella3[[#This Row],[Italy]]))</f>
        <v>250</v>
      </c>
      <c r="G26" s="10">
        <f>Tabella3[[#This Row],[Cum_L_fit]]+Tabella3[[#This Row],[Cum_o_fit]]</f>
        <v>1090.6298602218505</v>
      </c>
      <c r="H26" s="10">
        <f>Tabella3[[#This Row],[Lombardy fit]]+Tabella3[[#This Row],[rest of Italy fit]]</f>
        <v>272.09533461911809</v>
      </c>
      <c r="I26" s="10">
        <f>Kf*EXP(-EXP(-(Tabella3[[#This Row],[Day]]-t0f)/wf))*EXP(-(Tabella3[[#This Row],[Day]]-t0f)/wf)/wf</f>
        <v>271.01693871704697</v>
      </c>
      <c r="J26" s="10">
        <f>Tabella3[[#This Row],[Italy sum]]*NOT(ISBLANK(Tabella3[[#This Row],[Italy]]))</f>
        <v>272.09533461911809</v>
      </c>
      <c r="K26" s="10">
        <f>Tabella3[[#This Row],[Italy fit]]*NOT(ISBLANK(Tabella3[[#This Row],[Italy]]))</f>
        <v>271.01693871704697</v>
      </c>
      <c r="L26" s="10">
        <f>Tabella3[[#This Row],[Italy sum]]+CIw</f>
        <v>408.77475020020756</v>
      </c>
      <c r="M26" s="10">
        <f>MAX(Tabella3[[#This Row],[Italy sum]]-CIw,0)</f>
        <v>135.41591903802859</v>
      </c>
      <c r="N26" s="4">
        <v>890</v>
      </c>
      <c r="O26" s="10">
        <f>Tabella3[[#This Row],[Cum_Lom]]-N25</f>
        <v>146</v>
      </c>
      <c r="P26" s="10">
        <f>Tabella3[[#This Row],[Lombardy]]*NOT(ISBLANK(Tabella3[[#This Row],[Lombardy]]))</f>
        <v>146</v>
      </c>
      <c r="Q26" s="10">
        <f>Kl*EXP(-EXP(-(Tabella3[[#This Row],[Day]]-t0l)/wl))</f>
        <v>753.74835608304932</v>
      </c>
      <c r="R26" s="10">
        <f>Kl*EXP(-EXP(-(Tabella3[[#This Row],[Day]]-t0l)/wl))*EXP(-(Tabella3[[#This Row],[Day]]-t0l)/wl)/wl</f>
        <v>179.54544517953056</v>
      </c>
      <c r="S26" s="10">
        <f>Tabella3[[#This Row],[Lombardy fit]]*NOT(ISBLANK(Tabella3[[#This Row],[Lombardy]]))</f>
        <v>179.54544517953056</v>
      </c>
      <c r="T26" s="10">
        <f>Tabella3[[#This Row],[Lombardy fit]]+CIl</f>
        <v>300.6951307483028</v>
      </c>
      <c r="U26" s="10">
        <f>MAX(Tabella3[[#This Row],[Lombardy fit]]-CIl,0)</f>
        <v>58.395759610758304</v>
      </c>
      <c r="V26" s="10">
        <f>Tabella3[[#This Row],[Cum_Italy]]-Tabella3[[#This Row],[Cum_Lom]]</f>
        <v>376</v>
      </c>
      <c r="W26" s="10">
        <f>Tabella3[[#This Row],[Cum_o]]-V25</f>
        <v>104</v>
      </c>
      <c r="X26" s="10">
        <f>Tabella3[[#This Row],[rest of Italy]]*NOT(ISBLANK(Tabella3[[#This Row],[rest of Italy]]))</f>
        <v>104</v>
      </c>
      <c r="Y26" s="10">
        <f>Ka*EXP(-EXP(-(Tabella3[[#This Row],[Day]]-t0a)/wa))</f>
        <v>336.88150413880123</v>
      </c>
      <c r="Z26" s="10">
        <f>Ka*EXP(-EXP(-(Tabella3[[#This Row],[Day]]-t0a)/wa))*EXP(-(Tabella3[[#This Row],[Day]]-t0a)/wa)/wa</f>
        <v>92.549889439587531</v>
      </c>
      <c r="AA26" s="10">
        <f>Tabella3[[#This Row],[rest of Italy fit]]*NOT(ISBLANK(Tabella3[[#This Row],[rest of Italy]]))</f>
        <v>92.549889439587531</v>
      </c>
      <c r="AB26" s="10">
        <f>Tabella3[[#This Row],[rest of Italy fit]]+CIa</f>
        <v>158.84719405226389</v>
      </c>
      <c r="AC26" s="10">
        <f>MAX(Tabella3[[#This Row],[rest of Italy fit]]-CIa,0)</f>
        <v>26.252584826911161</v>
      </c>
      <c r="AD26" s="1"/>
      <c r="AE26" s="2" t="s">
        <v>5</v>
      </c>
      <c r="AF26" s="7" cm="1">
        <f t="array" ref="AF26">1-SUM((Tabella3[Colonna3]-Tabella3[Colonna32])^2)/SUM((Tabella3[Colonna3]-Mean_of_yl)^2)</f>
        <v>0.93246322509116208</v>
      </c>
      <c r="AS26" s="77"/>
    </row>
    <row r="27" spans="2:45" ht="15" thickBot="1" x14ac:dyDescent="0.35">
      <c r="B27" s="9">
        <v>43904</v>
      </c>
      <c r="C27" s="4">
        <f t="shared" si="0"/>
        <v>19</v>
      </c>
      <c r="D27" s="10">
        <f>'dpc-covid19-ita-andamento-naz'!K21</f>
        <v>1441</v>
      </c>
      <c r="E27" s="10">
        <f>Tabella3[[#This Row],[Cum_Italy]]-D26</f>
        <v>175</v>
      </c>
      <c r="F27" s="10">
        <f>Tabella3[[#This Row],[Italy]]*NOT(ISBLANK(Tabella3[[#This Row],[Italy]]))</f>
        <v>175</v>
      </c>
      <c r="G27" s="10">
        <f>Tabella3[[#This Row],[Cum_L_fit]]+Tabella3[[#This Row],[Cum_o_fit]]</f>
        <v>1386.4570822278151</v>
      </c>
      <c r="H27" s="10">
        <f>Tabella3[[#This Row],[Lombardy fit]]+Tabella3[[#This Row],[rest of Italy fit]]</f>
        <v>319.93414283465029</v>
      </c>
      <c r="I27" s="10">
        <f>Kf*EXP(-EXP(-(Tabella3[[#This Row],[Day]]-t0f)/wf))*EXP(-(Tabella3[[#This Row],[Day]]-t0f)/wf)/wf</f>
        <v>318.96284634254442</v>
      </c>
      <c r="J27" s="10">
        <f>Tabella3[[#This Row],[Italy sum]]*NOT(ISBLANK(Tabella3[[#This Row],[Italy]]))</f>
        <v>319.93414283465029</v>
      </c>
      <c r="K27" s="10">
        <f>Tabella3[[#This Row],[Italy fit]]*NOT(ISBLANK(Tabella3[[#This Row],[Italy]]))</f>
        <v>318.96284634254442</v>
      </c>
      <c r="L27" s="10">
        <f>Tabella3[[#This Row],[Italy sum]]+CIw</f>
        <v>456.61355841573982</v>
      </c>
      <c r="M27" s="10">
        <f>MAX(Tabella3[[#This Row],[Italy sum]]-CIw,0)</f>
        <v>183.25472725356079</v>
      </c>
      <c r="N27" s="4">
        <v>966</v>
      </c>
      <c r="O27" s="10">
        <f>Tabella3[[#This Row],[Cum_Lom]]-N26</f>
        <v>76</v>
      </c>
      <c r="P27" s="10">
        <f>Tabella3[[#This Row],[Lombardy]]*NOT(ISBLANK(Tabella3[[#This Row],[Lombardy]]))</f>
        <v>76</v>
      </c>
      <c r="Q27" s="10">
        <f>Kl*EXP(-EXP(-(Tabella3[[#This Row],[Day]]-t0l)/wl))</f>
        <v>947.44242534147713</v>
      </c>
      <c r="R27" s="10">
        <f>Kl*EXP(-EXP(-(Tabella3[[#This Row],[Day]]-t0l)/wl))*EXP(-(Tabella3[[#This Row],[Day]]-t0l)/wl)/wl</f>
        <v>207.93287281368862</v>
      </c>
      <c r="S27" s="10">
        <f>Tabella3[[#This Row],[Lombardy fit]]*NOT(ISBLANK(Tabella3[[#This Row],[Lombardy]]))</f>
        <v>207.93287281368862</v>
      </c>
      <c r="T27" s="10">
        <f>Tabella3[[#This Row],[Lombardy fit]]+CIl</f>
        <v>329.08255838246089</v>
      </c>
      <c r="U27" s="10">
        <f>MAX(Tabella3[[#This Row],[Lombardy fit]]-CIl,0)</f>
        <v>86.783187244916363</v>
      </c>
      <c r="V27" s="10">
        <f>Tabella3[[#This Row],[Cum_Italy]]-Tabella3[[#This Row],[Cum_Lom]]</f>
        <v>475</v>
      </c>
      <c r="W27" s="10">
        <f>Tabella3[[#This Row],[Cum_o]]-V26</f>
        <v>99</v>
      </c>
      <c r="X27" s="10">
        <f>Tabella3[[#This Row],[rest of Italy]]*NOT(ISBLANK(Tabella3[[#This Row],[rest of Italy]]))</f>
        <v>99</v>
      </c>
      <c r="Y27" s="10">
        <f>Ka*EXP(-EXP(-(Tabella3[[#This Row],[Day]]-t0a)/wa))</f>
        <v>439.01465688633789</v>
      </c>
      <c r="Z27" s="10">
        <f>Ka*EXP(-EXP(-(Tabella3[[#This Row],[Day]]-t0a)/wa))*EXP(-(Tabella3[[#This Row],[Day]]-t0a)/wa)/wa</f>
        <v>112.00127002096166</v>
      </c>
      <c r="AA27" s="10">
        <f>Tabella3[[#This Row],[rest of Italy fit]]*NOT(ISBLANK(Tabella3[[#This Row],[rest of Italy]]))</f>
        <v>112.00127002096166</v>
      </c>
      <c r="AB27" s="10">
        <f>Tabella3[[#This Row],[rest of Italy fit]]+CIa</f>
        <v>178.29857463363803</v>
      </c>
      <c r="AC27" s="10">
        <f>MAX(Tabella3[[#This Row],[rest of Italy fit]]-CIa,0)</f>
        <v>45.703965408285285</v>
      </c>
      <c r="AD27" s="1"/>
      <c r="AE27" s="2" t="s">
        <v>6</v>
      </c>
      <c r="AF27" s="7">
        <f>TINV(0.05,dfl)</f>
        <v>2.0141033888808457</v>
      </c>
      <c r="AS27" s="78"/>
    </row>
    <row r="28" spans="2:45" ht="15" thickTop="1" x14ac:dyDescent="0.3">
      <c r="B28" s="9">
        <v>43905</v>
      </c>
      <c r="C28" s="4">
        <f t="shared" si="0"/>
        <v>20</v>
      </c>
      <c r="D28" s="10">
        <f>'dpc-covid19-ita-andamento-naz'!K22</f>
        <v>1809</v>
      </c>
      <c r="E28" s="10">
        <f>Tabella3[[#This Row],[Cum_Italy]]-D27</f>
        <v>368</v>
      </c>
      <c r="F28" s="10">
        <f>Tabella3[[#This Row],[Italy]]*NOT(ISBLANK(Tabella3[[#This Row],[Italy]]))</f>
        <v>368</v>
      </c>
      <c r="G28" s="10">
        <f>Tabella3[[#This Row],[Cum_L_fit]]+Tabella3[[#This Row],[Cum_o_fit]]</f>
        <v>1731.0809856175497</v>
      </c>
      <c r="H28" s="10">
        <f>Tabella3[[#This Row],[Lombardy fit]]+Tabella3[[#This Row],[rest of Italy fit]]</f>
        <v>369.51884045393939</v>
      </c>
      <c r="I28" s="10">
        <f>Kf*EXP(-EXP(-(Tabella3[[#This Row],[Day]]-t0f)/wf))*EXP(-(Tabella3[[#This Row],[Day]]-t0f)/wf)/wf</f>
        <v>368.74154147162812</v>
      </c>
      <c r="J28" s="10">
        <f>Tabella3[[#This Row],[Italy sum]]*NOT(ISBLANK(Tabella3[[#This Row],[Italy]]))</f>
        <v>369.51884045393939</v>
      </c>
      <c r="K28" s="10">
        <f>Tabella3[[#This Row],[Italy fit]]*NOT(ISBLANK(Tabella3[[#This Row],[Italy]]))</f>
        <v>368.74154147162812</v>
      </c>
      <c r="L28" s="10">
        <f>Tabella3[[#This Row],[Italy sum]]+CIw</f>
        <v>506.19825603502886</v>
      </c>
      <c r="M28" s="10">
        <f>MAX(Tabella3[[#This Row],[Italy sum]]-CIw,0)</f>
        <v>232.83942487284989</v>
      </c>
      <c r="N28" s="4">
        <v>1218</v>
      </c>
      <c r="O28" s="10">
        <f>Tabella3[[#This Row],[Cum_Lom]]-N27</f>
        <v>252</v>
      </c>
      <c r="P28" s="10">
        <f>Tabella3[[#This Row],[Lombardy]]*NOT(ISBLANK(Tabella3[[#This Row],[Lombardy]]))</f>
        <v>252</v>
      </c>
      <c r="Q28" s="10">
        <f>Kl*EXP(-EXP(-(Tabella3[[#This Row],[Day]]-t0l)/wl))</f>
        <v>1169.6791866457431</v>
      </c>
      <c r="R28" s="10">
        <f>Kl*EXP(-EXP(-(Tabella3[[#This Row],[Day]]-t0l)/wl))*EXP(-(Tabella3[[#This Row],[Day]]-t0l)/wl)/wl</f>
        <v>236.51538681430901</v>
      </c>
      <c r="S28" s="10">
        <f>Tabella3[[#This Row],[Lombardy fit]]*NOT(ISBLANK(Tabella3[[#This Row],[Lombardy]]))</f>
        <v>236.51538681430901</v>
      </c>
      <c r="T28" s="10">
        <f>Tabella3[[#This Row],[Lombardy fit]]+CIl</f>
        <v>357.66507238308128</v>
      </c>
      <c r="U28" s="10">
        <f>MAX(Tabella3[[#This Row],[Lombardy fit]]-CIl,0)</f>
        <v>115.36570124553675</v>
      </c>
      <c r="V28" s="10">
        <f>Tabella3[[#This Row],[Cum_Italy]]-Tabella3[[#This Row],[Cum_Lom]]</f>
        <v>591</v>
      </c>
      <c r="W28" s="10">
        <f>Tabella3[[#This Row],[Cum_o]]-V27</f>
        <v>116</v>
      </c>
      <c r="X28" s="10">
        <f>Tabella3[[#This Row],[rest of Italy]]*NOT(ISBLANK(Tabella3[[#This Row],[rest of Italy]]))</f>
        <v>116</v>
      </c>
      <c r="Y28" s="10">
        <f>Ka*EXP(-EXP(-(Tabella3[[#This Row],[Day]]-t0a)/wa))</f>
        <v>561.40179897180644</v>
      </c>
      <c r="Z28" s="10">
        <f>Ka*EXP(-EXP(-(Tabella3[[#This Row],[Day]]-t0a)/wa))*EXP(-(Tabella3[[#This Row],[Day]]-t0a)/wa)/wa</f>
        <v>133.00345363963038</v>
      </c>
      <c r="AA28" s="10">
        <f>Tabella3[[#This Row],[rest of Italy fit]]*NOT(ISBLANK(Tabella3[[#This Row],[rest of Italy]]))</f>
        <v>133.00345363963038</v>
      </c>
      <c r="AB28" s="10">
        <f>Tabella3[[#This Row],[rest of Italy fit]]+CIa</f>
        <v>199.30075825230676</v>
      </c>
      <c r="AC28" s="10">
        <f>MAX(Tabella3[[#This Row],[rest of Italy fit]]-CIa,0)</f>
        <v>66.706149026954009</v>
      </c>
      <c r="AD28" s="1"/>
      <c r="AE28" s="2" t="s">
        <v>7</v>
      </c>
      <c r="AF28" s="1">
        <f>Critical_tl*SE_of_yl</f>
        <v>121.14968556877226</v>
      </c>
      <c r="AS28" s="79">
        <f>MAX($AF$38)</f>
        <v>0.97536626345874378</v>
      </c>
    </row>
    <row r="29" spans="2:45" x14ac:dyDescent="0.3">
      <c r="B29" s="9">
        <v>43906</v>
      </c>
      <c r="C29" s="4">
        <f t="shared" si="0"/>
        <v>21</v>
      </c>
      <c r="D29" s="10">
        <f>'dpc-covid19-ita-andamento-naz'!K23</f>
        <v>2158</v>
      </c>
      <c r="E29" s="10">
        <f>Tabella3[[#This Row],[Cum_Italy]]-D28</f>
        <v>349</v>
      </c>
      <c r="F29" s="10">
        <f>Tabella3[[#This Row],[Italy]]*NOT(ISBLANK(Tabella3[[#This Row],[Italy]]))</f>
        <v>349</v>
      </c>
      <c r="G29" s="10">
        <f>Tabella3[[#This Row],[Cum_L_fit]]+Tabella3[[#This Row],[Cum_o_fit]]</f>
        <v>2125.727539440381</v>
      </c>
      <c r="H29" s="10">
        <f>Tabella3[[#This Row],[Lombardy fit]]+Tabella3[[#This Row],[rest of Italy fit]]</f>
        <v>419.80109491439021</v>
      </c>
      <c r="I29" s="10">
        <f>Kf*EXP(-EXP(-(Tabella3[[#This Row],[Day]]-t0f)/wf))*EXP(-(Tabella3[[#This Row],[Day]]-t0f)/wf)/wf</f>
        <v>419.2951375426091</v>
      </c>
      <c r="J29" s="10">
        <f>Tabella3[[#This Row],[Italy sum]]*NOT(ISBLANK(Tabella3[[#This Row],[Italy]]))</f>
        <v>419.80109491439021</v>
      </c>
      <c r="K29" s="10">
        <f>Tabella3[[#This Row],[Italy fit]]*NOT(ISBLANK(Tabella3[[#This Row],[Italy]]))</f>
        <v>419.2951375426091</v>
      </c>
      <c r="L29" s="10">
        <f>Tabella3[[#This Row],[Italy sum]]+CIw</f>
        <v>556.48051049547973</v>
      </c>
      <c r="M29" s="10">
        <f>MAX(Tabella3[[#This Row],[Italy sum]]-CIw,0)</f>
        <v>283.12167933330068</v>
      </c>
      <c r="N29" s="4">
        <v>1420</v>
      </c>
      <c r="O29" s="10">
        <f>Tabella3[[#This Row],[Cum_Lom]]-N28</f>
        <v>202</v>
      </c>
      <c r="P29" s="10">
        <f>Tabella3[[#This Row],[Lombardy]]*NOT(ISBLANK(Tabella3[[#This Row],[Lombardy]]))</f>
        <v>202</v>
      </c>
      <c r="Q29" s="10">
        <f>Kl*EXP(-EXP(-(Tabella3[[#This Row],[Day]]-t0l)/wl))</f>
        <v>1420.3084577190118</v>
      </c>
      <c r="R29" s="10">
        <f>Kl*EXP(-EXP(-(Tabella3[[#This Row],[Day]]-t0l)/wl))*EXP(-(Tabella3[[#This Row],[Day]]-t0l)/wl)/wl</f>
        <v>264.60474162353086</v>
      </c>
      <c r="S29" s="10">
        <f>Tabella3[[#This Row],[Lombardy fit]]*NOT(ISBLANK(Tabella3[[#This Row],[Lombardy]]))</f>
        <v>264.60474162353086</v>
      </c>
      <c r="T29" s="10">
        <f>Tabella3[[#This Row],[Lombardy fit]]+CIl</f>
        <v>385.75442719230313</v>
      </c>
      <c r="U29" s="10">
        <f>MAX(Tabella3[[#This Row],[Lombardy fit]]-CIl,0)</f>
        <v>143.45505605475859</v>
      </c>
      <c r="V29" s="10">
        <f>Tabella3[[#This Row],[Cum_Italy]]-Tabella3[[#This Row],[Cum_Lom]]</f>
        <v>738</v>
      </c>
      <c r="W29" s="10">
        <f>Tabella3[[#This Row],[Cum_o]]-V28</f>
        <v>147</v>
      </c>
      <c r="X29" s="10">
        <f>Tabella3[[#This Row],[rest of Italy]]*NOT(ISBLANK(Tabella3[[#This Row],[rest of Italy]]))</f>
        <v>147</v>
      </c>
      <c r="Y29" s="10">
        <f>Ka*EXP(-EXP(-(Tabella3[[#This Row],[Day]]-t0a)/wa))</f>
        <v>705.41908172136925</v>
      </c>
      <c r="Z29" s="10">
        <f>Ka*EXP(-EXP(-(Tabella3[[#This Row],[Day]]-t0a)/wa))*EXP(-(Tabella3[[#This Row],[Day]]-t0a)/wa)/wa</f>
        <v>155.19635329085938</v>
      </c>
      <c r="AA29" s="10">
        <f>Tabella3[[#This Row],[rest of Italy fit]]*NOT(ISBLANK(Tabella3[[#This Row],[rest of Italy]]))</f>
        <v>155.19635329085938</v>
      </c>
      <c r="AB29" s="10">
        <f>Tabella3[[#This Row],[rest of Italy fit]]+CIa</f>
        <v>221.49365790353573</v>
      </c>
      <c r="AC29" s="10">
        <f>MAX(Tabella3[[#This Row],[rest of Italy fit]]-CIa,0)</f>
        <v>88.899048678183007</v>
      </c>
      <c r="AD29" s="1"/>
      <c r="AE29" s="24" t="s">
        <v>113</v>
      </c>
      <c r="AF29" s="25">
        <f>Kl/(EXP(1)*wl)</f>
        <v>416.04271517640944</v>
      </c>
      <c r="AS29" s="80">
        <f>COUNT($AF$32,$AF$33,$AF$34)</f>
        <v>3</v>
      </c>
    </row>
    <row r="30" spans="2:45" x14ac:dyDescent="0.3">
      <c r="B30" s="9">
        <v>43907</v>
      </c>
      <c r="C30" s="4">
        <f t="shared" si="0"/>
        <v>22</v>
      </c>
      <c r="D30" s="10">
        <f>'dpc-covid19-ita-andamento-naz'!K24</f>
        <v>2503</v>
      </c>
      <c r="E30" s="10">
        <f>Tabella3[[#This Row],[Cum_Italy]]-D29</f>
        <v>345</v>
      </c>
      <c r="F30" s="10">
        <f>Tabella3[[#This Row],[Italy]]*NOT(ISBLANK(Tabella3[[#This Row],[Italy]]))</f>
        <v>345</v>
      </c>
      <c r="G30" s="10">
        <f>Tabella3[[#This Row],[Cum_L_fit]]+Tabella3[[#This Row],[Cum_o_fit]]</f>
        <v>2570.5580712362148</v>
      </c>
      <c r="H30" s="10">
        <f>Tabella3[[#This Row],[Lombardy fit]]+Tabella3[[#This Row],[rest of Italy fit]]</f>
        <v>469.70901165799307</v>
      </c>
      <c r="I30" s="10">
        <f>Kf*EXP(-EXP(-(Tabella3[[#This Row],[Day]]-t0f)/wf))*EXP(-(Tabella3[[#This Row],[Day]]-t0f)/wf)/wf</f>
        <v>469.5349173369911</v>
      </c>
      <c r="J30" s="10">
        <f>Tabella3[[#This Row],[Italy sum]]*NOT(ISBLANK(Tabella3[[#This Row],[Italy]]))</f>
        <v>469.70901165799307</v>
      </c>
      <c r="K30" s="10">
        <f>Tabella3[[#This Row],[Italy fit]]*NOT(ISBLANK(Tabella3[[#This Row],[Italy]]))</f>
        <v>469.5349173369911</v>
      </c>
      <c r="L30" s="10">
        <f>Tabella3[[#This Row],[Italy sum]]+CIw</f>
        <v>606.3884272390826</v>
      </c>
      <c r="M30" s="10">
        <f>MAX(Tabella3[[#This Row],[Italy sum]]-CIw,0)</f>
        <v>333.02959607690354</v>
      </c>
      <c r="N30" s="4">
        <v>1640</v>
      </c>
      <c r="O30" s="10">
        <f>Tabella3[[#This Row],[Cum_Lom]]-N29</f>
        <v>220</v>
      </c>
      <c r="P30" s="10">
        <f>Tabella3[[#This Row],[Lombardy]]*NOT(ISBLANK(Tabella3[[#This Row],[Lombardy]]))</f>
        <v>220</v>
      </c>
      <c r="Q30" s="10">
        <f>Kl*EXP(-EXP(-(Tabella3[[#This Row],[Day]]-t0l)/wl))</f>
        <v>1698.5045765274699</v>
      </c>
      <c r="R30" s="10">
        <f>Kl*EXP(-EXP(-(Tabella3[[#This Row],[Day]]-t0l)/wl))*EXP(-(Tabella3[[#This Row],[Day]]-t0l)/wl)/wl</f>
        <v>291.54391549018692</v>
      </c>
      <c r="S30" s="10">
        <f>Tabella3[[#This Row],[Lombardy fit]]*NOT(ISBLANK(Tabella3[[#This Row],[Lombardy]]))</f>
        <v>291.54391549018692</v>
      </c>
      <c r="T30" s="10">
        <f>Tabella3[[#This Row],[Lombardy fit]]+CIl</f>
        <v>412.69360105895919</v>
      </c>
      <c r="U30" s="10">
        <f>MAX(Tabella3[[#This Row],[Lombardy fit]]-CIl,0)</f>
        <v>170.39422992141465</v>
      </c>
      <c r="V30" s="10">
        <f>Tabella3[[#This Row],[Cum_Italy]]-Tabella3[[#This Row],[Cum_Lom]]</f>
        <v>863</v>
      </c>
      <c r="W30" s="10">
        <f>Tabella3[[#This Row],[Cum_o]]-V29</f>
        <v>125</v>
      </c>
      <c r="X30" s="10">
        <f>Tabella3[[#This Row],[rest of Italy]]*NOT(ISBLANK(Tabella3[[#This Row],[rest of Italy]]))</f>
        <v>125</v>
      </c>
      <c r="Y30" s="10">
        <f>Ka*EXP(-EXP(-(Tabella3[[#This Row],[Day]]-t0a)/wa))</f>
        <v>872.05349470874489</v>
      </c>
      <c r="Z30" s="10">
        <f>Ka*EXP(-EXP(-(Tabella3[[#This Row],[Day]]-t0a)/wa))*EXP(-(Tabella3[[#This Row],[Day]]-t0a)/wa)/wa</f>
        <v>178.16509616780613</v>
      </c>
      <c r="AA30" s="10">
        <f>Tabella3[[#This Row],[rest of Italy fit]]*NOT(ISBLANK(Tabella3[[#This Row],[rest of Italy]]))</f>
        <v>178.16509616780613</v>
      </c>
      <c r="AB30" s="10">
        <f>Tabella3[[#This Row],[rest of Italy fit]]+CIa</f>
        <v>244.46240078048248</v>
      </c>
      <c r="AC30" s="10">
        <f>MAX(Tabella3[[#This Row],[rest of Italy fit]]-CIa,0)</f>
        <v>111.86779155512976</v>
      </c>
      <c r="AD30" s="1"/>
      <c r="AE30" s="24" t="s">
        <v>145</v>
      </c>
      <c r="AF30" s="51">
        <f>_xlfn.XLOOKUP(ROUND(t0l,0),Tabella3[Day],Tabella3[Date])</f>
        <v>43916</v>
      </c>
      <c r="AS30" s="80">
        <f>{32767;32767;0.000001;0;FALSE;FALSE;FALSE;1;2;1;0.0001;TRUE}</f>
        <v>32767</v>
      </c>
    </row>
    <row r="31" spans="2:45" x14ac:dyDescent="0.3">
      <c r="B31" s="9">
        <v>43908</v>
      </c>
      <c r="C31" s="4">
        <f t="shared" si="0"/>
        <v>23</v>
      </c>
      <c r="D31" s="10">
        <f>'dpc-covid19-ita-andamento-naz'!K25</f>
        <v>2978</v>
      </c>
      <c r="E31" s="10">
        <f>Tabella3[[#This Row],[Cum_Italy]]-D30</f>
        <v>475</v>
      </c>
      <c r="F31" s="10">
        <f>Tabella3[[#This Row],[Italy]]*NOT(ISBLANK(Tabella3[[#This Row],[Italy]]))</f>
        <v>475</v>
      </c>
      <c r="G31" s="10">
        <f>Tabella3[[#This Row],[Cum_L_fit]]+Tabella3[[#This Row],[Cum_o_fit]]</f>
        <v>3064.6721292137704</v>
      </c>
      <c r="H31" s="10">
        <f>Tabella3[[#This Row],[Lombardy fit]]+Tabella3[[#This Row],[rest of Italy fit]]</f>
        <v>518.19912069620716</v>
      </c>
      <c r="I31" s="10">
        <f>Kf*EXP(-EXP(-(Tabella3[[#This Row],[Day]]-t0f)/wf))*EXP(-(Tabella3[[#This Row],[Day]]-t0f)/wf)/wf</f>
        <v>518.39525976521475</v>
      </c>
      <c r="J31" s="10">
        <f>Tabella3[[#This Row],[Italy sum]]*NOT(ISBLANK(Tabella3[[#This Row],[Italy]]))</f>
        <v>518.19912069620716</v>
      </c>
      <c r="K31" s="10">
        <f>Tabella3[[#This Row],[Italy fit]]*NOT(ISBLANK(Tabella3[[#This Row],[Italy]]))</f>
        <v>518.39525976521475</v>
      </c>
      <c r="L31" s="10">
        <f>Tabella3[[#This Row],[Italy sum]]+CIw</f>
        <v>654.87853627729669</v>
      </c>
      <c r="M31" s="10">
        <f>MAX(Tabella3[[#This Row],[Italy sum]]-CIw,0)</f>
        <v>381.51970511511763</v>
      </c>
      <c r="N31" s="4">
        <v>1959</v>
      </c>
      <c r="O31" s="10">
        <f>Tabella3[[#This Row],[Cum_Lom]]-N30</f>
        <v>319</v>
      </c>
      <c r="P31" s="10">
        <f>Tabella3[[#This Row],[Lombardy]]*NOT(ISBLANK(Tabella3[[#This Row],[Lombardy]]))</f>
        <v>319</v>
      </c>
      <c r="Q31" s="10">
        <f>Kl*EXP(-EXP(-(Tabella3[[#This Row],[Day]]-t0l)/wl))</f>
        <v>2002.8136167542366</v>
      </c>
      <c r="R31" s="10">
        <f>Kl*EXP(-EXP(-(Tabella3[[#This Row],[Day]]-t0l)/wl))*EXP(-(Tabella3[[#This Row],[Day]]-t0l)/wl)/wl</f>
        <v>316.73795457703864</v>
      </c>
      <c r="S31" s="10">
        <f>Tabella3[[#This Row],[Lombardy fit]]*NOT(ISBLANK(Tabella3[[#This Row],[Lombardy]]))</f>
        <v>316.73795457703864</v>
      </c>
      <c r="T31" s="10">
        <f>Tabella3[[#This Row],[Lombardy fit]]+CIl</f>
        <v>437.88764014581091</v>
      </c>
      <c r="U31" s="10">
        <f>MAX(Tabella3[[#This Row],[Lombardy fit]]-CIl,0)</f>
        <v>195.58826900826637</v>
      </c>
      <c r="V31" s="10">
        <f>Tabella3[[#This Row],[Cum_Italy]]-Tabella3[[#This Row],[Cum_Lom]]</f>
        <v>1019</v>
      </c>
      <c r="W31" s="10">
        <f>Tabella3[[#This Row],[Cum_o]]-V30</f>
        <v>156</v>
      </c>
      <c r="X31" s="10">
        <f>Tabella3[[#This Row],[rest of Italy]]*NOT(ISBLANK(Tabella3[[#This Row],[rest of Italy]]))</f>
        <v>156</v>
      </c>
      <c r="Y31" s="10">
        <f>Ka*EXP(-EXP(-(Tabella3[[#This Row],[Day]]-t0a)/wa))</f>
        <v>1061.8585124595338</v>
      </c>
      <c r="Z31" s="10">
        <f>Ka*EXP(-EXP(-(Tabella3[[#This Row],[Day]]-t0a)/wa))*EXP(-(Tabella3[[#This Row],[Day]]-t0a)/wa)/wa</f>
        <v>201.46116611916855</v>
      </c>
      <c r="AA31" s="10">
        <f>Tabella3[[#This Row],[rest of Italy fit]]*NOT(ISBLANK(Tabella3[[#This Row],[rest of Italy]]))</f>
        <v>201.46116611916855</v>
      </c>
      <c r="AB31" s="10">
        <f>Tabella3[[#This Row],[rest of Italy fit]]+CIa</f>
        <v>267.75847073184491</v>
      </c>
      <c r="AC31" s="10">
        <f>MAX(Tabella3[[#This Row],[rest of Italy fit]]-CIa,0)</f>
        <v>135.1638615064922</v>
      </c>
      <c r="AD31" s="1"/>
      <c r="AE31" s="52" t="s">
        <v>85</v>
      </c>
      <c r="AF31" s="53" t="s">
        <v>135</v>
      </c>
      <c r="AS31" s="80">
        <f>{0;0;1;100;0;FALSE;FALSE;0.075;0;0;FALSE;30}</f>
        <v>0</v>
      </c>
    </row>
    <row r="32" spans="2:45" x14ac:dyDescent="0.3">
      <c r="B32" s="9">
        <v>43909</v>
      </c>
      <c r="C32" s="4">
        <f t="shared" si="0"/>
        <v>24</v>
      </c>
      <c r="D32" s="10">
        <f>'dpc-covid19-ita-andamento-naz'!K26</f>
        <v>3405</v>
      </c>
      <c r="E32" s="10">
        <f>Tabella3[[#This Row],[Cum_Italy]]-D31</f>
        <v>427</v>
      </c>
      <c r="F32" s="10">
        <f>Tabella3[[#This Row],[Italy]]*NOT(ISBLANK(Tabella3[[#This Row],[Italy]]))</f>
        <v>427</v>
      </c>
      <c r="G32" s="10">
        <f>Tabella3[[#This Row],[Cum_L_fit]]+Tabella3[[#This Row],[Cum_o_fit]]</f>
        <v>3606.1592144406841</v>
      </c>
      <c r="H32" s="10">
        <f>Tabella3[[#This Row],[Lombardy fit]]+Tabella3[[#This Row],[rest of Italy fit]]</f>
        <v>564.30163940468594</v>
      </c>
      <c r="I32" s="10">
        <f>Kf*EXP(-EXP(-(Tabella3[[#This Row],[Day]]-t0f)/wf))*EXP(-(Tabella3[[#This Row],[Day]]-t0f)/wf)/wf</f>
        <v>564.8812335868538</v>
      </c>
      <c r="J32" s="10">
        <f>Tabella3[[#This Row],[Italy sum]]*NOT(ISBLANK(Tabella3[[#This Row],[Italy]]))</f>
        <v>564.30163940468594</v>
      </c>
      <c r="K32" s="10">
        <f>Tabella3[[#This Row],[Italy fit]]*NOT(ISBLANK(Tabella3[[#This Row],[Italy]]))</f>
        <v>564.8812335868538</v>
      </c>
      <c r="L32" s="10">
        <f>Tabella3[[#This Row],[Italy sum]]+CIw</f>
        <v>700.98105498577547</v>
      </c>
      <c r="M32" s="10">
        <f>MAX(Tabella3[[#This Row],[Italy sum]]-CIw,0)</f>
        <v>427.62222382359641</v>
      </c>
      <c r="N32" s="4">
        <v>2168</v>
      </c>
      <c r="O32" s="10">
        <f>Tabella3[[#This Row],[Cum_Lom]]-N31</f>
        <v>209</v>
      </c>
      <c r="P32" s="10">
        <f>Tabella3[[#This Row],[Lombardy]]*NOT(ISBLANK(Tabella3[[#This Row],[Lombardy]]))</f>
        <v>209</v>
      </c>
      <c r="Q32" s="10">
        <f>Kl*EXP(-EXP(-(Tabella3[[#This Row],[Day]]-t0l)/wl))</f>
        <v>2331.22781059314</v>
      </c>
      <c r="R32" s="10">
        <f>Kl*EXP(-EXP(-(Tabella3[[#This Row],[Day]]-t0l)/wl))*EXP(-(Tabella3[[#This Row],[Day]]-t0l)/wl)/wl</f>
        <v>339.6773584221167</v>
      </c>
      <c r="S32" s="10">
        <f>Tabella3[[#This Row],[Lombardy fit]]*NOT(ISBLANK(Tabella3[[#This Row],[Lombardy]]))</f>
        <v>339.6773584221167</v>
      </c>
      <c r="T32" s="10">
        <f>Tabella3[[#This Row],[Lombardy fit]]+CIl</f>
        <v>460.82704399088897</v>
      </c>
      <c r="U32" s="10">
        <f>MAX(Tabella3[[#This Row],[Lombardy fit]]-CIl,0)</f>
        <v>218.52767285334443</v>
      </c>
      <c r="V32" s="10">
        <f>Tabella3[[#This Row],[Cum_Italy]]-Tabella3[[#This Row],[Cum_Lom]]</f>
        <v>1237</v>
      </c>
      <c r="W32" s="10">
        <f>Tabella3[[#This Row],[Cum_o]]-V31</f>
        <v>218</v>
      </c>
      <c r="X32" s="10">
        <f>Tabella3[[#This Row],[rest of Italy]]*NOT(ISBLANK(Tabella3[[#This Row],[rest of Italy]]))</f>
        <v>218</v>
      </c>
      <c r="Y32" s="10">
        <f>Ka*EXP(-EXP(-(Tabella3[[#This Row],[Day]]-t0a)/wa))</f>
        <v>1274.9314038475443</v>
      </c>
      <c r="Z32" s="10">
        <f>Ka*EXP(-EXP(-(Tabella3[[#This Row],[Day]]-t0a)/wa))*EXP(-(Tabella3[[#This Row],[Day]]-t0a)/wa)/wa</f>
        <v>224.62428098256927</v>
      </c>
      <c r="AA32" s="10">
        <f>Tabella3[[#This Row],[rest of Italy fit]]*NOT(ISBLANK(Tabella3[[#This Row],[rest of Italy]]))</f>
        <v>224.62428098256927</v>
      </c>
      <c r="AB32" s="10">
        <f>Tabella3[[#This Row],[rest of Italy fit]]+CIa</f>
        <v>290.92158559524563</v>
      </c>
      <c r="AC32" s="10">
        <f>MAX(Tabella3[[#This Row],[rest of Italy fit]]-CIa,0)</f>
        <v>158.32697636989292</v>
      </c>
      <c r="AD32" s="1"/>
      <c r="AE32" s="17" t="s">
        <v>0</v>
      </c>
      <c r="AF32" s="5">
        <f>Ko</f>
        <v>13770.324904698249</v>
      </c>
      <c r="AS32" s="80">
        <f>{32767;32767;0.000001;0;FALSE;FALSE;FALSE;1;2;1;0.0001;TRUE}</f>
        <v>32767</v>
      </c>
    </row>
    <row r="33" spans="2:45" ht="16.2" thickBot="1" x14ac:dyDescent="0.4">
      <c r="B33" s="9">
        <v>43910</v>
      </c>
      <c r="C33" s="4">
        <f t="shared" si="0"/>
        <v>25</v>
      </c>
      <c r="D33" s="10">
        <f>'dpc-covid19-ita-andamento-naz'!K27</f>
        <v>4032</v>
      </c>
      <c r="E33" s="10">
        <f>Tabella3[[#This Row],[Cum_Italy]]-D32</f>
        <v>627</v>
      </c>
      <c r="F33" s="10">
        <f>Tabella3[[#This Row],[Italy]]*NOT(ISBLANK(Tabella3[[#This Row],[Italy]]))</f>
        <v>627</v>
      </c>
      <c r="G33" s="10">
        <f>Tabella3[[#This Row],[Cum_L_fit]]+Tabella3[[#This Row],[Cum_o_fit]]</f>
        <v>4192.1913908467732</v>
      </c>
      <c r="H33" s="10">
        <f>Tabella3[[#This Row],[Lombardy fit]]+Tabella3[[#This Row],[rest of Italy fit]]</f>
        <v>607.15667767860816</v>
      </c>
      <c r="I33" s="10">
        <f>Kf*EXP(-EXP(-(Tabella3[[#This Row],[Day]]-t0f)/wf))*EXP(-(Tabella3[[#This Row],[Day]]-t0f)/wf)/wf</f>
        <v>608.10718928246297</v>
      </c>
      <c r="J33" s="10">
        <f>Tabella3[[#This Row],[Italy sum]]*NOT(ISBLANK(Tabella3[[#This Row],[Italy]]))</f>
        <v>607.15667767860816</v>
      </c>
      <c r="K33" s="10">
        <f>Tabella3[[#This Row],[Italy fit]]*NOT(ISBLANK(Tabella3[[#This Row],[Italy]]))</f>
        <v>608.10718928246297</v>
      </c>
      <c r="L33" s="10">
        <f>Tabella3[[#This Row],[Italy sum]]+CIw</f>
        <v>743.83609325969769</v>
      </c>
      <c r="M33" s="10">
        <f>MAX(Tabella3[[#This Row],[Italy sum]]-CIw,0)</f>
        <v>470.47726209751863</v>
      </c>
      <c r="N33" s="4">
        <v>2549</v>
      </c>
      <c r="O33" s="10">
        <f>Tabella3[[#This Row],[Cum_Lom]]-N32</f>
        <v>381</v>
      </c>
      <c r="P33" s="10">
        <f>Tabella3[[#This Row],[Lombardy]]*NOT(ISBLANK(Tabella3[[#This Row],[Lombardy]]))</f>
        <v>381</v>
      </c>
      <c r="Q33" s="10">
        <f>Kl*EXP(-EXP(-(Tabella3[[#This Row],[Day]]-t0l)/wl))</f>
        <v>2681.2793279300881</v>
      </c>
      <c r="R33" s="10">
        <f>Kl*EXP(-EXP(-(Tabella3[[#This Row],[Day]]-t0l)/wl))*EXP(-(Tabella3[[#This Row],[Day]]-t0l)/wl)/wl</f>
        <v>359.95337964144903</v>
      </c>
      <c r="S33" s="10">
        <f>Tabella3[[#This Row],[Lombardy fit]]*NOT(ISBLANK(Tabella3[[#This Row],[Lombardy]]))</f>
        <v>359.95337964144903</v>
      </c>
      <c r="T33" s="10">
        <f>Tabella3[[#This Row],[Lombardy fit]]+CIl</f>
        <v>481.1030652102213</v>
      </c>
      <c r="U33" s="10">
        <f>MAX(Tabella3[[#This Row],[Lombardy fit]]-CIl,0)</f>
        <v>238.80369407267676</v>
      </c>
      <c r="V33" s="10">
        <f>Tabella3[[#This Row],[Cum_Italy]]-Tabella3[[#This Row],[Cum_Lom]]</f>
        <v>1483</v>
      </c>
      <c r="W33" s="10">
        <f>Tabella3[[#This Row],[Cum_o]]-V32</f>
        <v>246</v>
      </c>
      <c r="X33" s="10">
        <f>Tabella3[[#This Row],[rest of Italy]]*NOT(ISBLANK(Tabella3[[#This Row],[rest of Italy]]))</f>
        <v>246</v>
      </c>
      <c r="Y33" s="10">
        <f>Ka*EXP(-EXP(-(Tabella3[[#This Row],[Day]]-t0a)/wa))</f>
        <v>1510.912062916685</v>
      </c>
      <c r="Z33" s="10">
        <f>Ka*EXP(-EXP(-(Tabella3[[#This Row],[Day]]-t0a)/wa))*EXP(-(Tabella3[[#This Row],[Day]]-t0a)/wa)/wa</f>
        <v>247.2032980371591</v>
      </c>
      <c r="AA33" s="10">
        <f>Tabella3[[#This Row],[rest of Italy fit]]*NOT(ISBLANK(Tabella3[[#This Row],[rest of Italy]]))</f>
        <v>247.2032980371591</v>
      </c>
      <c r="AB33" s="10">
        <f>Tabella3[[#This Row],[rest of Italy fit]]+CIa</f>
        <v>313.50060264983546</v>
      </c>
      <c r="AC33" s="10">
        <f>MAX(Tabella3[[#This Row],[rest of Italy fit]]-CIa,0)</f>
        <v>180.90599342448274</v>
      </c>
      <c r="AD33" s="1"/>
      <c r="AE33" s="17" t="s">
        <v>24</v>
      </c>
      <c r="AF33" s="37">
        <f>t0o</f>
        <v>35.709236147691428</v>
      </c>
      <c r="AS33" s="80">
        <f>{0;0;1;100;0;FALSE;FALSE;0.075;0;0;FALSE;30}</f>
        <v>0</v>
      </c>
    </row>
    <row r="34" spans="2:45" x14ac:dyDescent="0.3">
      <c r="B34" s="9">
        <v>43911</v>
      </c>
      <c r="C34" s="4">
        <f t="shared" si="0"/>
        <v>26</v>
      </c>
      <c r="D34" s="10">
        <f>'dpc-covid19-ita-andamento-naz'!K28</f>
        <v>4825</v>
      </c>
      <c r="E34" s="10">
        <f>Tabella3[[#This Row],[Cum_Italy]]-D33</f>
        <v>793</v>
      </c>
      <c r="F34" s="10">
        <f>Tabella3[[#This Row],[Italy]]*NOT(ISBLANK(Tabella3[[#This Row],[Italy]]))</f>
        <v>793</v>
      </c>
      <c r="G34" s="10">
        <f>Tabella3[[#This Row],[Cum_L_fit]]+Tabella3[[#This Row],[Cum_o_fit]]</f>
        <v>4819.1470458266913</v>
      </c>
      <c r="H34" s="10">
        <f>Tabella3[[#This Row],[Lombardy fit]]+Tabella3[[#This Row],[rest of Italy fit]]</f>
        <v>646.04023476054545</v>
      </c>
      <c r="I34" s="10">
        <f>Kf*EXP(-EXP(-(Tabella3[[#This Row],[Day]]-t0f)/wf))*EXP(-(Tabella3[[#This Row],[Day]]-t0f)/wf)/wf</f>
        <v>647.32491896649879</v>
      </c>
      <c r="J34" s="10">
        <f>Tabella3[[#This Row],[Italy sum]]*NOT(ISBLANK(Tabella3[[#This Row],[Italy]]))</f>
        <v>646.04023476054545</v>
      </c>
      <c r="K34" s="10">
        <f>Tabella3[[#This Row],[Italy fit]]*NOT(ISBLANK(Tabella3[[#This Row],[Italy]]))</f>
        <v>647.32491896649879</v>
      </c>
      <c r="L34" s="10">
        <f>Tabella3[[#This Row],[Italy sum]]+CIw</f>
        <v>782.71965034163497</v>
      </c>
      <c r="M34" s="10">
        <f>MAX(Tabella3[[#This Row],[Italy sum]]-CIw,0)</f>
        <v>509.36081917945592</v>
      </c>
      <c r="N34" s="4">
        <v>3095</v>
      </c>
      <c r="O34" s="10">
        <f>Tabella3[[#This Row],[Cum_Lom]]-N33</f>
        <v>546</v>
      </c>
      <c r="P34" s="10">
        <f>Tabella3[[#This Row],[Lombardy]]*NOT(ISBLANK(Tabella3[[#This Row],[Lombardy]]))</f>
        <v>546</v>
      </c>
      <c r="Q34" s="10">
        <f>Kl*EXP(-EXP(-(Tabella3[[#This Row],[Day]]-t0l)/wl))</f>
        <v>3050.1453752576481</v>
      </c>
      <c r="R34" s="10">
        <f>Kl*EXP(-EXP(-(Tabella3[[#This Row],[Day]]-t0l)/wl))*EXP(-(Tabella3[[#This Row],[Day]]-t0l)/wl)/wl</f>
        <v>377.26546050174329</v>
      </c>
      <c r="S34" s="10">
        <f>Tabella3[[#This Row],[Lombardy fit]]*NOT(ISBLANK(Tabella3[[#This Row],[Lombardy]]))</f>
        <v>377.26546050174329</v>
      </c>
      <c r="T34" s="10">
        <f>Tabella3[[#This Row],[Lombardy fit]]+CIl</f>
        <v>498.41514607051556</v>
      </c>
      <c r="U34" s="10">
        <f>MAX(Tabella3[[#This Row],[Lombardy fit]]-CIl,0)</f>
        <v>256.11577493297102</v>
      </c>
      <c r="V34" s="10">
        <f>Tabella3[[#This Row],[Cum_Italy]]-Tabella3[[#This Row],[Cum_Lom]]</f>
        <v>1730</v>
      </c>
      <c r="W34" s="10">
        <f>Tabella3[[#This Row],[Cum_o]]-V33</f>
        <v>247</v>
      </c>
      <c r="X34" s="10">
        <f>Tabella3[[#This Row],[rest of Italy]]*NOT(ISBLANK(Tabella3[[#This Row],[rest of Italy]]))</f>
        <v>247</v>
      </c>
      <c r="Y34" s="10">
        <f>Ka*EXP(-EXP(-(Tabella3[[#This Row],[Day]]-t0a)/wa))</f>
        <v>1769.001670569043</v>
      </c>
      <c r="Z34" s="10">
        <f>Ka*EXP(-EXP(-(Tabella3[[#This Row],[Day]]-t0a)/wa))*EXP(-(Tabella3[[#This Row],[Day]]-t0a)/wa)/wa</f>
        <v>268.77477425880215</v>
      </c>
      <c r="AA34" s="10">
        <f>Tabella3[[#This Row],[rest of Italy fit]]*NOT(ISBLANK(Tabella3[[#This Row],[rest of Italy]]))</f>
        <v>268.77477425880215</v>
      </c>
      <c r="AB34" s="10">
        <f>Tabella3[[#This Row],[rest of Italy fit]]+CIa</f>
        <v>335.07207887147854</v>
      </c>
      <c r="AC34" s="10">
        <f>MAX(Tabella3[[#This Row],[rest of Italy fit]]-CIa,0)</f>
        <v>202.47746964612577</v>
      </c>
      <c r="AD34" s="1"/>
      <c r="AE34" s="17" t="s">
        <v>1</v>
      </c>
      <c r="AF34" s="37">
        <f>wo</f>
        <v>13.506361628127337</v>
      </c>
      <c r="AS34" s="81"/>
    </row>
    <row r="35" spans="2:45" x14ac:dyDescent="0.3">
      <c r="B35" s="9">
        <v>43912</v>
      </c>
      <c r="C35" s="4">
        <f t="shared" si="0"/>
        <v>27</v>
      </c>
      <c r="D35" s="10">
        <f>'dpc-covid19-ita-andamento-naz'!K29</f>
        <v>5476</v>
      </c>
      <c r="E35" s="10">
        <f>Tabella3[[#This Row],[Cum_Italy]]-D34</f>
        <v>651</v>
      </c>
      <c r="F35" s="10">
        <f>Tabella3[[#This Row],[Italy]]*NOT(ISBLANK(Tabella3[[#This Row],[Italy]]))</f>
        <v>651</v>
      </c>
      <c r="G35" s="10">
        <f>Tabella3[[#This Row],[Cum_L_fit]]+Tabella3[[#This Row],[Cum_o_fit]]</f>
        <v>5482.7554595331057</v>
      </c>
      <c r="H35" s="10">
        <f>Tabella3[[#This Row],[Lombardy fit]]+Tabella3[[#This Row],[rest of Italy fit]]</f>
        <v>680.379877086943</v>
      </c>
      <c r="I35" s="10">
        <f>Kf*EXP(-EXP(-(Tabella3[[#This Row],[Day]]-t0f)/wf))*EXP(-(Tabella3[[#This Row],[Day]]-t0f)/wf)/wf</f>
        <v>681.94107715437724</v>
      </c>
      <c r="J35" s="10">
        <f>Tabella3[[#This Row],[Italy sum]]*NOT(ISBLANK(Tabella3[[#This Row],[Italy]]))</f>
        <v>680.379877086943</v>
      </c>
      <c r="K35" s="10">
        <f>Tabella3[[#This Row],[Italy fit]]*NOT(ISBLANK(Tabella3[[#This Row],[Italy]]))</f>
        <v>681.94107715437724</v>
      </c>
      <c r="L35" s="10">
        <f>Tabella3[[#This Row],[Italy sum]]+CIw</f>
        <v>817.05929266803253</v>
      </c>
      <c r="M35" s="10">
        <f>MAX(Tabella3[[#This Row],[Italy sum]]-CIw,0)</f>
        <v>543.70046150585347</v>
      </c>
      <c r="N35" s="4">
        <v>3456</v>
      </c>
      <c r="O35" s="10">
        <f>Tabella3[[#This Row],[Cum_Lom]]-N34</f>
        <v>361</v>
      </c>
      <c r="P35" s="10">
        <f>Tabella3[[#This Row],[Lombardy]]*NOT(ISBLANK(Tabella3[[#This Row],[Lombardy]]))</f>
        <v>361</v>
      </c>
      <c r="Q35" s="10">
        <f>Kl*EXP(-EXP(-(Tabella3[[#This Row],[Day]]-t0l)/wl))</f>
        <v>3434.757134860381</v>
      </c>
      <c r="R35" s="10">
        <f>Kl*EXP(-EXP(-(Tabella3[[#This Row],[Day]]-t0l)/wl))*EXP(-(Tabella3[[#This Row],[Day]]-t0l)/wl)/wl</f>
        <v>391.4216589816549</v>
      </c>
      <c r="S35" s="10">
        <f>Tabella3[[#This Row],[Lombardy fit]]*NOT(ISBLANK(Tabella3[[#This Row],[Lombardy]]))</f>
        <v>391.4216589816549</v>
      </c>
      <c r="T35" s="10">
        <f>Tabella3[[#This Row],[Lombardy fit]]+CIl</f>
        <v>512.57134455042717</v>
      </c>
      <c r="U35" s="10">
        <f>MAX(Tabella3[[#This Row],[Lombardy fit]]-CIl,0)</f>
        <v>270.27197341288263</v>
      </c>
      <c r="V35" s="10">
        <f>Tabella3[[#This Row],[Cum_Italy]]-Tabella3[[#This Row],[Cum_Lom]]</f>
        <v>2020</v>
      </c>
      <c r="W35" s="10">
        <f>Tabella3[[#This Row],[Cum_o]]-V34</f>
        <v>290</v>
      </c>
      <c r="X35" s="10">
        <f>Tabella3[[#This Row],[rest of Italy]]*NOT(ISBLANK(Tabella3[[#This Row],[rest of Italy]]))</f>
        <v>290</v>
      </c>
      <c r="Y35" s="10">
        <f>Ka*EXP(-EXP(-(Tabella3[[#This Row],[Day]]-t0a)/wa))</f>
        <v>2047.9983246727247</v>
      </c>
      <c r="Z35" s="10">
        <f>Ka*EXP(-EXP(-(Tabella3[[#This Row],[Day]]-t0a)/wa))*EXP(-(Tabella3[[#This Row],[Day]]-t0a)/wa)/wa</f>
        <v>288.95821810528804</v>
      </c>
      <c r="AA35" s="10">
        <f>Tabella3[[#This Row],[rest of Italy fit]]*NOT(ISBLANK(Tabella3[[#This Row],[rest of Italy]]))</f>
        <v>288.95821810528804</v>
      </c>
      <c r="AB35" s="10">
        <f>Tabella3[[#This Row],[rest of Italy fit]]+CIa</f>
        <v>355.25552271796442</v>
      </c>
      <c r="AC35" s="10">
        <f>MAX(Tabella3[[#This Row],[rest of Italy fit]]-CIa,0)</f>
        <v>222.66091349261166</v>
      </c>
      <c r="AE35" s="2" t="s">
        <v>2</v>
      </c>
      <c r="AF35" s="1">
        <f>AVERAGE(Tabella3[rest of Italy])</f>
        <v>193.27083333333334</v>
      </c>
      <c r="AI35" s="1"/>
      <c r="AS35" s="77"/>
    </row>
    <row r="36" spans="2:45" x14ac:dyDescent="0.3">
      <c r="B36" s="18">
        <v>43913</v>
      </c>
      <c r="C36" s="4">
        <f t="shared" si="0"/>
        <v>28</v>
      </c>
      <c r="D36" s="10">
        <f>'dpc-covid19-ita-andamento-naz'!K30</f>
        <v>6077</v>
      </c>
      <c r="E36" s="10">
        <f>Tabella3[[#This Row],[Cum_Italy]]-D35</f>
        <v>601</v>
      </c>
      <c r="F36" s="10">
        <f>Tabella3[[#This Row],[Italy]]*NOT(ISBLANK(Tabella3[[#This Row],[Italy]]))</f>
        <v>601</v>
      </c>
      <c r="G36" s="10">
        <f>Tabella3[[#This Row],[Cum_L_fit]]+Tabella3[[#This Row],[Cum_o_fit]]</f>
        <v>6178.2521601857879</v>
      </c>
      <c r="H36" s="10">
        <f>Tabella3[[#This Row],[Lombardy fit]]+Tabella3[[#This Row],[rest of Italy fit]]</f>
        <v>709.76080571327168</v>
      </c>
      <c r="I36" s="10">
        <f>Kf*EXP(-EXP(-(Tabella3[[#This Row],[Day]]-t0f)/wf))*EXP(-(Tabella3[[#This Row],[Day]]-t0f)/wf)/wf</f>
        <v>711.5244646890377</v>
      </c>
      <c r="J36" s="10">
        <f>Tabella3[[#This Row],[Italy sum]]*NOT(ISBLANK(Tabella3[[#This Row],[Italy]]))</f>
        <v>709.76080571327168</v>
      </c>
      <c r="K36" s="10">
        <f>Tabella3[[#This Row],[Italy fit]]*NOT(ISBLANK(Tabella3[[#This Row],[Italy]]))</f>
        <v>711.5244646890377</v>
      </c>
      <c r="L36" s="10">
        <f>Tabella3[[#This Row],[Italy sum]]+CIw</f>
        <v>846.44022129436121</v>
      </c>
      <c r="M36" s="10">
        <f>MAX(Tabella3[[#This Row],[Italy sum]]-CIw,0)</f>
        <v>573.08139013218215</v>
      </c>
      <c r="N36" s="4">
        <v>3776</v>
      </c>
      <c r="O36" s="10">
        <f>Tabella3[[#This Row],[Cum_Lom]]-N35</f>
        <v>320</v>
      </c>
      <c r="P36" s="10">
        <f>Tabella3[[#This Row],[Lombardy]]*NOT(ISBLANK(Tabella3[[#This Row],[Lombardy]]))</f>
        <v>320</v>
      </c>
      <c r="Q36" s="10">
        <f>Kl*EXP(-EXP(-(Tabella3[[#This Row],[Day]]-t0l)/wl))</f>
        <v>3831.9061342746418</v>
      </c>
      <c r="R36" s="10">
        <f>Kl*EXP(-EXP(-(Tabella3[[#This Row],[Day]]-t0l)/wl))*EXP(-(Tabella3[[#This Row],[Day]]-t0l)/wl)/wl</f>
        <v>402.33331234985843</v>
      </c>
      <c r="S36" s="10">
        <f>Tabella3[[#This Row],[Lombardy fit]]*NOT(ISBLANK(Tabella3[[#This Row],[Lombardy]]))</f>
        <v>402.33331234985843</v>
      </c>
      <c r="T36" s="10">
        <f>Tabella3[[#This Row],[Lombardy fit]]+CIl</f>
        <v>523.48299791863064</v>
      </c>
      <c r="U36" s="10">
        <f>MAX(Tabella3[[#This Row],[Lombardy fit]]-CIl,0)</f>
        <v>281.18362678108616</v>
      </c>
      <c r="V36" s="10">
        <f>Tabella3[[#This Row],[Cum_Italy]]-Tabella3[[#This Row],[Cum_Lom]]</f>
        <v>2301</v>
      </c>
      <c r="W36" s="10">
        <f>Tabella3[[#This Row],[Cum_o]]-V35</f>
        <v>281</v>
      </c>
      <c r="X36" s="10">
        <f>Tabella3[[#This Row],[rest of Italy]]*NOT(ISBLANK(Tabella3[[#This Row],[rest of Italy]]))</f>
        <v>281</v>
      </c>
      <c r="Y36" s="10">
        <f>Ka*EXP(-EXP(-(Tabella3[[#This Row],[Day]]-t0a)/wa))</f>
        <v>2346.3460259111462</v>
      </c>
      <c r="Z36" s="10">
        <f>Ka*EXP(-EXP(-(Tabella3[[#This Row],[Day]]-t0a)/wa))*EXP(-(Tabella3[[#This Row],[Day]]-t0a)/wa)/wa</f>
        <v>307.42749336341325</v>
      </c>
      <c r="AA36" s="10">
        <f>Tabella3[[#This Row],[rest of Italy fit]]*NOT(ISBLANK(Tabella3[[#This Row],[rest of Italy]]))</f>
        <v>307.42749336341325</v>
      </c>
      <c r="AB36" s="10">
        <f>Tabella3[[#This Row],[rest of Italy fit]]+CIa</f>
        <v>373.72479797608963</v>
      </c>
      <c r="AC36" s="10">
        <f>MAX(Tabella3[[#This Row],[rest of Italy fit]]-CIa,0)</f>
        <v>241.13018875073686</v>
      </c>
      <c r="AE36" s="2" t="s">
        <v>3</v>
      </c>
      <c r="AF36" s="1">
        <f>COUNT(Tabella3[rest of Italy])-COUNT(AF32:AF34)</f>
        <v>45</v>
      </c>
      <c r="AS36" s="77"/>
    </row>
    <row r="37" spans="2:45" x14ac:dyDescent="0.3">
      <c r="B37" s="9">
        <v>43914</v>
      </c>
      <c r="C37" s="4">
        <f t="shared" si="0"/>
        <v>29</v>
      </c>
      <c r="D37" s="10">
        <f>'dpc-covid19-ita-andamento-naz'!K31</f>
        <v>6820</v>
      </c>
      <c r="E37" s="10">
        <f>Tabella3[[#This Row],[Cum_Italy]]-D36</f>
        <v>743</v>
      </c>
      <c r="F37" s="10">
        <f>Tabella3[[#This Row],[Italy]]*NOT(ISBLANK(Tabella3[[#This Row],[Italy]]))</f>
        <v>743</v>
      </c>
      <c r="G37" s="10">
        <f>Tabella3[[#This Row],[Cum_L_fit]]+Tabella3[[#This Row],[Cum_o_fit]]</f>
        <v>6900.5360568768165</v>
      </c>
      <c r="H37" s="10">
        <f>Tabella3[[#This Row],[Lombardy fit]]+Tabella3[[#This Row],[rest of Italy fit]]</f>
        <v>733.92359114791918</v>
      </c>
      <c r="I37" s="10">
        <f>Kf*EXP(-EXP(-(Tabella3[[#This Row],[Day]]-t0f)/wf))*EXP(-(Tabella3[[#This Row],[Day]]-t0f)/wf)/wf</f>
        <v>735.80442971888488</v>
      </c>
      <c r="J37" s="10">
        <f>Tabella3[[#This Row],[Italy sum]]*NOT(ISBLANK(Tabella3[[#This Row],[Italy]]))</f>
        <v>733.92359114791918</v>
      </c>
      <c r="K37" s="10">
        <f>Tabella3[[#This Row],[Italy fit]]*NOT(ISBLANK(Tabella3[[#This Row],[Italy]]))</f>
        <v>735.80442971888488</v>
      </c>
      <c r="L37" s="10">
        <f>Tabella3[[#This Row],[Italy sum]]+CIw</f>
        <v>870.60300672900871</v>
      </c>
      <c r="M37" s="10">
        <f>MAX(Tabella3[[#This Row],[Italy sum]]-CIw,0)</f>
        <v>597.24417556682965</v>
      </c>
      <c r="N37" s="4">
        <v>4178</v>
      </c>
      <c r="O37" s="10">
        <f>Tabella3[[#This Row],[Cum_Lom]]-N36</f>
        <v>402</v>
      </c>
      <c r="P37" s="10">
        <f>Tabella3[[#This Row],[Lombardy]]*NOT(ISBLANK(Tabella3[[#This Row],[Lombardy]]))</f>
        <v>402</v>
      </c>
      <c r="Q37" s="10">
        <f>Kl*EXP(-EXP(-(Tabella3[[#This Row],[Day]]-t0l)/wl))</f>
        <v>4238.3429907956797</v>
      </c>
      <c r="R37" s="10">
        <f>Kl*EXP(-EXP(-(Tabella3[[#This Row],[Day]]-t0l)/wl))*EXP(-(Tabella3[[#This Row],[Day]]-t0l)/wl)/wl</f>
        <v>410.00536691104543</v>
      </c>
      <c r="S37" s="10">
        <f>Tabella3[[#This Row],[Lombardy fit]]*NOT(ISBLANK(Tabella3[[#This Row],[Lombardy]]))</f>
        <v>410.00536691104543</v>
      </c>
      <c r="T37" s="10">
        <f>Tabella3[[#This Row],[Lombardy fit]]+CIl</f>
        <v>531.15505247981764</v>
      </c>
      <c r="U37" s="10">
        <f>MAX(Tabella3[[#This Row],[Lombardy fit]]-CIl,0)</f>
        <v>288.85568134227316</v>
      </c>
      <c r="V37" s="10">
        <f>Tabella3[[#This Row],[Cum_Italy]]-Tabella3[[#This Row],[Cum_Lom]]</f>
        <v>2642</v>
      </c>
      <c r="W37" s="10">
        <f>Tabella3[[#This Row],[Cum_o]]-V36</f>
        <v>341</v>
      </c>
      <c r="X37" s="10">
        <f>Tabella3[[#This Row],[rest of Italy]]*NOT(ISBLANK(Tabella3[[#This Row],[rest of Italy]]))</f>
        <v>341</v>
      </c>
      <c r="Y37" s="10">
        <f>Ka*EXP(-EXP(-(Tabella3[[#This Row],[Day]]-t0a)/wa))</f>
        <v>2662.1930660811367</v>
      </c>
      <c r="Z37" s="10">
        <f>Ka*EXP(-EXP(-(Tabella3[[#This Row],[Day]]-t0a)/wa))*EXP(-(Tabella3[[#This Row],[Day]]-t0a)/wa)/wa</f>
        <v>323.91822423687375</v>
      </c>
      <c r="AA37" s="10">
        <f>Tabella3[[#This Row],[rest of Italy fit]]*NOT(ISBLANK(Tabella3[[#This Row],[rest of Italy]]))</f>
        <v>323.91822423687375</v>
      </c>
      <c r="AB37" s="10">
        <f>Tabella3[[#This Row],[rest of Italy fit]]+CIa</f>
        <v>390.21552884955014</v>
      </c>
      <c r="AC37" s="10">
        <f>MAX(Tabella3[[#This Row],[rest of Italy fit]]-CIa,0)</f>
        <v>257.62091962419737</v>
      </c>
      <c r="AE37" s="2" t="s">
        <v>4</v>
      </c>
      <c r="AF37" s="6" cm="1">
        <f t="array" ref="AF37">SQRT(SUM((Tabella3[Colonna33]-Tabella3[Colonna322])^2)/dfa)</f>
        <v>32.916534959764427</v>
      </c>
      <c r="AS37" s="77"/>
    </row>
    <row r="38" spans="2:45" ht="16.2" x14ac:dyDescent="0.3">
      <c r="B38" s="9">
        <v>43915</v>
      </c>
      <c r="C38" s="4">
        <f t="shared" si="0"/>
        <v>30</v>
      </c>
      <c r="D38" s="10">
        <f>'dpc-covid19-ita-andamento-naz'!K32</f>
        <v>7503</v>
      </c>
      <c r="E38" s="10">
        <f>Tabella3[[#This Row],[Cum_Italy]]-D37</f>
        <v>683</v>
      </c>
      <c r="F38" s="10">
        <f>Tabella3[[#This Row],[Italy]]*NOT(ISBLANK(Tabella3[[#This Row],[Italy]]))</f>
        <v>683</v>
      </c>
      <c r="G38" s="10">
        <f>Tabella3[[#This Row],[Cum_L_fit]]+Tabella3[[#This Row],[Cum_o_fit]]</f>
        <v>7644.3208020007241</v>
      </c>
      <c r="H38" s="10">
        <f>Tabella3[[#This Row],[Lombardy fit]]+Tabella3[[#This Row],[rest of Italy fit]]</f>
        <v>752.75518093688822</v>
      </c>
      <c r="I38" s="10">
        <f>Kf*EXP(-EXP(-(Tabella3[[#This Row],[Day]]-t0f)/wf))*EXP(-(Tabella3[[#This Row],[Day]]-t0f)/wf)/wf</f>
        <v>754.662032017564</v>
      </c>
      <c r="J38" s="10">
        <f>Tabella3[[#This Row],[Italy sum]]*NOT(ISBLANK(Tabella3[[#This Row],[Italy]]))</f>
        <v>752.75518093688822</v>
      </c>
      <c r="K38" s="10">
        <f>Tabella3[[#This Row],[Italy fit]]*NOT(ISBLANK(Tabella3[[#This Row],[Italy]]))</f>
        <v>754.662032017564</v>
      </c>
      <c r="L38" s="10">
        <f>Tabella3[[#This Row],[Italy sum]]+CIw</f>
        <v>889.43459651797775</v>
      </c>
      <c r="M38" s="10">
        <f>MAX(Tabella3[[#This Row],[Italy sum]]-CIw,0)</f>
        <v>616.07576535579869</v>
      </c>
      <c r="N38" s="4">
        <v>4474</v>
      </c>
      <c r="O38" s="10">
        <f>Tabella3[[#This Row],[Cum_Lom]]-N37</f>
        <v>296</v>
      </c>
      <c r="P38" s="10">
        <f>Tabella3[[#This Row],[Lombardy]]*NOT(ISBLANK(Tabella3[[#This Row],[Lombardy]]))</f>
        <v>296</v>
      </c>
      <c r="Q38" s="10">
        <f>Kl*EXP(-EXP(-(Tabella3[[#This Row],[Day]]-t0l)/wl))</f>
        <v>4650.8649201011085</v>
      </c>
      <c r="R38" s="10">
        <f>Kl*EXP(-EXP(-(Tabella3[[#This Row],[Day]]-t0l)/wl))*EXP(-(Tabella3[[#This Row],[Day]]-t0l)/wl)/wl</f>
        <v>414.52380874596173</v>
      </c>
      <c r="S38" s="10">
        <f>Tabella3[[#This Row],[Lombardy fit]]*NOT(ISBLANK(Tabella3[[#This Row],[Lombardy]]))</f>
        <v>414.52380874596173</v>
      </c>
      <c r="T38" s="10">
        <f>Tabella3[[#This Row],[Lombardy fit]]+CIl</f>
        <v>535.67349431473394</v>
      </c>
      <c r="U38" s="10">
        <f>MAX(Tabella3[[#This Row],[Lombardy fit]]-CIl,0)</f>
        <v>293.37412317718946</v>
      </c>
      <c r="V38" s="10">
        <f>Tabella3[[#This Row],[Cum_Italy]]-Tabella3[[#This Row],[Cum_Lom]]</f>
        <v>3029</v>
      </c>
      <c r="W38" s="10">
        <f>Tabella3[[#This Row],[Cum_o]]-V37</f>
        <v>387</v>
      </c>
      <c r="X38" s="10">
        <f>Tabella3[[#This Row],[rest of Italy]]*NOT(ISBLANK(Tabella3[[#This Row],[rest of Italy]]))</f>
        <v>387</v>
      </c>
      <c r="Y38" s="10">
        <f>Ka*EXP(-EXP(-(Tabella3[[#This Row],[Day]]-t0a)/wa))</f>
        <v>2993.4558818996152</v>
      </c>
      <c r="Z38" s="10">
        <f>Ka*EXP(-EXP(-(Tabella3[[#This Row],[Day]]-t0a)/wa))*EXP(-(Tabella3[[#This Row],[Day]]-t0a)/wa)/wa</f>
        <v>338.23137219092649</v>
      </c>
      <c r="AA38" s="10">
        <f>Tabella3[[#This Row],[rest of Italy fit]]*NOT(ISBLANK(Tabella3[[#This Row],[rest of Italy]]))</f>
        <v>338.23137219092649</v>
      </c>
      <c r="AB38" s="10">
        <f>Tabella3[[#This Row],[rest of Italy fit]]+CIa</f>
        <v>404.52867680360288</v>
      </c>
      <c r="AC38" s="10">
        <f>MAX(Tabella3[[#This Row],[rest of Italy fit]]-CIa,0)</f>
        <v>271.93406757825011</v>
      </c>
      <c r="AE38" s="2" t="s">
        <v>5</v>
      </c>
      <c r="AF38" s="7" cm="1">
        <f t="array" ref="AF38">1-SUM((Tabella3[Colonna33]-Tabella3[Colonna322])^2)/SUM((Tabella3[Colonna33]-Mean_of_ya)^2)</f>
        <v>0.97536626345874378</v>
      </c>
      <c r="AS38" s="77"/>
    </row>
    <row r="39" spans="2:45" x14ac:dyDescent="0.3">
      <c r="B39" s="9">
        <v>43916</v>
      </c>
      <c r="C39" s="4">
        <f t="shared" si="0"/>
        <v>31</v>
      </c>
      <c r="D39" s="10">
        <f>'dpc-covid19-ita-andamento-naz'!K33</f>
        <v>8165</v>
      </c>
      <c r="E39" s="10">
        <f>Tabella3[[#This Row],[Cum_Italy]]-D38</f>
        <v>662</v>
      </c>
      <c r="F39" s="10">
        <f>Tabella3[[#This Row],[Italy]]*NOT(ISBLANK(Tabella3[[#This Row],[Italy]]))</f>
        <v>662</v>
      </c>
      <c r="G39" s="10">
        <f>Tabella3[[#This Row],[Cum_L_fit]]+Tabella3[[#This Row],[Cum_o_fit]]</f>
        <v>8404.2745156465517</v>
      </c>
      <c r="H39" s="10">
        <f>Tabella3[[#This Row],[Lombardy fit]]+Tabella3[[#This Row],[rest of Italy fit]]</f>
        <v>766.27490378417656</v>
      </c>
      <c r="I39" s="10">
        <f>Kf*EXP(-EXP(-(Tabella3[[#This Row],[Day]]-t0f)/wf))*EXP(-(Tabella3[[#This Row],[Day]]-t0f)/wf)/wf</f>
        <v>768.11577892770333</v>
      </c>
      <c r="J39" s="10">
        <f>Tabella3[[#This Row],[Italy sum]]*NOT(ISBLANK(Tabella3[[#This Row],[Italy]]))</f>
        <v>766.27490378417656</v>
      </c>
      <c r="K39" s="10">
        <f>Tabella3[[#This Row],[Italy fit]]*NOT(ISBLANK(Tabella3[[#This Row],[Italy]]))</f>
        <v>768.11577892770333</v>
      </c>
      <c r="L39" s="10">
        <f>Tabella3[[#This Row],[Italy sum]]+CIw</f>
        <v>902.95431936526609</v>
      </c>
      <c r="M39" s="10">
        <f>MAX(Tabella3[[#This Row],[Italy sum]]-CIw,0)</f>
        <v>629.59548820308703</v>
      </c>
      <c r="N39" s="4">
        <v>4861</v>
      </c>
      <c r="O39" s="10">
        <f>Tabella3[[#This Row],[Cum_Lom]]-N38</f>
        <v>387</v>
      </c>
      <c r="P39" s="10">
        <f>Tabella3[[#This Row],[Lombardy]]*NOT(ISBLANK(Tabella3[[#This Row],[Lombardy]]))</f>
        <v>387</v>
      </c>
      <c r="Q39" s="10">
        <f>Kl*EXP(-EXP(-(Tabella3[[#This Row],[Day]]-t0l)/wl))</f>
        <v>5066.3897814860065</v>
      </c>
      <c r="R39" s="10">
        <f>Kl*EXP(-EXP(-(Tabella3[[#This Row],[Day]]-t0l)/wl))*EXP(-(Tabella3[[#This Row],[Day]]-t0l)/wl)/wl</f>
        <v>416.0415106155757</v>
      </c>
      <c r="S39" s="10">
        <f>Tabella3[[#This Row],[Lombardy fit]]*NOT(ISBLANK(Tabella3[[#This Row],[Lombardy]]))</f>
        <v>416.0415106155757</v>
      </c>
      <c r="T39" s="10">
        <f>Tabella3[[#This Row],[Lombardy fit]]+CIl</f>
        <v>537.19119618434797</v>
      </c>
      <c r="U39" s="10">
        <f>MAX(Tabella3[[#This Row],[Lombardy fit]]-CIl,0)</f>
        <v>294.89182504680343</v>
      </c>
      <c r="V39" s="10">
        <f>Tabella3[[#This Row],[Cum_Italy]]-Tabella3[[#This Row],[Cum_Lom]]</f>
        <v>3304</v>
      </c>
      <c r="W39" s="10">
        <f>Tabella3[[#This Row],[Cum_o]]-V38</f>
        <v>275</v>
      </c>
      <c r="X39" s="10">
        <f>Tabella3[[#This Row],[rest of Italy]]*NOT(ISBLANK(Tabella3[[#This Row],[rest of Italy]]))</f>
        <v>275</v>
      </c>
      <c r="Y39" s="10">
        <f>Ka*EXP(-EXP(-(Tabella3[[#This Row],[Day]]-t0a)/wa))</f>
        <v>3337.8847341605456</v>
      </c>
      <c r="Z39" s="10">
        <f>Ka*EXP(-EXP(-(Tabella3[[#This Row],[Day]]-t0a)/wa))*EXP(-(Tabella3[[#This Row],[Day]]-t0a)/wa)/wa</f>
        <v>350.23339316860086</v>
      </c>
      <c r="AA39" s="10">
        <f>Tabella3[[#This Row],[rest of Italy fit]]*NOT(ISBLANK(Tabella3[[#This Row],[rest of Italy]]))</f>
        <v>350.23339316860086</v>
      </c>
      <c r="AB39" s="10">
        <f>Tabella3[[#This Row],[rest of Italy fit]]+CIa</f>
        <v>416.53069778127724</v>
      </c>
      <c r="AC39" s="10">
        <f>MAX(Tabella3[[#This Row],[rest of Italy fit]]-CIa,0)</f>
        <v>283.93608855592447</v>
      </c>
      <c r="AE39" s="2" t="s">
        <v>6</v>
      </c>
      <c r="AF39" s="7">
        <f>TINV(0.05,dfa)</f>
        <v>2.0141033888808457</v>
      </c>
      <c r="AS39" s="77"/>
    </row>
    <row r="40" spans="2:45" x14ac:dyDescent="0.3">
      <c r="B40" s="9">
        <v>43917</v>
      </c>
      <c r="C40" s="4">
        <f t="shared" si="0"/>
        <v>32</v>
      </c>
      <c r="D40" s="10">
        <f>'dpc-covid19-ita-andamento-naz'!K34</f>
        <v>9134</v>
      </c>
      <c r="E40" s="10">
        <f>Tabella3[[#This Row],[Cum_Italy]]-D39</f>
        <v>969</v>
      </c>
      <c r="F40" s="10">
        <f>Tabella3[[#This Row],[Italy]]*NOT(ISBLANK(Tabella3[[#This Row],[Italy]]))</f>
        <v>969</v>
      </c>
      <c r="G40" s="10">
        <f>Tabella3[[#This Row],[Cum_L_fit]]+Tabella3[[#This Row],[Cum_o_fit]]</f>
        <v>9175.1437170550671</v>
      </c>
      <c r="H40" s="10">
        <f>Tabella3[[#This Row],[Lombardy fit]]+Tabella3[[#This Row],[rest of Italy fit]]</f>
        <v>774.61714874700556</v>
      </c>
      <c r="I40" s="10">
        <f>Kf*EXP(-EXP(-(Tabella3[[#This Row],[Day]]-t0f)/wf))*EXP(-(Tabella3[[#This Row],[Day]]-t0f)/wf)/wf</f>
        <v>776.30371860984064</v>
      </c>
      <c r="J40" s="10">
        <f>Tabella3[[#This Row],[Italy sum]]*NOT(ISBLANK(Tabella3[[#This Row],[Italy]]))</f>
        <v>774.61714874700556</v>
      </c>
      <c r="K40" s="10">
        <f>Tabella3[[#This Row],[Italy fit]]*NOT(ISBLANK(Tabella3[[#This Row],[Italy]]))</f>
        <v>776.30371860984064</v>
      </c>
      <c r="L40" s="10">
        <f>Tabella3[[#This Row],[Italy sum]]+CIw</f>
        <v>911.29656432809509</v>
      </c>
      <c r="M40" s="10">
        <f>MAX(Tabella3[[#This Row],[Italy sum]]-CIw,0)</f>
        <v>637.93773316591603</v>
      </c>
      <c r="N40" s="4">
        <v>5402</v>
      </c>
      <c r="O40" s="10">
        <f>Tabella3[[#This Row],[Cum_Lom]]-N39</f>
        <v>541</v>
      </c>
      <c r="P40" s="10">
        <f>Tabella3[[#This Row],[Lombardy]]*NOT(ISBLANK(Tabella3[[#This Row],[Lombardy]]))</f>
        <v>541</v>
      </c>
      <c r="Q40" s="10">
        <f>Kl*EXP(-EXP(-(Tabella3[[#This Row],[Day]]-t0l)/wl))</f>
        <v>5482.0156531812745</v>
      </c>
      <c r="R40" s="10">
        <f>Kl*EXP(-EXP(-(Tabella3[[#This Row],[Day]]-t0l)/wl))*EXP(-(Tabella3[[#This Row],[Day]]-t0l)/wl)/wl</f>
        <v>414.76361250099683</v>
      </c>
      <c r="S40" s="10">
        <f>Tabella3[[#This Row],[Lombardy fit]]*NOT(ISBLANK(Tabella3[[#This Row],[Lombardy]]))</f>
        <v>414.76361250099683</v>
      </c>
      <c r="T40" s="10">
        <f>Tabella3[[#This Row],[Lombardy fit]]+CIl</f>
        <v>535.9132980697691</v>
      </c>
      <c r="U40" s="10">
        <f>MAX(Tabella3[[#This Row],[Lombardy fit]]-CIl,0)</f>
        <v>293.61392693222456</v>
      </c>
      <c r="V40" s="10">
        <f>Tabella3[[#This Row],[Cum_Italy]]-Tabella3[[#This Row],[Cum_Lom]]</f>
        <v>3732</v>
      </c>
      <c r="W40" s="10">
        <f>Tabella3[[#This Row],[Cum_o]]-V39</f>
        <v>428</v>
      </c>
      <c r="X40" s="10">
        <f>Tabella3[[#This Row],[rest of Italy]]*NOT(ISBLANK(Tabella3[[#This Row],[rest of Italy]]))</f>
        <v>428</v>
      </c>
      <c r="Y40" s="10">
        <f>Ka*EXP(-EXP(-(Tabella3[[#This Row],[Day]]-t0a)/wa))</f>
        <v>3693.1280638737926</v>
      </c>
      <c r="Z40" s="10">
        <f>Ka*EXP(-EXP(-(Tabella3[[#This Row],[Day]]-t0a)/wa))*EXP(-(Tabella3[[#This Row],[Day]]-t0a)/wa)/wa</f>
        <v>359.85353624600867</v>
      </c>
      <c r="AA40" s="10">
        <f>Tabella3[[#This Row],[rest of Italy fit]]*NOT(ISBLANK(Tabella3[[#This Row],[rest of Italy]]))</f>
        <v>359.85353624600867</v>
      </c>
      <c r="AB40" s="10">
        <f>Tabella3[[#This Row],[rest of Italy fit]]+CIa</f>
        <v>426.15084085868506</v>
      </c>
      <c r="AC40" s="10">
        <f>MAX(Tabella3[[#This Row],[rest of Italy fit]]-CIa,0)</f>
        <v>293.55623163333229</v>
      </c>
      <c r="AE40" s="2" t="s">
        <v>7</v>
      </c>
      <c r="AF40" s="1">
        <f>Critical_ta*SE_of_ya</f>
        <v>66.297304612676371</v>
      </c>
      <c r="AS40" s="77"/>
    </row>
    <row r="41" spans="2:45" x14ac:dyDescent="0.3">
      <c r="B41" s="9">
        <v>43918</v>
      </c>
      <c r="C41" s="4">
        <f t="shared" si="0"/>
        <v>33</v>
      </c>
      <c r="D41" s="10">
        <f>'dpc-covid19-ita-andamento-naz'!K35</f>
        <v>10023</v>
      </c>
      <c r="E41" s="10">
        <f>Tabella3[[#This Row],[Cum_Italy]]-D40</f>
        <v>889</v>
      </c>
      <c r="F41" s="10">
        <f>Tabella3[[#This Row],[Italy]]*NOT(ISBLANK(Tabella3[[#This Row],[Italy]]))</f>
        <v>889</v>
      </c>
      <c r="G41" s="10">
        <f>Tabella3[[#This Row],[Cum_L_fit]]+Tabella3[[#This Row],[Cum_o_fit]]</f>
        <v>9951.858914252025</v>
      </c>
      <c r="H41" s="10">
        <f>Tabella3[[#This Row],[Lombardy fit]]+Tabella3[[#This Row],[rest of Italy fit]]</f>
        <v>778.01223776576467</v>
      </c>
      <c r="I41" s="10">
        <f>Kf*EXP(-EXP(-(Tabella3[[#This Row],[Day]]-t0f)/wf))*EXP(-(Tabella3[[#This Row],[Day]]-t0f)/wf)/wf</f>
        <v>779.46352097599458</v>
      </c>
      <c r="J41" s="10">
        <f>Tabella3[[#This Row],[Italy sum]]*NOT(ISBLANK(Tabella3[[#This Row],[Italy]]))</f>
        <v>778.01223776576467</v>
      </c>
      <c r="K41" s="10">
        <f>Tabella3[[#This Row],[Italy fit]]*NOT(ISBLANK(Tabella3[[#This Row],[Italy]]))</f>
        <v>779.46352097599458</v>
      </c>
      <c r="L41" s="10">
        <f>Tabella3[[#This Row],[Italy sum]]+CIw</f>
        <v>914.6916533468542</v>
      </c>
      <c r="M41" s="10">
        <f>MAX(Tabella3[[#This Row],[Italy sum]]-CIw,0)</f>
        <v>641.33282218467514</v>
      </c>
      <c r="N41" s="4">
        <v>5944</v>
      </c>
      <c r="O41" s="10">
        <f>Tabella3[[#This Row],[Cum_Lom]]-N40</f>
        <v>542</v>
      </c>
      <c r="P41" s="10">
        <f>Tabella3[[#This Row],[Lombardy]]*NOT(ISBLANK(Tabella3[[#This Row],[Lombardy]]))</f>
        <v>542</v>
      </c>
      <c r="Q41" s="10">
        <f>Kl*EXP(-EXP(-(Tabella3[[#This Row],[Day]]-t0l)/wl))</f>
        <v>5895.0659330381386</v>
      </c>
      <c r="R41" s="10">
        <f>Kl*EXP(-EXP(-(Tabella3[[#This Row],[Day]]-t0l)/wl))*EXP(-(Tabella3[[#This Row],[Day]]-t0l)/wl)/wl</f>
        <v>410.93331876777142</v>
      </c>
      <c r="S41" s="10">
        <f>Tabella3[[#This Row],[Lombardy fit]]*NOT(ISBLANK(Tabella3[[#This Row],[Lombardy]]))</f>
        <v>410.93331876777142</v>
      </c>
      <c r="T41" s="10">
        <f>Tabella3[[#This Row],[Lombardy fit]]+CIl</f>
        <v>532.08300433654369</v>
      </c>
      <c r="U41" s="10">
        <f>MAX(Tabella3[[#This Row],[Lombardy fit]]-CIl,0)</f>
        <v>289.78363319899915</v>
      </c>
      <c r="V41" s="10">
        <f>Tabella3[[#This Row],[Cum_Italy]]-Tabella3[[#This Row],[Cum_Lom]]</f>
        <v>4079</v>
      </c>
      <c r="W41" s="10">
        <f>Tabella3[[#This Row],[Cum_o]]-V40</f>
        <v>347</v>
      </c>
      <c r="X41" s="10">
        <f>Tabella3[[#This Row],[rest of Italy]]*NOT(ISBLANK(Tabella3[[#This Row],[rest of Italy]]))</f>
        <v>347</v>
      </c>
      <c r="Y41" s="10">
        <f>Ka*EXP(-EXP(-(Tabella3[[#This Row],[Day]]-t0a)/wa))</f>
        <v>4056.7929812138855</v>
      </c>
      <c r="Z41" s="10">
        <f>Ka*EXP(-EXP(-(Tabella3[[#This Row],[Day]]-t0a)/wa))*EXP(-(Tabella3[[#This Row],[Day]]-t0a)/wa)/wa</f>
        <v>367.0789189979933</v>
      </c>
      <c r="AA41" s="10">
        <f>Tabella3[[#This Row],[rest of Italy fit]]*NOT(ISBLANK(Tabella3[[#This Row],[rest of Italy]]))</f>
        <v>367.0789189979933</v>
      </c>
      <c r="AB41" s="10">
        <f>Tabella3[[#This Row],[rest of Italy fit]]+CIa</f>
        <v>433.37622361066968</v>
      </c>
      <c r="AC41" s="10">
        <f>MAX(Tabella3[[#This Row],[rest of Italy fit]]-CIa,0)</f>
        <v>300.78161438531691</v>
      </c>
      <c r="AE41" s="54" t="s">
        <v>113</v>
      </c>
      <c r="AF41" s="55">
        <f>Ka/(EXP(1)*wa)</f>
        <v>375.069139281736</v>
      </c>
      <c r="AS41" s="77"/>
    </row>
    <row r="42" spans="2:45" ht="15" thickBot="1" x14ac:dyDescent="0.35">
      <c r="B42" s="9">
        <v>43919</v>
      </c>
      <c r="C42" s="4">
        <f t="shared" si="0"/>
        <v>34</v>
      </c>
      <c r="D42" s="10">
        <f>'dpc-covid19-ita-andamento-naz'!K36</f>
        <v>10779</v>
      </c>
      <c r="E42" s="10">
        <f>Tabella3[[#This Row],[Cum_Italy]]-D41</f>
        <v>756</v>
      </c>
      <c r="F42" s="10">
        <f>Tabella3[[#This Row],[Italy]]*NOT(ISBLANK(Tabella3[[#This Row],[Italy]]))</f>
        <v>756</v>
      </c>
      <c r="G42" s="10">
        <f>Tabella3[[#This Row],[Cum_L_fit]]+Tabella3[[#This Row],[Cum_o_fit]]</f>
        <v>10729.620710341756</v>
      </c>
      <c r="H42" s="10">
        <f>Tabella3[[#This Row],[Lombardy fit]]+Tabella3[[#This Row],[rest of Italy fit]]</f>
        <v>776.76677984618482</v>
      </c>
      <c r="I42" s="10">
        <f>Kf*EXP(-EXP(-(Tabella3[[#This Row],[Day]]-t0f)/wf))*EXP(-(Tabella3[[#This Row],[Day]]-t0f)/wf)/wf</f>
        <v>777.91193864702973</v>
      </c>
      <c r="J42" s="10">
        <f>Tabella3[[#This Row],[Italy sum]]*NOT(ISBLANK(Tabella3[[#This Row],[Italy]]))</f>
        <v>776.76677984618482</v>
      </c>
      <c r="K42" s="10">
        <f>Tabella3[[#This Row],[Italy fit]]*NOT(ISBLANK(Tabella3[[#This Row],[Italy]]))</f>
        <v>777.91193864702973</v>
      </c>
      <c r="L42" s="10">
        <f>Tabella3[[#This Row],[Italy sum]]+CIw</f>
        <v>913.44619542727435</v>
      </c>
      <c r="M42" s="10">
        <f>MAX(Tabella3[[#This Row],[Italy sum]]-CIw,0)</f>
        <v>640.08736426509529</v>
      </c>
      <c r="N42" s="4">
        <v>6360</v>
      </c>
      <c r="O42" s="10">
        <f>Tabella3[[#This Row],[Cum_Lom]]-N41</f>
        <v>416</v>
      </c>
      <c r="P42" s="10">
        <f>Tabella3[[#This Row],[Lombardy]]*NOT(ISBLANK(Tabella3[[#This Row],[Lombardy]]))</f>
        <v>416</v>
      </c>
      <c r="Q42" s="10">
        <f>Kl*EXP(-EXP(-(Tabella3[[#This Row],[Day]]-t0l)/wl))</f>
        <v>6303.1207225407306</v>
      </c>
      <c r="R42" s="10">
        <f>Kl*EXP(-EXP(-(Tabella3[[#This Row],[Day]]-t0l)/wl))*EXP(-(Tabella3[[#This Row],[Day]]-t0l)/wl)/wl</f>
        <v>404.81875566769469</v>
      </c>
      <c r="S42" s="10">
        <f>Tabella3[[#This Row],[Lombardy fit]]*NOT(ISBLANK(Tabella3[[#This Row],[Lombardy]]))</f>
        <v>404.81875566769469</v>
      </c>
      <c r="T42" s="10">
        <f>Tabella3[[#This Row],[Lombardy fit]]+CIl</f>
        <v>525.9684412364669</v>
      </c>
      <c r="U42" s="10">
        <f>MAX(Tabella3[[#This Row],[Lombardy fit]]-CIl,0)</f>
        <v>283.66907009892242</v>
      </c>
      <c r="V42" s="10">
        <f>Tabella3[[#This Row],[Cum_Italy]]-Tabella3[[#This Row],[Cum_Lom]]</f>
        <v>4419</v>
      </c>
      <c r="W42" s="10">
        <f>Tabella3[[#This Row],[Cum_o]]-V41</f>
        <v>340</v>
      </c>
      <c r="X42" s="10">
        <f>Tabella3[[#This Row],[rest of Italy]]*NOT(ISBLANK(Tabella3[[#This Row],[rest of Italy]]))</f>
        <v>340</v>
      </c>
      <c r="Y42" s="10">
        <f>Ka*EXP(-EXP(-(Tabella3[[#This Row],[Day]]-t0a)/wa))</f>
        <v>4426.4999878010258</v>
      </c>
      <c r="Z42" s="10">
        <f>Ka*EXP(-EXP(-(Tabella3[[#This Row],[Day]]-t0a)/wa))*EXP(-(Tabella3[[#This Row],[Day]]-t0a)/wa)/wa</f>
        <v>371.94802417849007</v>
      </c>
      <c r="AA42" s="10">
        <f>Tabella3[[#This Row],[rest of Italy fit]]*NOT(ISBLANK(Tabella3[[#This Row],[rest of Italy]]))</f>
        <v>371.94802417849007</v>
      </c>
      <c r="AB42" s="10">
        <f>Tabella3[[#This Row],[rest of Italy fit]]+CIa</f>
        <v>438.24532879116646</v>
      </c>
      <c r="AC42" s="10">
        <f>MAX(Tabella3[[#This Row],[rest of Italy fit]]-CIa,0)</f>
        <v>305.65071956581369</v>
      </c>
      <c r="AE42" s="54" t="s">
        <v>145</v>
      </c>
      <c r="AF42" s="56">
        <f>_xlfn.XLOOKUP(ROUND(t0a,0),Tabella3[Day],Tabella3[Date])</f>
        <v>43921</v>
      </c>
      <c r="AS42" s="78"/>
    </row>
    <row r="43" spans="2:45" ht="15" thickTop="1" x14ac:dyDescent="0.3">
      <c r="B43" s="9">
        <v>43920</v>
      </c>
      <c r="C43" s="4">
        <f t="shared" si="0"/>
        <v>35</v>
      </c>
      <c r="D43" s="10">
        <f>'dpc-covid19-ita-andamento-naz'!K37</f>
        <v>11591</v>
      </c>
      <c r="E43" s="10">
        <f>Tabella3[[#This Row],[Cum_Italy]]-D42</f>
        <v>812</v>
      </c>
      <c r="F43" s="10">
        <f>Tabella3[[#This Row],[Italy]]*NOT(ISBLANK(Tabella3[[#This Row],[Italy]]))</f>
        <v>812</v>
      </c>
      <c r="G43" s="10">
        <f>Tabella3[[#This Row],[Cum_L_fit]]+Tabella3[[#This Row],[Cum_o_fit]]</f>
        <v>11503.966443828664</v>
      </c>
      <c r="H43" s="10">
        <f>Tabella3[[#This Row],[Lombardy fit]]+Tabella3[[#This Row],[rest of Italy fit]]</f>
        <v>771.24453383440664</v>
      </c>
      <c r="I43" s="10">
        <f>Kf*EXP(-EXP(-(Tabella3[[#This Row],[Day]]-t0f)/wf))*EXP(-(Tabella3[[#This Row],[Day]]-t0f)/wf)/wf</f>
        <v>772.0247625338144</v>
      </c>
      <c r="J43" s="10">
        <f>Tabella3[[#This Row],[Italy sum]]*NOT(ISBLANK(Tabella3[[#This Row],[Italy]]))</f>
        <v>771.24453383440664</v>
      </c>
      <c r="K43" s="10">
        <f>Tabella3[[#This Row],[Italy fit]]*NOT(ISBLANK(Tabella3[[#This Row],[Italy]]))</f>
        <v>772.0247625338144</v>
      </c>
      <c r="L43" s="10">
        <f>Tabella3[[#This Row],[Italy sum]]+CIw</f>
        <v>907.92394941549617</v>
      </c>
      <c r="M43" s="10">
        <f>MAX(Tabella3[[#This Row],[Italy sum]]-CIw,0)</f>
        <v>634.56511825331711</v>
      </c>
      <c r="N43" s="4">
        <v>6818</v>
      </c>
      <c r="O43" s="10">
        <f>Tabella3[[#This Row],[Cum_Lom]]-N42</f>
        <v>458</v>
      </c>
      <c r="P43" s="10">
        <f>Tabella3[[#This Row],[Lombardy]]*NOT(ISBLANK(Tabella3[[#This Row],[Lombardy]]))</f>
        <v>458</v>
      </c>
      <c r="Q43" s="10">
        <f>Kl*EXP(-EXP(-(Tabella3[[#This Row],[Day]]-t0l)/wl))</f>
        <v>6704.0357827615526</v>
      </c>
      <c r="R43" s="10">
        <f>Kl*EXP(-EXP(-(Tabella3[[#This Row],[Day]]-t0l)/wl))*EXP(-(Tabella3[[#This Row],[Day]]-t0l)/wl)/wl</f>
        <v>396.701311034247</v>
      </c>
      <c r="S43" s="10">
        <f>Tabella3[[#This Row],[Lombardy fit]]*NOT(ISBLANK(Tabella3[[#This Row],[Lombardy]]))</f>
        <v>396.701311034247</v>
      </c>
      <c r="T43" s="10">
        <f>Tabella3[[#This Row],[Lombardy fit]]+CIl</f>
        <v>517.85099660301921</v>
      </c>
      <c r="U43" s="10">
        <f>MAX(Tabella3[[#This Row],[Lombardy fit]]-CIl,0)</f>
        <v>275.55162546547473</v>
      </c>
      <c r="V43" s="10">
        <f>Tabella3[[#This Row],[Cum_Italy]]-Tabella3[[#This Row],[Cum_Lom]]</f>
        <v>4773</v>
      </c>
      <c r="W43" s="10">
        <f>Tabella3[[#This Row],[Cum_o]]-V42</f>
        <v>354</v>
      </c>
      <c r="X43" s="10">
        <f>Tabella3[[#This Row],[rest of Italy]]*NOT(ISBLANK(Tabella3[[#This Row],[rest of Italy]]))</f>
        <v>354</v>
      </c>
      <c r="Y43" s="10">
        <f>Ka*EXP(-EXP(-(Tabella3[[#This Row],[Day]]-t0a)/wa))</f>
        <v>4799.930661067111</v>
      </c>
      <c r="Z43" s="10">
        <f>Ka*EXP(-EXP(-(Tabella3[[#This Row],[Day]]-t0a)/wa))*EXP(-(Tabella3[[#This Row],[Day]]-t0a)/wa)/wa</f>
        <v>374.54322280015964</v>
      </c>
      <c r="AA43" s="10">
        <f>Tabella3[[#This Row],[rest of Italy fit]]*NOT(ISBLANK(Tabella3[[#This Row],[rest of Italy]]))</f>
        <v>374.54322280015964</v>
      </c>
      <c r="AB43" s="10">
        <f>Tabella3[[#This Row],[rest of Italy fit]]+CIa</f>
        <v>440.84052741283602</v>
      </c>
      <c r="AC43" s="10">
        <f>MAX(Tabella3[[#This Row],[rest of Italy fit]]-CIa,0)</f>
        <v>308.24591818748326</v>
      </c>
      <c r="AE43" s="57" t="s">
        <v>146</v>
      </c>
      <c r="AF43" s="21" t="s">
        <v>88</v>
      </c>
      <c r="AS43" s="82">
        <f>MAX($AF$50)</f>
        <v>0.97371219080756766</v>
      </c>
    </row>
    <row r="44" spans="2:45" x14ac:dyDescent="0.3">
      <c r="B44" s="9">
        <v>43921</v>
      </c>
      <c r="C44" s="4">
        <f t="shared" si="0"/>
        <v>36</v>
      </c>
      <c r="D44" s="10">
        <f>'dpc-covid19-ita-andamento-naz'!K38</f>
        <v>12428</v>
      </c>
      <c r="E44" s="10">
        <f>Tabella3[[#This Row],[Cum_Italy]]-D43</f>
        <v>837</v>
      </c>
      <c r="F44" s="10">
        <f>Tabella3[[#This Row],[Italy]]*NOT(ISBLANK(Tabella3[[#This Row],[Italy]]))</f>
        <v>837</v>
      </c>
      <c r="G44" s="10">
        <f>Tabella3[[#This Row],[Cum_L_fit]]+Tabella3[[#This Row],[Cum_o_fit]]</f>
        <v>12270.818274764864</v>
      </c>
      <c r="H44" s="10">
        <f>Tabella3[[#This Row],[Lombardy fit]]+Tabella3[[#This Row],[rest of Italy fit]]</f>
        <v>761.84854334754925</v>
      </c>
      <c r="I44" s="10">
        <f>Kf*EXP(-EXP(-(Tabella3[[#This Row],[Day]]-t0f)/wf))*EXP(-(Tabella3[[#This Row],[Day]]-t0f)/wf)/wf</f>
        <v>762.2181029189187</v>
      </c>
      <c r="J44" s="10">
        <f>Tabella3[[#This Row],[Italy sum]]*NOT(ISBLANK(Tabella3[[#This Row],[Italy]]))</f>
        <v>761.84854334754925</v>
      </c>
      <c r="K44" s="10">
        <f>Tabella3[[#This Row],[Italy fit]]*NOT(ISBLANK(Tabella3[[#This Row],[Italy]]))</f>
        <v>762.2181029189187</v>
      </c>
      <c r="L44" s="10">
        <f>Tabella3[[#This Row],[Italy sum]]+CIw</f>
        <v>898.52795892863878</v>
      </c>
      <c r="M44" s="10">
        <f>MAX(Tabella3[[#This Row],[Italy sum]]-CIw,0)</f>
        <v>625.16912776645972</v>
      </c>
      <c r="N44" s="4">
        <v>7199</v>
      </c>
      <c r="O44" s="10">
        <f>Tabella3[[#This Row],[Cum_Lom]]-N43</f>
        <v>381</v>
      </c>
      <c r="P44" s="10">
        <f>Tabella3[[#This Row],[Lombardy]]*NOT(ISBLANK(Tabella3[[#This Row],[Lombardy]]))</f>
        <v>381</v>
      </c>
      <c r="Q44" s="10">
        <f>Kl*EXP(-EXP(-(Tabella3[[#This Row],[Day]]-t0l)/wl))</f>
        <v>7095.9506742678732</v>
      </c>
      <c r="R44" s="10">
        <f>Kl*EXP(-EXP(-(Tabella3[[#This Row],[Day]]-t0l)/wl))*EXP(-(Tabella3[[#This Row],[Day]]-t0l)/wl)/wl</f>
        <v>386.86568693114242</v>
      </c>
      <c r="S44" s="10">
        <f>Tabella3[[#This Row],[Lombardy fit]]*NOT(ISBLANK(Tabella3[[#This Row],[Lombardy]]))</f>
        <v>386.86568693114242</v>
      </c>
      <c r="T44" s="10">
        <f>Tabella3[[#This Row],[Lombardy fit]]+CIl</f>
        <v>508.01537249991469</v>
      </c>
      <c r="U44" s="10">
        <f>MAX(Tabella3[[#This Row],[Lombardy fit]]-CIl,0)</f>
        <v>265.71600136237015</v>
      </c>
      <c r="V44" s="10">
        <f>Tabella3[[#This Row],[Cum_Italy]]-Tabella3[[#This Row],[Cum_Lom]]</f>
        <v>5229</v>
      </c>
      <c r="W44" s="10">
        <f>Tabella3[[#This Row],[Cum_o]]-V43</f>
        <v>456</v>
      </c>
      <c r="X44" s="10">
        <f>Tabella3[[#This Row],[rest of Italy]]*NOT(ISBLANK(Tabella3[[#This Row],[rest of Italy]]))</f>
        <v>456</v>
      </c>
      <c r="Y44" s="10">
        <f>Ka*EXP(-EXP(-(Tabella3[[#This Row],[Day]]-t0a)/wa))</f>
        <v>5174.8676004969921</v>
      </c>
      <c r="Z44" s="10">
        <f>Ka*EXP(-EXP(-(Tabella3[[#This Row],[Day]]-t0a)/wa))*EXP(-(Tabella3[[#This Row],[Day]]-t0a)/wa)/wa</f>
        <v>374.98285641640683</v>
      </c>
      <c r="AA44" s="10">
        <f>Tabella3[[#This Row],[rest of Italy fit]]*NOT(ISBLANK(Tabella3[[#This Row],[rest of Italy]]))</f>
        <v>374.98285641640683</v>
      </c>
      <c r="AB44" s="10">
        <f>Tabella3[[#This Row],[rest of Italy fit]]+CIa</f>
        <v>441.28016102908322</v>
      </c>
      <c r="AC44" s="10">
        <f>MAX(Tabella3[[#This Row],[rest of Italy fit]]-CIa,0)</f>
        <v>308.68555180373045</v>
      </c>
      <c r="AE44" s="17" t="s">
        <v>0</v>
      </c>
      <c r="AF44" s="5">
        <f>Kt</f>
        <v>27406.82370710903</v>
      </c>
      <c r="AS44" s="83">
        <f>COUNT($AF$44,$AF$45,$AF$46)</f>
        <v>3</v>
      </c>
    </row>
    <row r="45" spans="2:45" ht="15.6" x14ac:dyDescent="0.35">
      <c r="B45" s="9">
        <v>43922</v>
      </c>
      <c r="C45" s="4">
        <f t="shared" si="0"/>
        <v>37</v>
      </c>
      <c r="D45" s="10">
        <f>'dpc-covid19-ita-andamento-naz'!K39</f>
        <v>13155</v>
      </c>
      <c r="E45" s="10">
        <f>Tabella3[[#This Row],[Cum_Italy]]-D44</f>
        <v>727</v>
      </c>
      <c r="F45" s="10">
        <f>Tabella3[[#This Row],[Italy]]*NOT(ISBLANK(Tabella3[[#This Row],[Italy]]))</f>
        <v>727</v>
      </c>
      <c r="G45" s="10">
        <f>Tabella3[[#This Row],[Cum_L_fit]]+Tabella3[[#This Row],[Cum_o_fit]]</f>
        <v>13026.514267496485</v>
      </c>
      <c r="H45" s="10">
        <f>Tabella3[[#This Row],[Lombardy fit]]+Tabella3[[#This Row],[rest of Italy fit]]</f>
        <v>749.00506261734256</v>
      </c>
      <c r="I45" s="10">
        <f>Kf*EXP(-EXP(-(Tabella3[[#This Row],[Day]]-t0f)/wf))*EXP(-(Tabella3[[#This Row],[Day]]-t0f)/wf)/wf</f>
        <v>748.93156114299711</v>
      </c>
      <c r="J45" s="10">
        <f>Tabella3[[#This Row],[Italy sum]]*NOT(ISBLANK(Tabella3[[#This Row],[Italy]]))</f>
        <v>749.00506261734256</v>
      </c>
      <c r="K45" s="10">
        <f>Tabella3[[#This Row],[Italy fit]]*NOT(ISBLANK(Tabella3[[#This Row],[Italy]]))</f>
        <v>748.93156114299711</v>
      </c>
      <c r="L45" s="10">
        <f>Tabella3[[#This Row],[Italy sum]]+CIw</f>
        <v>885.68447819843209</v>
      </c>
      <c r="M45" s="10">
        <f>MAX(Tabella3[[#This Row],[Italy sum]]-CIw,0)</f>
        <v>612.32564703625303</v>
      </c>
      <c r="N45" s="4">
        <v>7593</v>
      </c>
      <c r="O45" s="10">
        <f>Tabella3[[#This Row],[Cum_Lom]]-N44</f>
        <v>394</v>
      </c>
      <c r="P45" s="10">
        <f>Tabella3[[#This Row],[Lombardy]]*NOT(ISBLANK(Tabella3[[#This Row],[Lombardy]]))</f>
        <v>394</v>
      </c>
      <c r="Q45" s="10">
        <f>Kl*EXP(-EXP(-(Tabella3[[#This Row],[Day]]-t0l)/wl))</f>
        <v>7477.2878434680651</v>
      </c>
      <c r="R45" s="10">
        <f>Kl*EXP(-EXP(-(Tabella3[[#This Row],[Day]]-t0l)/wl))*EXP(-(Tabella3[[#This Row],[Day]]-t0l)/wl)/wl</f>
        <v>375.59174180557204</v>
      </c>
      <c r="S45" s="10">
        <f>Tabella3[[#This Row],[Lombardy fit]]*NOT(ISBLANK(Tabella3[[#This Row],[Lombardy]]))</f>
        <v>375.59174180557204</v>
      </c>
      <c r="T45" s="10">
        <f>Tabella3[[#This Row],[Lombardy fit]]+CIl</f>
        <v>496.74142737434431</v>
      </c>
      <c r="U45" s="10">
        <f>MAX(Tabella3[[#This Row],[Lombardy fit]]-CIl,0)</f>
        <v>254.44205623679977</v>
      </c>
      <c r="V45" s="10">
        <f>Tabella3[[#This Row],[Cum_Italy]]-Tabella3[[#This Row],[Cum_Lom]]</f>
        <v>5562</v>
      </c>
      <c r="W45" s="10">
        <f>Tabella3[[#This Row],[Cum_o]]-V44</f>
        <v>333</v>
      </c>
      <c r="X45" s="10">
        <f>Tabella3[[#This Row],[rest of Italy]]*NOT(ISBLANK(Tabella3[[#This Row],[rest of Italy]]))</f>
        <v>333</v>
      </c>
      <c r="Y45" s="10">
        <f>Ka*EXP(-EXP(-(Tabella3[[#This Row],[Day]]-t0a)/wa))</f>
        <v>5549.2264240284194</v>
      </c>
      <c r="Z45" s="10">
        <f>Ka*EXP(-EXP(-(Tabella3[[#This Row],[Day]]-t0a)/wa))*EXP(-(Tabella3[[#This Row],[Day]]-t0a)/wa)/wa</f>
        <v>373.41332081177052</v>
      </c>
      <c r="AA45" s="10">
        <f>Tabella3[[#This Row],[rest of Italy fit]]*NOT(ISBLANK(Tabella3[[#This Row],[rest of Italy]]))</f>
        <v>373.41332081177052</v>
      </c>
      <c r="AB45" s="10">
        <f>Tabella3[[#This Row],[rest of Italy fit]]+CIa</f>
        <v>439.7106254244469</v>
      </c>
      <c r="AC45" s="10">
        <f>MAX(Tabella3[[#This Row],[rest of Italy fit]]-CIa,0)</f>
        <v>307.11601619909413</v>
      </c>
      <c r="AE45" s="17" t="s">
        <v>24</v>
      </c>
      <c r="AF45" s="37">
        <f>t0t</f>
        <v>33.159071836773393</v>
      </c>
      <c r="AS45" s="83">
        <f>{32767;32767;0.000001;0;FALSE;FALSE;FALSE;1;2;1;0.0001;TRUE}</f>
        <v>32767</v>
      </c>
    </row>
    <row r="46" spans="2:45" x14ac:dyDescent="0.3">
      <c r="B46" s="9">
        <v>43923</v>
      </c>
      <c r="C46" s="4">
        <f t="shared" si="0"/>
        <v>38</v>
      </c>
      <c r="D46" s="10">
        <f>'dpc-covid19-ita-andamento-naz'!K40</f>
        <v>13915</v>
      </c>
      <c r="E46" s="10">
        <f>Tabella3[[#This Row],[Cum_Italy]]-D45</f>
        <v>760</v>
      </c>
      <c r="F46" s="10">
        <f>Tabella3[[#This Row],[Italy]]*NOT(ISBLANK(Tabella3[[#This Row],[Italy]]))</f>
        <v>760</v>
      </c>
      <c r="G46" s="10">
        <f>Tabella3[[#This Row],[Cum_L_fit]]+Tabella3[[#This Row],[Cum_o_fit]]</f>
        <v>13767.824429802131</v>
      </c>
      <c r="H46" s="10">
        <f>Tabella3[[#This Row],[Lombardy fit]]+Tabella3[[#This Row],[rest of Italy fit]]</f>
        <v>733.14957842348804</v>
      </c>
      <c r="I46" s="10">
        <f>Kf*EXP(-EXP(-(Tabella3[[#This Row],[Day]]-t0f)/wf))*EXP(-(Tabella3[[#This Row],[Day]]-t0f)/wf)/wf</f>
        <v>732.61362415713506</v>
      </c>
      <c r="J46" s="10">
        <f>Tabella3[[#This Row],[Italy sum]]*NOT(ISBLANK(Tabella3[[#This Row],[Italy]]))</f>
        <v>733.14957842348804</v>
      </c>
      <c r="K46" s="10">
        <f>Tabella3[[#This Row],[Italy fit]]*NOT(ISBLANK(Tabella3[[#This Row],[Italy]]))</f>
        <v>732.61362415713506</v>
      </c>
      <c r="L46" s="10">
        <f>Tabella3[[#This Row],[Italy sum]]+CIw</f>
        <v>869.82899400457757</v>
      </c>
      <c r="M46" s="10">
        <f>MAX(Tabella3[[#This Row],[Italy sum]]-CIw,0)</f>
        <v>596.47016284239851</v>
      </c>
      <c r="N46" s="4">
        <v>7960</v>
      </c>
      <c r="O46" s="10">
        <f>Tabella3[[#This Row],[Cum_Lom]]-N45</f>
        <v>367</v>
      </c>
      <c r="P46" s="10">
        <f>Tabella3[[#This Row],[Lombardy]]*NOT(ISBLANK(Tabella3[[#This Row],[Lombardy]]))</f>
        <v>367</v>
      </c>
      <c r="Q46" s="10">
        <f>Kl*EXP(-EXP(-(Tabella3[[#This Row],[Day]]-t0l)/wl))</f>
        <v>7846.7444331117022</v>
      </c>
      <c r="R46" s="10">
        <f>Kl*EXP(-EXP(-(Tabella3[[#This Row],[Day]]-t0l)/wl))*EXP(-(Tabella3[[#This Row],[Day]]-t0l)/wl)/wl</f>
        <v>363.14808218078048</v>
      </c>
      <c r="S46" s="10">
        <f>Tabella3[[#This Row],[Lombardy fit]]*NOT(ISBLANK(Tabella3[[#This Row],[Lombardy]]))</f>
        <v>363.14808218078048</v>
      </c>
      <c r="T46" s="10">
        <f>Tabella3[[#This Row],[Lombardy fit]]+CIl</f>
        <v>484.29776774955275</v>
      </c>
      <c r="U46" s="10">
        <f>MAX(Tabella3[[#This Row],[Lombardy fit]]-CIl,0)</f>
        <v>241.99839661200821</v>
      </c>
      <c r="V46" s="10">
        <f>Tabella3[[#This Row],[Cum_Italy]]-Tabella3[[#This Row],[Cum_Lom]]</f>
        <v>5955</v>
      </c>
      <c r="W46" s="10">
        <f>Tabella3[[#This Row],[Cum_o]]-V45</f>
        <v>393</v>
      </c>
      <c r="X46" s="10">
        <f>Tabella3[[#This Row],[rest of Italy]]*NOT(ISBLANK(Tabella3[[#This Row],[rest of Italy]]))</f>
        <v>393</v>
      </c>
      <c r="Y46" s="10">
        <f>Ka*EXP(-EXP(-(Tabella3[[#This Row],[Day]]-t0a)/wa))</f>
        <v>5921.0799966904278</v>
      </c>
      <c r="Z46" s="10">
        <f>Ka*EXP(-EXP(-(Tabella3[[#This Row],[Day]]-t0a)/wa))*EXP(-(Tabella3[[#This Row],[Day]]-t0a)/wa)/wa</f>
        <v>370.00149624270756</v>
      </c>
      <c r="AA46" s="10">
        <f>Tabella3[[#This Row],[rest of Italy fit]]*NOT(ISBLANK(Tabella3[[#This Row],[rest of Italy]]))</f>
        <v>370.00149624270756</v>
      </c>
      <c r="AB46" s="10">
        <f>Tabella3[[#This Row],[rest of Italy fit]]+CIa</f>
        <v>436.29880085538394</v>
      </c>
      <c r="AC46" s="10">
        <f>MAX(Tabella3[[#This Row],[rest of Italy fit]]-CIa,0)</f>
        <v>303.70419163003118</v>
      </c>
      <c r="AE46" s="17" t="s">
        <v>1</v>
      </c>
      <c r="AF46" s="37">
        <f>wt</f>
        <v>12.934077213515513</v>
      </c>
      <c r="AS46" s="83">
        <f>{0;0;1;100;0;FALSE;FALSE;0.075;0;0;FALSE;30}</f>
        <v>0</v>
      </c>
    </row>
    <row r="47" spans="2:45" x14ac:dyDescent="0.3">
      <c r="B47" s="9">
        <v>43924</v>
      </c>
      <c r="C47" s="4">
        <f t="shared" si="0"/>
        <v>39</v>
      </c>
      <c r="D47" s="10">
        <f>'dpc-covid19-ita-andamento-naz'!K41</f>
        <v>14681</v>
      </c>
      <c r="E47" s="10">
        <f>Tabella3[[#This Row],[Cum_Italy]]-D46</f>
        <v>766</v>
      </c>
      <c r="F47" s="10">
        <f>Tabella3[[#This Row],[Italy]]*NOT(ISBLANK(Tabella3[[#This Row],[Italy]]))</f>
        <v>766</v>
      </c>
      <c r="G47" s="10">
        <f>Tabella3[[#This Row],[Cum_L_fit]]+Tabella3[[#This Row],[Cum_o_fit]]</f>
        <v>14491.953882069858</v>
      </c>
      <c r="H47" s="10">
        <f>Tabella3[[#This Row],[Lombardy fit]]+Tabella3[[#This Row],[rest of Italy fit]]</f>
        <v>714.71505711164173</v>
      </c>
      <c r="I47" s="10">
        <f>Kf*EXP(-EXP(-(Tabella3[[#This Row],[Day]]-t0f)/wf))*EXP(-(Tabella3[[#This Row],[Day]]-t0f)/wf)/wf</f>
        <v>713.70942183355578</v>
      </c>
      <c r="J47" s="10">
        <f>Tabella3[[#This Row],[Italy sum]]*NOT(ISBLANK(Tabella3[[#This Row],[Italy]]))</f>
        <v>714.71505711164173</v>
      </c>
      <c r="K47" s="10">
        <f>Tabella3[[#This Row],[Italy fit]]*NOT(ISBLANK(Tabella3[[#This Row],[Italy]]))</f>
        <v>713.70942183355578</v>
      </c>
      <c r="L47" s="10">
        <f>Tabella3[[#This Row],[Italy sum]]+CIw</f>
        <v>851.39447269273126</v>
      </c>
      <c r="M47" s="10">
        <f>MAX(Tabella3[[#This Row],[Italy sum]]-CIw,0)</f>
        <v>578.0356415305522</v>
      </c>
      <c r="N47" s="4">
        <v>8311</v>
      </c>
      <c r="O47" s="10">
        <f>Tabella3[[#This Row],[Cum_Lom]]-N46</f>
        <v>351</v>
      </c>
      <c r="P47" s="10">
        <f>Tabella3[[#This Row],[Lombardy]]*NOT(ISBLANK(Tabella3[[#This Row],[Lombardy]]))</f>
        <v>351</v>
      </c>
      <c r="Q47" s="10">
        <f>Kl*EXP(-EXP(-(Tabella3[[#This Row],[Day]]-t0l)/wl))</f>
        <v>8203.2785111753692</v>
      </c>
      <c r="R47" s="10">
        <f>Kl*EXP(-EXP(-(Tabella3[[#This Row],[Day]]-t0l)/wl))*EXP(-(Tabella3[[#This Row],[Day]]-t0l)/wl)/wl</f>
        <v>349.78728236039495</v>
      </c>
      <c r="S47" s="10">
        <f>Tabella3[[#This Row],[Lombardy fit]]*NOT(ISBLANK(Tabella3[[#This Row],[Lombardy]]))</f>
        <v>349.78728236039495</v>
      </c>
      <c r="T47" s="10">
        <f>Tabella3[[#This Row],[Lombardy fit]]+CIl</f>
        <v>470.93696792916722</v>
      </c>
      <c r="U47" s="10">
        <f>MAX(Tabella3[[#This Row],[Lombardy fit]]-CIl,0)</f>
        <v>228.63759679162268</v>
      </c>
      <c r="V47" s="10">
        <f>Tabella3[[#This Row],[Cum_Italy]]-Tabella3[[#This Row],[Cum_Lom]]</f>
        <v>6370</v>
      </c>
      <c r="W47" s="10">
        <f>Tabella3[[#This Row],[Cum_o]]-V46</f>
        <v>415</v>
      </c>
      <c r="X47" s="10">
        <f>Tabella3[[#This Row],[rest of Italy]]*NOT(ISBLANK(Tabella3[[#This Row],[rest of Italy]]))</f>
        <v>415</v>
      </c>
      <c r="Y47" s="10">
        <f>Ka*EXP(-EXP(-(Tabella3[[#This Row],[Day]]-t0a)/wa))</f>
        <v>6288.6753708944889</v>
      </c>
      <c r="Z47" s="10">
        <f>Ka*EXP(-EXP(-(Tabella3[[#This Row],[Day]]-t0a)/wa))*EXP(-(Tabella3[[#This Row],[Day]]-t0a)/wa)/wa</f>
        <v>364.92777475124683</v>
      </c>
      <c r="AA47" s="10">
        <f>Tabella3[[#This Row],[rest of Italy fit]]*NOT(ISBLANK(Tabella3[[#This Row],[rest of Italy]]))</f>
        <v>364.92777475124683</v>
      </c>
      <c r="AB47" s="10">
        <f>Tabella3[[#This Row],[rest of Italy fit]]+CIa</f>
        <v>431.22507936392321</v>
      </c>
      <c r="AC47" s="10">
        <f>MAX(Tabella3[[#This Row],[rest of Italy fit]]-CIa,0)</f>
        <v>298.63047013857044</v>
      </c>
      <c r="AE47" s="2" t="s">
        <v>2</v>
      </c>
      <c r="AF47" s="1">
        <f>AVERAGE(Tabella3[Italy])</f>
        <v>414.41666666666669</v>
      </c>
      <c r="AS47" s="83"/>
    </row>
    <row r="48" spans="2:45" ht="15" thickBot="1" x14ac:dyDescent="0.35">
      <c r="B48" s="9">
        <v>43925</v>
      </c>
      <c r="C48" s="4">
        <f t="shared" si="0"/>
        <v>40</v>
      </c>
      <c r="D48" s="10">
        <f>'dpc-covid19-ita-andamento-naz'!K42</f>
        <v>15362</v>
      </c>
      <c r="E48" s="10">
        <f>Tabella3[[#This Row],[Cum_Italy]]-D47</f>
        <v>681</v>
      </c>
      <c r="F48" s="10">
        <f>Tabella3[[#This Row],[Italy]]*NOT(ISBLANK(Tabella3[[#This Row],[Italy]]))</f>
        <v>681</v>
      </c>
      <c r="G48" s="10">
        <f>Tabella3[[#This Row],[Cum_L_fit]]+Tabella3[[#This Row],[Cum_o_fit]]</f>
        <v>15196.535387231808</v>
      </c>
      <c r="H48" s="10">
        <f>Tabella3[[#This Row],[Lombardy fit]]+Tabella3[[#This Row],[rest of Italy fit]]</f>
        <v>694.12240820564614</v>
      </c>
      <c r="I48" s="10">
        <f>Kf*EXP(-EXP(-(Tabella3[[#This Row],[Day]]-t0f)/wf))*EXP(-(Tabella3[[#This Row],[Day]]-t0f)/wf)/wf</f>
        <v>692.65083691504697</v>
      </c>
      <c r="J48" s="10">
        <f>Tabella3[[#This Row],[Italy sum]]*NOT(ISBLANK(Tabella3[[#This Row],[Italy]]))</f>
        <v>694.12240820564614</v>
      </c>
      <c r="K48" s="10">
        <f>Tabella3[[#This Row],[Italy fit]]*NOT(ISBLANK(Tabella3[[#This Row],[Italy]]))</f>
        <v>692.65083691504697</v>
      </c>
      <c r="L48" s="10">
        <f>Tabella3[[#This Row],[Italy sum]]+CIw</f>
        <v>830.80182378673567</v>
      </c>
      <c r="M48" s="10">
        <f>MAX(Tabella3[[#This Row],[Italy sum]]-CIw,0)</f>
        <v>557.44299262455661</v>
      </c>
      <c r="N48" s="4">
        <v>8656</v>
      </c>
      <c r="O48" s="10">
        <f>Tabella3[[#This Row],[Cum_Lom]]-N47</f>
        <v>345</v>
      </c>
      <c r="P48" s="10">
        <f>Tabella3[[#This Row],[Lombardy]]*NOT(ISBLANK(Tabella3[[#This Row],[Lombardy]]))</f>
        <v>345</v>
      </c>
      <c r="Q48" s="10">
        <f>Kl*EXP(-EXP(-(Tabella3[[#This Row],[Day]]-t0l)/wl))</f>
        <v>8546.0912628644237</v>
      </c>
      <c r="R48" s="10">
        <f>Kl*EXP(-EXP(-(Tabella3[[#This Row],[Day]]-t0l)/wl))*EXP(-(Tabella3[[#This Row],[Day]]-t0l)/wl)/wl</f>
        <v>335.74255924178919</v>
      </c>
      <c r="S48" s="10">
        <f>Tabella3[[#This Row],[Lombardy fit]]*NOT(ISBLANK(Tabella3[[#This Row],[Lombardy]]))</f>
        <v>335.74255924178919</v>
      </c>
      <c r="T48" s="10">
        <f>Tabella3[[#This Row],[Lombardy fit]]+CIl</f>
        <v>456.89224481056146</v>
      </c>
      <c r="U48" s="10">
        <f>MAX(Tabella3[[#This Row],[Lombardy fit]]-CIl,0)</f>
        <v>214.59287367301692</v>
      </c>
      <c r="V48" s="10">
        <f>Tabella3[[#This Row],[Cum_Italy]]-Tabella3[[#This Row],[Cum_Lom]]</f>
        <v>6706</v>
      </c>
      <c r="W48" s="10">
        <f>Tabella3[[#This Row],[Cum_o]]-V47</f>
        <v>336</v>
      </c>
      <c r="X48" s="10">
        <f>Tabella3[[#This Row],[rest of Italy]]*NOT(ISBLANK(Tabella3[[#This Row],[rest of Italy]]))</f>
        <v>336</v>
      </c>
      <c r="Y48" s="10">
        <f>Ka*EXP(-EXP(-(Tabella3[[#This Row],[Day]]-t0a)/wa))</f>
        <v>6650.4441243673837</v>
      </c>
      <c r="Z48" s="10">
        <f>Ka*EXP(-EXP(-(Tabella3[[#This Row],[Day]]-t0a)/wa))*EXP(-(Tabella3[[#This Row],[Day]]-t0a)/wa)/wa</f>
        <v>358.37984896385694</v>
      </c>
      <c r="AA48" s="10">
        <f>Tabella3[[#This Row],[rest of Italy fit]]*NOT(ISBLANK(Tabella3[[#This Row],[rest of Italy]]))</f>
        <v>358.37984896385694</v>
      </c>
      <c r="AB48" s="10">
        <f>Tabella3[[#This Row],[rest of Italy fit]]+CIa</f>
        <v>424.67715357653333</v>
      </c>
      <c r="AC48" s="10">
        <f>MAX(Tabella3[[#This Row],[rest of Italy fit]]-CIa,0)</f>
        <v>292.08254435118056</v>
      </c>
      <c r="AE48" s="2" t="s">
        <v>3</v>
      </c>
      <c r="AF48" s="1">
        <f>COUNT(Tabella3[Italy])-COUNT(AF44:AF46)</f>
        <v>45</v>
      </c>
      <c r="AG48" s="6"/>
      <c r="AS48" s="84"/>
    </row>
    <row r="49" spans="2:34" x14ac:dyDescent="0.3">
      <c r="B49" s="9">
        <v>43926</v>
      </c>
      <c r="C49" s="4">
        <f t="shared" si="0"/>
        <v>41</v>
      </c>
      <c r="D49" s="10">
        <f>'dpc-covid19-ita-andamento-naz'!K43</f>
        <v>15887</v>
      </c>
      <c r="E49" s="10">
        <f>Tabella3[[#This Row],[Cum_Italy]]-D48</f>
        <v>525</v>
      </c>
      <c r="F49" s="10">
        <f>Tabella3[[#This Row],[Italy]]*NOT(ISBLANK(Tabella3[[#This Row],[Italy]]))</f>
        <v>525</v>
      </c>
      <c r="G49" s="10">
        <f>Tabella3[[#This Row],[Cum_L_fit]]+Tabella3[[#This Row],[Cum_o_fit]]</f>
        <v>15879.613410354828</v>
      </c>
      <c r="H49" s="10">
        <f>Tabella3[[#This Row],[Lombardy fit]]+Tabella3[[#This Row],[rest of Italy fit]]</f>
        <v>671.77305526893292</v>
      </c>
      <c r="I49" s="10">
        <f>Kf*EXP(-EXP(-(Tabella3[[#This Row],[Day]]-t0f)/wf))*EXP(-(Tabella3[[#This Row],[Day]]-t0f)/wf)/wf</f>
        <v>669.84884777464265</v>
      </c>
      <c r="J49" s="10">
        <f>Tabella3[[#This Row],[Italy sum]]*NOT(ISBLANK(Tabella3[[#This Row],[Italy]]))</f>
        <v>671.77305526893292</v>
      </c>
      <c r="K49" s="10">
        <f>Tabella3[[#This Row],[Italy fit]]*NOT(ISBLANK(Tabella3[[#This Row],[Italy]]))</f>
        <v>669.84884777464265</v>
      </c>
      <c r="L49" s="10">
        <f>Tabella3[[#This Row],[Italy sum]]+CIw</f>
        <v>808.45247085002245</v>
      </c>
      <c r="M49" s="10">
        <f>MAX(Tabella3[[#This Row],[Italy sum]]-CIw,0)</f>
        <v>535.09363968784339</v>
      </c>
      <c r="N49" s="4">
        <v>8905</v>
      </c>
      <c r="O49" s="10">
        <f>Tabella3[[#This Row],[Cum_Lom]]-N48</f>
        <v>249</v>
      </c>
      <c r="P49" s="10">
        <f>Tabella3[[#This Row],[Lombardy]]*NOT(ISBLANK(Tabella3[[#This Row],[Lombardy]]))</f>
        <v>249</v>
      </c>
      <c r="Q49" s="10">
        <f>Kl*EXP(-EXP(-(Tabella3[[#This Row],[Day]]-t0l)/wl))</f>
        <v>8874.6065023394967</v>
      </c>
      <c r="R49" s="10">
        <f>Kl*EXP(-EXP(-(Tabella3[[#This Row],[Day]]-t0l)/wl))*EXP(-(Tabella3[[#This Row],[Day]]-t0l)/wl)/wl</f>
        <v>321.22570250663671</v>
      </c>
      <c r="S49" s="10">
        <f>Tabella3[[#This Row],[Lombardy fit]]*NOT(ISBLANK(Tabella3[[#This Row],[Lombardy]]))</f>
        <v>321.22570250663671</v>
      </c>
      <c r="T49" s="10">
        <f>Tabella3[[#This Row],[Lombardy fit]]+CIl</f>
        <v>442.37538807540898</v>
      </c>
      <c r="U49" s="10">
        <f>MAX(Tabella3[[#This Row],[Lombardy fit]]-CIl,0)</f>
        <v>200.07601693786444</v>
      </c>
      <c r="V49" s="10">
        <f>Tabella3[[#This Row],[Cum_Italy]]-Tabella3[[#This Row],[Cum_Lom]]</f>
        <v>6982</v>
      </c>
      <c r="W49" s="10">
        <f>Tabella3[[#This Row],[Cum_o]]-V48</f>
        <v>276</v>
      </c>
      <c r="X49" s="10">
        <f>Tabella3[[#This Row],[rest of Italy]]*NOT(ISBLANK(Tabella3[[#This Row],[rest of Italy]]))</f>
        <v>276</v>
      </c>
      <c r="Y49" s="10">
        <f>Ka*EXP(-EXP(-(Tabella3[[#This Row],[Day]]-t0a)/wa))</f>
        <v>7005.0069080153316</v>
      </c>
      <c r="Z49" s="10">
        <f>Ka*EXP(-EXP(-(Tabella3[[#This Row],[Day]]-t0a)/wa))*EXP(-(Tabella3[[#This Row],[Day]]-t0a)/wa)/wa</f>
        <v>350.54735276229616</v>
      </c>
      <c r="AA49" s="10">
        <f>Tabella3[[#This Row],[rest of Italy fit]]*NOT(ISBLANK(Tabella3[[#This Row],[rest of Italy]]))</f>
        <v>350.54735276229616</v>
      </c>
      <c r="AB49" s="10">
        <f>Tabella3[[#This Row],[rest of Italy fit]]+CIa</f>
        <v>416.84465737497254</v>
      </c>
      <c r="AC49" s="10">
        <f>MAX(Tabella3[[#This Row],[rest of Italy fit]]-CIa,0)</f>
        <v>284.25004814961977</v>
      </c>
      <c r="AE49" s="2" t="s">
        <v>4</v>
      </c>
      <c r="AF49" s="6" cm="1">
        <f t="array" ref="AF49">SQRT(SUM((Tabella3[Colonna1]-Tabella3[Colonna22])^2)/dff)</f>
        <v>70.076985952135743</v>
      </c>
    </row>
    <row r="50" spans="2:34" ht="16.2" x14ac:dyDescent="0.3">
      <c r="B50" s="9">
        <v>43927</v>
      </c>
      <c r="C50" s="4">
        <f t="shared" si="0"/>
        <v>42</v>
      </c>
      <c r="D50" s="10">
        <f>'dpc-covid19-ita-andamento-naz'!K44</f>
        <v>16523</v>
      </c>
      <c r="E50" s="10">
        <f>Tabella3[[#This Row],[Cum_Italy]]-D49</f>
        <v>636</v>
      </c>
      <c r="F50" s="10">
        <f>Tabella3[[#This Row],[Italy]]*NOT(ISBLANK(Tabella3[[#This Row],[Italy]]))</f>
        <v>636</v>
      </c>
      <c r="G50" s="10">
        <f>Tabella3[[#This Row],[Cum_L_fit]]+Tabella3[[#This Row],[Cum_o_fit]]</f>
        <v>16539.62173076062</v>
      </c>
      <c r="H50" s="10">
        <f>Tabella3[[#This Row],[Lombardy fit]]+Tabella3[[#This Row],[rest of Italy fit]]</f>
        <v>648.04343631521465</v>
      </c>
      <c r="I50" s="10">
        <f>Kf*EXP(-EXP(-(Tabella3[[#This Row],[Day]]-t0f)/wf))*EXP(-(Tabella3[[#This Row],[Day]]-t0f)/wf)/wf</f>
        <v>645.68791026258884</v>
      </c>
      <c r="J50" s="10">
        <f>Tabella3[[#This Row],[Italy sum]]*NOT(ISBLANK(Tabella3[[#This Row],[Italy]]))</f>
        <v>648.04343631521465</v>
      </c>
      <c r="K50" s="10">
        <f>Tabella3[[#This Row],[Italy fit]]*NOT(ISBLANK(Tabella3[[#This Row],[Italy]]))</f>
        <v>645.68791026258884</v>
      </c>
      <c r="L50" s="10">
        <f>Tabella3[[#This Row],[Italy sum]]+CIw</f>
        <v>784.72285189630418</v>
      </c>
      <c r="M50" s="10">
        <f>MAX(Tabella3[[#This Row],[Italy sum]]-CIw,0)</f>
        <v>511.36402073412512</v>
      </c>
      <c r="N50" s="4">
        <v>9202</v>
      </c>
      <c r="O50" s="10">
        <f>Tabella3[[#This Row],[Cum_Lom]]-N49</f>
        <v>297</v>
      </c>
      <c r="P50" s="10">
        <f>Tabella3[[#This Row],[Lombardy]]*NOT(ISBLANK(Tabella3[[#This Row],[Lombardy]]))</f>
        <v>297</v>
      </c>
      <c r="Q50" s="10">
        <f>Kl*EXP(-EXP(-(Tabella3[[#This Row],[Day]]-t0l)/wl))</f>
        <v>9188.4486557107939</v>
      </c>
      <c r="R50" s="10">
        <f>Kl*EXP(-EXP(-(Tabella3[[#This Row],[Day]]-t0l)/wl))*EXP(-(Tabella3[[#This Row],[Day]]-t0l)/wl)/wl</f>
        <v>306.42605247328316</v>
      </c>
      <c r="S50" s="10">
        <f>Tabella3[[#This Row],[Lombardy fit]]*NOT(ISBLANK(Tabella3[[#This Row],[Lombardy]]))</f>
        <v>306.42605247328316</v>
      </c>
      <c r="T50" s="10">
        <f>Tabella3[[#This Row],[Lombardy fit]]+CIl</f>
        <v>427.57573804205543</v>
      </c>
      <c r="U50" s="10">
        <f>MAX(Tabella3[[#This Row],[Lombardy fit]]-CIl,0)</f>
        <v>185.27636690451089</v>
      </c>
      <c r="V50" s="10">
        <f>Tabella3[[#This Row],[Cum_Italy]]-Tabella3[[#This Row],[Cum_Lom]]</f>
        <v>7321</v>
      </c>
      <c r="W50" s="10">
        <f>Tabella3[[#This Row],[Cum_o]]-V49</f>
        <v>339</v>
      </c>
      <c r="X50" s="10">
        <f>Tabella3[[#This Row],[rest of Italy]]*NOT(ISBLANK(Tabella3[[#This Row],[rest of Italy]]))</f>
        <v>339</v>
      </c>
      <c r="Y50" s="10">
        <f>Ka*EXP(-EXP(-(Tabella3[[#This Row],[Day]]-t0a)/wa))</f>
        <v>7351.1730750498245</v>
      </c>
      <c r="Z50" s="10">
        <f>Ka*EXP(-EXP(-(Tabella3[[#This Row],[Day]]-t0a)/wa))*EXP(-(Tabella3[[#This Row],[Day]]-t0a)/wa)/wa</f>
        <v>341.61738384193148</v>
      </c>
      <c r="AA50" s="10">
        <f>Tabella3[[#This Row],[rest of Italy fit]]*NOT(ISBLANK(Tabella3[[#This Row],[rest of Italy]]))</f>
        <v>341.61738384193148</v>
      </c>
      <c r="AB50" s="10">
        <f>Tabella3[[#This Row],[rest of Italy fit]]+CIa</f>
        <v>407.91468845460787</v>
      </c>
      <c r="AC50" s="10">
        <f>MAX(Tabella3[[#This Row],[rest of Italy fit]]-CIa,0)</f>
        <v>275.3200792292551</v>
      </c>
      <c r="AE50" s="2" t="s">
        <v>5</v>
      </c>
      <c r="AF50" s="7" cm="1">
        <f t="array" ref="AF50">1-SUM((Tabella3[Colonna1]-Tabella3[Colonna22])^2)/SUM((Tabella3[Colonna1]-Mean_of_yf)^2)</f>
        <v>0.97371219080756766</v>
      </c>
      <c r="AG50" s="6"/>
      <c r="AH50" s="6"/>
    </row>
    <row r="51" spans="2:34" x14ac:dyDescent="0.3">
      <c r="B51" s="9">
        <v>43928</v>
      </c>
      <c r="C51" s="4">
        <f t="shared" si="0"/>
        <v>43</v>
      </c>
      <c r="D51" s="10">
        <f>'dpc-covid19-ita-andamento-naz'!K45</f>
        <v>17127</v>
      </c>
      <c r="E51" s="10">
        <f>Tabella3[[#This Row],[Cum_Italy]]-D50</f>
        <v>604</v>
      </c>
      <c r="F51" s="10">
        <f>Tabella3[[#This Row],[Italy]]*NOT(ISBLANK(Tabella3[[#This Row],[Italy]]))</f>
        <v>604</v>
      </c>
      <c r="G51" s="10">
        <f>Tabella3[[#This Row],[Cum_L_fit]]+Tabella3[[#This Row],[Cum_o_fit]]</f>
        <v>17175.356429287651</v>
      </c>
      <c r="H51" s="10">
        <f>Tabella3[[#This Row],[Lombardy fit]]+Tabella3[[#This Row],[rest of Italy fit]]</f>
        <v>623.28121504664455</v>
      </c>
      <c r="I51" s="10">
        <f>Kf*EXP(-EXP(-(Tabella3[[#This Row],[Day]]-t0f)/wf))*EXP(-(Tabella3[[#This Row],[Day]]-t0f)/wf)/wf</f>
        <v>620.52214111268836</v>
      </c>
      <c r="J51" s="10">
        <f>Tabella3[[#This Row],[Italy sum]]*NOT(ISBLANK(Tabella3[[#This Row],[Italy]]))</f>
        <v>623.28121504664455</v>
      </c>
      <c r="K51" s="10">
        <f>Tabella3[[#This Row],[Italy fit]]*NOT(ISBLANK(Tabella3[[#This Row],[Italy]]))</f>
        <v>620.52214111268836</v>
      </c>
      <c r="L51" s="10">
        <f>Tabella3[[#This Row],[Italy sum]]+CIw</f>
        <v>759.96063062773408</v>
      </c>
      <c r="M51" s="10">
        <f>MAX(Tabella3[[#This Row],[Italy sum]]-CIw,0)</f>
        <v>486.60179946555502</v>
      </c>
      <c r="N51" s="4">
        <v>9484</v>
      </c>
      <c r="O51" s="10">
        <f>Tabella3[[#This Row],[Cum_Lom]]-N50</f>
        <v>282</v>
      </c>
      <c r="P51" s="10">
        <f>Tabella3[[#This Row],[Lombardy]]*NOT(ISBLANK(Tabella3[[#This Row],[Lombardy]]))</f>
        <v>282</v>
      </c>
      <c r="Q51" s="10">
        <f>Kl*EXP(-EXP(-(Tabella3[[#This Row],[Day]]-t0l)/wl))</f>
        <v>9487.4201610035398</v>
      </c>
      <c r="R51" s="10">
        <f>Kl*EXP(-EXP(-(Tabella3[[#This Row],[Day]]-t0l)/wl))*EXP(-(Tabella3[[#This Row],[Day]]-t0l)/wl)/wl</f>
        <v>291.5103235131387</v>
      </c>
      <c r="S51" s="10">
        <f>Tabella3[[#This Row],[Lombardy fit]]*NOT(ISBLANK(Tabella3[[#This Row],[Lombardy]]))</f>
        <v>291.5103235131387</v>
      </c>
      <c r="T51" s="10">
        <f>Tabella3[[#This Row],[Lombardy fit]]+CIl</f>
        <v>412.66000908191097</v>
      </c>
      <c r="U51" s="10">
        <f>MAX(Tabella3[[#This Row],[Lombardy fit]]-CIl,0)</f>
        <v>170.36063794436643</v>
      </c>
      <c r="V51" s="10">
        <f>Tabella3[[#This Row],[Cum_Italy]]-Tabella3[[#This Row],[Cum_Lom]]</f>
        <v>7643</v>
      </c>
      <c r="W51" s="10">
        <f>Tabella3[[#This Row],[Cum_o]]-V50</f>
        <v>322</v>
      </c>
      <c r="X51" s="10">
        <f>Tabella3[[#This Row],[rest of Italy]]*NOT(ISBLANK(Tabella3[[#This Row],[rest of Italy]]))</f>
        <v>322</v>
      </c>
      <c r="Y51" s="10">
        <f>Ka*EXP(-EXP(-(Tabella3[[#This Row],[Day]]-t0a)/wa))</f>
        <v>7687.9362682841102</v>
      </c>
      <c r="Z51" s="10">
        <f>Ka*EXP(-EXP(-(Tabella3[[#This Row],[Day]]-t0a)/wa))*EXP(-(Tabella3[[#This Row],[Day]]-t0a)/wa)/wa</f>
        <v>331.77089153350579</v>
      </c>
      <c r="AA51" s="10">
        <f>Tabella3[[#This Row],[rest of Italy fit]]*NOT(ISBLANK(Tabella3[[#This Row],[rest of Italy]]))</f>
        <v>331.77089153350579</v>
      </c>
      <c r="AB51" s="10">
        <f>Tabella3[[#This Row],[rest of Italy fit]]+CIa</f>
        <v>398.06819614618217</v>
      </c>
      <c r="AC51" s="10">
        <f>MAX(Tabella3[[#This Row],[rest of Italy fit]]-CIa,0)</f>
        <v>265.4735869208294</v>
      </c>
      <c r="AE51" s="2" t="s">
        <v>6</v>
      </c>
      <c r="AF51" s="7">
        <f>TINV(0.05,dff)</f>
        <v>2.0141033888808457</v>
      </c>
    </row>
    <row r="52" spans="2:34" x14ac:dyDescent="0.3">
      <c r="B52" s="9">
        <v>43929</v>
      </c>
      <c r="C52" s="4">
        <f t="shared" si="0"/>
        <v>44</v>
      </c>
      <c r="D52" s="10">
        <f>'dpc-covid19-ita-andamento-naz'!K46</f>
        <v>17669</v>
      </c>
      <c r="E52" s="10">
        <f>Tabella3[[#This Row],[Cum_Italy]]-D51</f>
        <v>542</v>
      </c>
      <c r="F52" s="10">
        <f>Tabella3[[#This Row],[Italy]]*NOT(ISBLANK(Tabella3[[#This Row],[Italy]]))</f>
        <v>542</v>
      </c>
      <c r="G52" s="10">
        <f>Tabella3[[#This Row],[Cum_L_fit]]+Tabella3[[#This Row],[Cum_o_fit]]</f>
        <v>17785.945843417088</v>
      </c>
      <c r="H52" s="10">
        <f>Tabella3[[#This Row],[Lombardy fit]]+Tabella3[[#This Row],[rest of Italy fit]]</f>
        <v>597.80296506131117</v>
      </c>
      <c r="I52" s="10">
        <f>Kf*EXP(-EXP(-(Tabella3[[#This Row],[Day]]-t0f)/wf))*EXP(-(Tabella3[[#This Row],[Day]]-t0f)/wf)/wf</f>
        <v>594.67304558972046</v>
      </c>
      <c r="J52" s="10">
        <f>Tabella3[[#This Row],[Italy sum]]*NOT(ISBLANK(Tabella3[[#This Row],[Italy]]))</f>
        <v>597.80296506131117</v>
      </c>
      <c r="K52" s="10">
        <f>Tabella3[[#This Row],[Italy fit]]*NOT(ISBLANK(Tabella3[[#This Row],[Italy]]))</f>
        <v>594.67304558972046</v>
      </c>
      <c r="L52" s="10">
        <f>Tabella3[[#This Row],[Italy sum]]+CIw</f>
        <v>734.4823806424007</v>
      </c>
      <c r="M52" s="10">
        <f>MAX(Tabella3[[#This Row],[Italy sum]]-CIw,0)</f>
        <v>461.12354948022164</v>
      </c>
      <c r="N52" s="4">
        <v>9722</v>
      </c>
      <c r="O52" s="10">
        <f>Tabella3[[#This Row],[Cum_Lom]]-N51</f>
        <v>238</v>
      </c>
      <c r="P52" s="10">
        <f>Tabella3[[#This Row],[Lombardy]]*NOT(ISBLANK(Tabella3[[#This Row],[Lombardy]]))</f>
        <v>238</v>
      </c>
      <c r="Q52" s="10">
        <f>Kl*EXP(-EXP(-(Tabella3[[#This Row],[Day]]-t0l)/wl))</f>
        <v>9771.4790354631077</v>
      </c>
      <c r="R52" s="10">
        <f>Kl*EXP(-EXP(-(Tabella3[[#This Row],[Day]]-t0l)/wl))*EXP(-(Tabella3[[#This Row],[Day]]-t0l)/wl)/wl</f>
        <v>276.62308564278726</v>
      </c>
      <c r="S52" s="10">
        <f>Tabella3[[#This Row],[Lombardy fit]]*NOT(ISBLANK(Tabella3[[#This Row],[Lombardy]]))</f>
        <v>276.62308564278726</v>
      </c>
      <c r="T52" s="10">
        <f>Tabella3[[#This Row],[Lombardy fit]]+CIl</f>
        <v>397.77277121155953</v>
      </c>
      <c r="U52" s="10">
        <f>MAX(Tabella3[[#This Row],[Lombardy fit]]-CIl,0)</f>
        <v>155.47340007401499</v>
      </c>
      <c r="V52" s="10">
        <f>Tabella3[[#This Row],[Cum_Italy]]-Tabella3[[#This Row],[Cum_Lom]]</f>
        <v>7947</v>
      </c>
      <c r="W52" s="10">
        <f>Tabella3[[#This Row],[Cum_o]]-V51</f>
        <v>304</v>
      </c>
      <c r="X52" s="10">
        <f>Tabella3[[#This Row],[rest of Italy]]*NOT(ISBLANK(Tabella3[[#This Row],[rest of Italy]]))</f>
        <v>304</v>
      </c>
      <c r="Y52" s="10">
        <f>Ka*EXP(-EXP(-(Tabella3[[#This Row],[Day]]-t0a)/wa))</f>
        <v>8014.4668079539788</v>
      </c>
      <c r="Z52" s="10">
        <f>Ka*EXP(-EXP(-(Tabella3[[#This Row],[Day]]-t0a)/wa))*EXP(-(Tabella3[[#This Row],[Day]]-t0a)/wa)/wa</f>
        <v>321.17987941852391</v>
      </c>
      <c r="AA52" s="10">
        <f>Tabella3[[#This Row],[rest of Italy fit]]*NOT(ISBLANK(Tabella3[[#This Row],[rest of Italy]]))</f>
        <v>321.17987941852391</v>
      </c>
      <c r="AB52" s="10">
        <f>Tabella3[[#This Row],[rest of Italy fit]]+CIa</f>
        <v>387.4771840312003</v>
      </c>
      <c r="AC52" s="10">
        <f>MAX(Tabella3[[#This Row],[rest of Italy fit]]-CIa,0)</f>
        <v>254.88257480584753</v>
      </c>
      <c r="AE52" s="2" t="s">
        <v>7</v>
      </c>
      <c r="AF52" s="1">
        <f>Critical_tf*SE_of_yf</f>
        <v>141.14229488875202</v>
      </c>
    </row>
    <row r="53" spans="2:34" x14ac:dyDescent="0.3">
      <c r="B53" s="9">
        <v>43930</v>
      </c>
      <c r="C53" s="4">
        <f t="shared" si="0"/>
        <v>45</v>
      </c>
      <c r="D53" s="10">
        <f>'dpc-covid19-ita-andamento-naz'!K47</f>
        <v>18279</v>
      </c>
      <c r="E53" s="10">
        <f>Tabella3[[#This Row],[Cum_Italy]]-D52</f>
        <v>610</v>
      </c>
      <c r="F53" s="10">
        <f>Tabella3[[#This Row],[Italy]]*NOT(ISBLANK(Tabella3[[#This Row],[Italy]]))</f>
        <v>610</v>
      </c>
      <c r="G53" s="10">
        <f>Tabella3[[#This Row],[Cum_L_fit]]+Tabella3[[#This Row],[Cum_o_fit]]</f>
        <v>18370.818842709225</v>
      </c>
      <c r="H53" s="10">
        <f>Tabella3[[#This Row],[Lombardy fit]]+Tabella3[[#This Row],[rest of Italy fit]]</f>
        <v>571.89308670568573</v>
      </c>
      <c r="I53" s="10">
        <f>Kf*EXP(-EXP(-(Tabella3[[#This Row],[Day]]-t0f)/wf))*EXP(-(Tabella3[[#This Row],[Day]]-t0f)/wf)/wf</f>
        <v>568.42853045897971</v>
      </c>
      <c r="J53" s="10">
        <f>Tabella3[[#This Row],[Italy sum]]*NOT(ISBLANK(Tabella3[[#This Row],[Italy]]))</f>
        <v>571.89308670568573</v>
      </c>
      <c r="K53" s="10">
        <f>Tabella3[[#This Row],[Italy fit]]*NOT(ISBLANK(Tabella3[[#This Row],[Italy]]))</f>
        <v>568.42853045897971</v>
      </c>
      <c r="L53" s="10">
        <f>Tabella3[[#This Row],[Italy sum]]+CIw</f>
        <v>708.57250228677526</v>
      </c>
      <c r="M53" s="10">
        <f>MAX(Tabella3[[#This Row],[Italy sum]]-CIw,0)</f>
        <v>435.2136711245962</v>
      </c>
      <c r="N53" s="4">
        <v>10022</v>
      </c>
      <c r="O53" s="10">
        <f>Tabella3[[#This Row],[Cum_Lom]]-N52</f>
        <v>300</v>
      </c>
      <c r="P53" s="10">
        <f>Tabella3[[#This Row],[Lombardy]]*NOT(ISBLANK(Tabella3[[#This Row],[Lombardy]]))</f>
        <v>300</v>
      </c>
      <c r="Q53" s="10">
        <f>Kl*EXP(-EXP(-(Tabella3[[#This Row],[Day]]-t0l)/wl))</f>
        <v>10040.717182925689</v>
      </c>
      <c r="R53" s="10">
        <f>Kl*EXP(-EXP(-(Tabella3[[#This Row],[Day]]-t0l)/wl))*EXP(-(Tabella3[[#This Row],[Day]]-t0l)/wl)/wl</f>
        <v>261.88773703818794</v>
      </c>
      <c r="S53" s="10">
        <f>Tabella3[[#This Row],[Lombardy fit]]*NOT(ISBLANK(Tabella3[[#This Row],[Lombardy]]))</f>
        <v>261.88773703818794</v>
      </c>
      <c r="T53" s="10">
        <f>Tabella3[[#This Row],[Lombardy fit]]+CIl</f>
        <v>383.03742260696021</v>
      </c>
      <c r="U53" s="10">
        <f>MAX(Tabella3[[#This Row],[Lombardy fit]]-CIl,0)</f>
        <v>140.73805146941567</v>
      </c>
      <c r="V53" s="10">
        <f>Tabella3[[#This Row],[Cum_Italy]]-Tabella3[[#This Row],[Cum_Lom]]</f>
        <v>8257</v>
      </c>
      <c r="W53" s="10">
        <f>Tabella3[[#This Row],[Cum_o]]-V52</f>
        <v>310</v>
      </c>
      <c r="X53" s="10">
        <f>Tabella3[[#This Row],[rest of Italy]]*NOT(ISBLANK(Tabella3[[#This Row],[rest of Italy]]))</f>
        <v>310</v>
      </c>
      <c r="Y53" s="10">
        <f>Ka*EXP(-EXP(-(Tabella3[[#This Row],[Day]]-t0a)/wa))</f>
        <v>8330.1016597835333</v>
      </c>
      <c r="Z53" s="10">
        <f>Ka*EXP(-EXP(-(Tabella3[[#This Row],[Day]]-t0a)/wa))*EXP(-(Tabella3[[#This Row],[Day]]-t0a)/wa)/wa</f>
        <v>310.0053496674978</v>
      </c>
      <c r="AA53" s="10">
        <f>Tabella3[[#This Row],[rest of Italy fit]]*NOT(ISBLANK(Tabella3[[#This Row],[rest of Italy]]))</f>
        <v>310.0053496674978</v>
      </c>
      <c r="AB53" s="10">
        <f>Tabella3[[#This Row],[rest of Italy fit]]+CIa</f>
        <v>376.30265428017418</v>
      </c>
      <c r="AC53" s="10">
        <f>MAX(Tabella3[[#This Row],[rest of Italy fit]]-CIa,0)</f>
        <v>243.70804505482141</v>
      </c>
      <c r="AE53" s="54" t="s">
        <v>113</v>
      </c>
      <c r="AF53" s="55">
        <f>Kf/(EXP(1)*wf)</f>
        <v>779.52271532134182</v>
      </c>
    </row>
    <row r="54" spans="2:34" x14ac:dyDescent="0.3">
      <c r="B54" s="9">
        <v>43931</v>
      </c>
      <c r="C54" s="4">
        <f t="shared" si="0"/>
        <v>46</v>
      </c>
      <c r="D54" s="10">
        <f>'dpc-covid19-ita-andamento-naz'!K48</f>
        <v>18849</v>
      </c>
      <c r="E54" s="10">
        <f>Tabella3[[#This Row],[Cum_Italy]]-D53</f>
        <v>570</v>
      </c>
      <c r="F54" s="10">
        <f>Tabella3[[#This Row],[Italy]]*NOT(ISBLANK(Tabella3[[#This Row],[Italy]]))</f>
        <v>570</v>
      </c>
      <c r="G54" s="10">
        <f>Tabella3[[#This Row],[Cum_L_fit]]+Tabella3[[#This Row],[Cum_o_fit]]</f>
        <v>18929.672540614971</v>
      </c>
      <c r="H54" s="10">
        <f>Tabella3[[#This Row],[Lombardy fit]]+Tabella3[[#This Row],[rest of Italy fit]]</f>
        <v>545.80372577848152</v>
      </c>
      <c r="I54" s="10">
        <f>Kf*EXP(-EXP(-(Tabella3[[#This Row],[Day]]-t0f)/wf))*EXP(-(Tabella3[[#This Row],[Day]]-t0f)/wf)/wf</f>
        <v>542.04295473740808</v>
      </c>
      <c r="J54" s="10">
        <f>Tabella3[[#This Row],[Italy sum]]*NOT(ISBLANK(Tabella3[[#This Row],[Italy]]))</f>
        <v>545.80372577848152</v>
      </c>
      <c r="K54" s="10">
        <f>Tabella3[[#This Row],[Italy fit]]*NOT(ISBLANK(Tabella3[[#This Row],[Italy]]))</f>
        <v>542.04295473740808</v>
      </c>
      <c r="L54" s="10">
        <f>Tabella3[[#This Row],[Italy sum]]+CIw</f>
        <v>682.48314135957105</v>
      </c>
      <c r="M54" s="10">
        <f>MAX(Tabella3[[#This Row],[Italy sum]]-CIw,0)</f>
        <v>409.12431019739199</v>
      </c>
      <c r="N54" s="4">
        <v>10238</v>
      </c>
      <c r="O54" s="10">
        <f>Tabella3[[#This Row],[Cum_Lom]]-N53</f>
        <v>216</v>
      </c>
      <c r="P54" s="10">
        <f>Tabella3[[#This Row],[Lombardy]]*NOT(ISBLANK(Tabella3[[#This Row],[Lombardy]]))</f>
        <v>216</v>
      </c>
      <c r="Q54" s="10">
        <f>Kl*EXP(-EXP(-(Tabella3[[#This Row],[Day]]-t0l)/wl))</f>
        <v>10295.339857971596</v>
      </c>
      <c r="R54" s="10">
        <f>Kl*EXP(-EXP(-(Tabella3[[#This Row],[Day]]-t0l)/wl))*EXP(-(Tabella3[[#This Row],[Day]]-t0l)/wl)/wl</f>
        <v>247.40782294498109</v>
      </c>
      <c r="S54" s="10">
        <f>Tabella3[[#This Row],[Lombardy fit]]*NOT(ISBLANK(Tabella3[[#This Row],[Lombardy]]))</f>
        <v>247.40782294498109</v>
      </c>
      <c r="T54" s="10">
        <f>Tabella3[[#This Row],[Lombardy fit]]+CIl</f>
        <v>368.55750851375336</v>
      </c>
      <c r="U54" s="10">
        <f>MAX(Tabella3[[#This Row],[Lombardy fit]]-CIl,0)</f>
        <v>126.25813737620884</v>
      </c>
      <c r="V54" s="10">
        <f>Tabella3[[#This Row],[Cum_Italy]]-Tabella3[[#This Row],[Cum_Lom]]</f>
        <v>8611</v>
      </c>
      <c r="W54" s="10">
        <f>Tabella3[[#This Row],[Cum_o]]-V53</f>
        <v>354</v>
      </c>
      <c r="X54" s="10">
        <f>Tabella3[[#This Row],[rest of Italy]]*NOT(ISBLANK(Tabella3[[#This Row],[rest of Italy]]))</f>
        <v>354</v>
      </c>
      <c r="Y54" s="10">
        <f>Ka*EXP(-EXP(-(Tabella3[[#This Row],[Day]]-t0a)/wa))</f>
        <v>8634.3326826433768</v>
      </c>
      <c r="Z54" s="10">
        <f>Ka*EXP(-EXP(-(Tabella3[[#This Row],[Day]]-t0a)/wa))*EXP(-(Tabella3[[#This Row],[Day]]-t0a)/wa)/wa</f>
        <v>298.39590283350043</v>
      </c>
      <c r="AA54" s="10">
        <f>Tabella3[[#This Row],[rest of Italy fit]]*NOT(ISBLANK(Tabella3[[#This Row],[rest of Italy]]))</f>
        <v>298.39590283350043</v>
      </c>
      <c r="AB54" s="10">
        <f>Tabella3[[#This Row],[rest of Italy fit]]+CIa</f>
        <v>364.69320744617681</v>
      </c>
      <c r="AC54" s="10">
        <f>MAX(Tabella3[[#This Row],[rest of Italy fit]]-CIa,0)</f>
        <v>232.09859822082404</v>
      </c>
      <c r="AE54" s="54" t="s">
        <v>145</v>
      </c>
      <c r="AF54" s="56">
        <f>_xlfn.XLOOKUP(ROUND(t0f,0),Tabella3[Day],Tabella3[Date])</f>
        <v>43918</v>
      </c>
    </row>
    <row r="55" spans="2:34" x14ac:dyDescent="0.3">
      <c r="B55" s="9">
        <v>43932</v>
      </c>
      <c r="C55" s="4">
        <f t="shared" si="0"/>
        <v>47</v>
      </c>
      <c r="D55" s="10">
        <f>'dpc-covid19-ita-andamento-naz'!K49</f>
        <v>19468</v>
      </c>
      <c r="E55" s="10">
        <f>Tabella3[[#This Row],[Cum_Italy]]-D54</f>
        <v>619</v>
      </c>
      <c r="F55" s="10">
        <f>Tabella3[[#This Row],[Italy]]*NOT(ISBLANK(Tabella3[[#This Row],[Italy]]))</f>
        <v>619</v>
      </c>
      <c r="G55" s="10">
        <f>Tabella3[[#This Row],[Cum_L_fit]]+Tabella3[[#This Row],[Cum_o_fit]]</f>
        <v>19462.440336187894</v>
      </c>
      <c r="H55" s="10">
        <f>Tabella3[[#This Row],[Lombardy fit]]+Tabella3[[#This Row],[rest of Italy fit]]</f>
        <v>519.75548084644311</v>
      </c>
      <c r="I55" s="10">
        <f>Kf*EXP(-EXP(-(Tabella3[[#This Row],[Day]]-t0f)/wf))*EXP(-(Tabella3[[#This Row],[Day]]-t0f)/wf)/wf</f>
        <v>515.73799062870478</v>
      </c>
      <c r="J55" s="10">
        <f>Tabella3[[#This Row],[Italy sum]]*NOT(ISBLANK(Tabella3[[#This Row],[Italy]]))</f>
        <v>519.75548084644311</v>
      </c>
      <c r="K55" s="10">
        <f>Tabella3[[#This Row],[Italy fit]]*NOT(ISBLANK(Tabella3[[#This Row],[Italy]]))</f>
        <v>515.73799062870478</v>
      </c>
      <c r="L55" s="10">
        <f>Tabella3[[#This Row],[Italy sum]]+CIw</f>
        <v>656.43489642753264</v>
      </c>
      <c r="M55" s="10">
        <f>MAX(Tabella3[[#This Row],[Italy sum]]-CIw,0)</f>
        <v>383.07606526535358</v>
      </c>
      <c r="N55" s="4">
        <v>10511</v>
      </c>
      <c r="O55" s="10">
        <f>Tabella3[[#This Row],[Cum_Lom]]-N54</f>
        <v>273</v>
      </c>
      <c r="P55" s="10">
        <f>Tabella3[[#This Row],[Lombardy]]*NOT(ISBLANK(Tabella3[[#This Row],[Lombardy]]))</f>
        <v>273</v>
      </c>
      <c r="Q55" s="10">
        <f>Kl*EXP(-EXP(-(Tabella3[[#This Row],[Day]]-t0l)/wl))</f>
        <v>10535.646570700603</v>
      </c>
      <c r="R55" s="10">
        <f>Kl*EXP(-EXP(-(Tabella3[[#This Row],[Day]]-t0l)/wl))*EXP(-(Tabella3[[#This Row],[Day]]-t0l)/wl)/wl</f>
        <v>233.26857970467262</v>
      </c>
      <c r="S55" s="10">
        <f>Tabella3[[#This Row],[Lombardy fit]]*NOT(ISBLANK(Tabella3[[#This Row],[Lombardy]]))</f>
        <v>233.26857970467262</v>
      </c>
      <c r="T55" s="10">
        <f>Tabella3[[#This Row],[Lombardy fit]]+CIl</f>
        <v>354.41826527344489</v>
      </c>
      <c r="U55" s="10">
        <f>MAX(Tabella3[[#This Row],[Lombardy fit]]-CIl,0)</f>
        <v>112.11889413590036</v>
      </c>
      <c r="V55" s="10">
        <f>Tabella3[[#This Row],[Cum_Italy]]-Tabella3[[#This Row],[Cum_Lom]]</f>
        <v>8957</v>
      </c>
      <c r="W55" s="10">
        <f>Tabella3[[#This Row],[Cum_o]]-V54</f>
        <v>346</v>
      </c>
      <c r="X55" s="10">
        <f>Tabella3[[#This Row],[rest of Italy]]*NOT(ISBLANK(Tabella3[[#This Row],[rest of Italy]]))</f>
        <v>346</v>
      </c>
      <c r="Y55" s="10">
        <f>Ka*EXP(-EXP(-(Tabella3[[#This Row],[Day]]-t0a)/wa))</f>
        <v>8926.7937654872894</v>
      </c>
      <c r="Z55" s="10">
        <f>Ka*EXP(-EXP(-(Tabella3[[#This Row],[Day]]-t0a)/wa))*EXP(-(Tabella3[[#This Row],[Day]]-t0a)/wa)/wa</f>
        <v>286.48690114177043</v>
      </c>
      <c r="AA55" s="10">
        <f>Tabella3[[#This Row],[rest of Italy fit]]*NOT(ISBLANK(Tabella3[[#This Row],[rest of Italy]]))</f>
        <v>286.48690114177043</v>
      </c>
      <c r="AB55" s="10">
        <f>Tabella3[[#This Row],[rest of Italy fit]]+CIa</f>
        <v>352.78420575444682</v>
      </c>
      <c r="AC55" s="10">
        <f>MAX(Tabella3[[#This Row],[rest of Italy fit]]-CIa,0)</f>
        <v>220.18959652909405</v>
      </c>
    </row>
    <row r="56" spans="2:34" x14ac:dyDescent="0.3">
      <c r="B56" s="9">
        <v>43933</v>
      </c>
      <c r="C56" s="4">
        <f t="shared" si="0"/>
        <v>48</v>
      </c>
      <c r="D56" s="10">
        <f>'dpc-covid19-ita-andamento-naz'!K50</f>
        <v>19899</v>
      </c>
      <c r="E56" s="10">
        <f>Tabella3[[#This Row],[Cum_Italy]]-D55</f>
        <v>431</v>
      </c>
      <c r="F56" s="10">
        <f>Tabella3[[#This Row],[Italy]]*NOT(ISBLANK(Tabella3[[#This Row],[Italy]]))</f>
        <v>431</v>
      </c>
      <c r="G56" s="10">
        <f>Tabella3[[#This Row],[Cum_L_fit]]+Tabella3[[#This Row],[Cum_o_fit]]</f>
        <v>19969.260976872298</v>
      </c>
      <c r="H56" s="10">
        <f>Tabella3[[#This Row],[Lombardy fit]]+Tabella3[[#This Row],[rest of Italy fit]]</f>
        <v>493.93870828074319</v>
      </c>
      <c r="I56" s="10">
        <f>Kf*EXP(-EXP(-(Tabella3[[#This Row],[Day]]-t0f)/wf))*EXP(-(Tabella3[[#This Row],[Day]]-t0f)/wf)/wf</f>
        <v>489.70409198526471</v>
      </c>
      <c r="J56" s="10">
        <f>Tabella3[[#This Row],[Italy sum]]*NOT(ISBLANK(Tabella3[[#This Row],[Italy]]))</f>
        <v>493.93870828074319</v>
      </c>
      <c r="K56" s="10">
        <f>Tabella3[[#This Row],[Italy fit]]*NOT(ISBLANK(Tabella3[[#This Row],[Italy]]))</f>
        <v>489.70409198526471</v>
      </c>
      <c r="L56" s="10">
        <f>Tabella3[[#This Row],[Italy sum]]+CIw</f>
        <v>630.61812386183271</v>
      </c>
      <c r="M56" s="10">
        <f>MAX(Tabella3[[#This Row],[Italy sum]]-CIw,0)</f>
        <v>357.25929269965366</v>
      </c>
      <c r="N56" s="4">
        <v>10621</v>
      </c>
      <c r="O56" s="10">
        <f>Tabella3[[#This Row],[Cum_Lom]]-N55</f>
        <v>110</v>
      </c>
      <c r="P56" s="10">
        <f>Tabella3[[#This Row],[Lombardy]]*NOT(ISBLANK(Tabella3[[#This Row],[Lombardy]]))</f>
        <v>110</v>
      </c>
      <c r="Q56" s="10">
        <f>Kl*EXP(-EXP(-(Tabella3[[#This Row],[Day]]-t0l)/wl))</f>
        <v>10762.013605976434</v>
      </c>
      <c r="R56" s="10">
        <f>Kl*EXP(-EXP(-(Tabella3[[#This Row],[Day]]-t0l)/wl))*EXP(-(Tabella3[[#This Row],[Day]]-t0l)/wl)/wl</f>
        <v>219.53860495091487</v>
      </c>
      <c r="S56" s="10">
        <f>Tabella3[[#This Row],[Lombardy fit]]*NOT(ISBLANK(Tabella3[[#This Row],[Lombardy]]))</f>
        <v>219.53860495091487</v>
      </c>
      <c r="T56" s="10">
        <f>Tabella3[[#This Row],[Lombardy fit]]+CIl</f>
        <v>340.68829051968714</v>
      </c>
      <c r="U56" s="10">
        <f>MAX(Tabella3[[#This Row],[Lombardy fit]]-CIl,0)</f>
        <v>98.388919382142618</v>
      </c>
      <c r="V56" s="10">
        <f>Tabella3[[#This Row],[Cum_Italy]]-Tabella3[[#This Row],[Cum_Lom]]</f>
        <v>9278</v>
      </c>
      <c r="W56" s="10">
        <f>Tabella3[[#This Row],[Cum_o]]-V55</f>
        <v>321</v>
      </c>
      <c r="X56" s="10">
        <f>Tabella3[[#This Row],[rest of Italy]]*NOT(ISBLANK(Tabella3[[#This Row],[rest of Italy]]))</f>
        <v>321</v>
      </c>
      <c r="Y56" s="10">
        <f>Ka*EXP(-EXP(-(Tabella3[[#This Row],[Day]]-t0a)/wa))</f>
        <v>9207.2473708958623</v>
      </c>
      <c r="Z56" s="10">
        <f>Ka*EXP(-EXP(-(Tabella3[[#This Row],[Day]]-t0a)/wa))*EXP(-(Tabella3[[#This Row],[Day]]-t0a)/wa)/wa</f>
        <v>274.40010332982831</v>
      </c>
      <c r="AA56" s="10">
        <f>Tabella3[[#This Row],[rest of Italy fit]]*NOT(ISBLANK(Tabella3[[#This Row],[rest of Italy]]))</f>
        <v>274.40010332982831</v>
      </c>
      <c r="AB56" s="10">
        <f>Tabella3[[#This Row],[rest of Italy fit]]+CIa</f>
        <v>340.6974079425047</v>
      </c>
      <c r="AC56" s="10">
        <f>MAX(Tabella3[[#This Row],[rest of Italy fit]]-CIa,0)</f>
        <v>208.10279871715193</v>
      </c>
    </row>
    <row r="57" spans="2:34" x14ac:dyDescent="0.3">
      <c r="B57" s="9">
        <v>43934</v>
      </c>
      <c r="C57" s="4">
        <f t="shared" si="0"/>
        <v>49</v>
      </c>
      <c r="D57" s="10"/>
      <c r="E57" s="10"/>
      <c r="F57" s="10">
        <f>Tabella3[[#This Row],[Italy]]*NOT(ISBLANK(Tabella3[[#This Row],[Italy]]))</f>
        <v>0</v>
      </c>
      <c r="G57" s="10">
        <f>Tabella3[[#This Row],[Cum_L_fit]]+Tabella3[[#This Row],[Cum_o_fit]]</f>
        <v>20450.449154863833</v>
      </c>
      <c r="H57" s="10">
        <f>Tabella3[[#This Row],[Lombardy fit]]+Tabella3[[#This Row],[rest of Italy fit]]</f>
        <v>468.51525875288098</v>
      </c>
      <c r="I57" s="10">
        <f>Kf*EXP(-EXP(-(Tabella3[[#This Row],[Day]]-t0f)/wf))*EXP(-(Tabella3[[#This Row],[Day]]-t0f)/wf)/wf</f>
        <v>464.10239482433053</v>
      </c>
      <c r="J57" s="10">
        <f>Tabella3[[#This Row],[Italy sum]]*NOT(ISBLANK(Tabella3[[#This Row],[Italy]]))</f>
        <v>0</v>
      </c>
      <c r="K57" s="10">
        <f>Tabella3[[#This Row],[Italy fit]]*NOT(ISBLANK(Tabella3[[#This Row],[Italy]]))</f>
        <v>0</v>
      </c>
      <c r="O57" s="10"/>
      <c r="P57" s="10">
        <f>Tabella3[[#This Row],[Lombardy]]*NOT(ISBLANK(Tabella3[[#This Row],[Lombardy]]))</f>
        <v>0</v>
      </c>
      <c r="Q57" s="10">
        <f>Kl*EXP(-EXP(-(Tabella3[[#This Row],[Day]]-t0l)/wl))</f>
        <v>10974.878242477649</v>
      </c>
      <c r="R57" s="10">
        <f>Kl*EXP(-EXP(-(Tabella3[[#This Row],[Day]]-t0l)/wl))*EXP(-(Tabella3[[#This Row],[Day]]-t0l)/wl)/wl</f>
        <v>206.27157554626828</v>
      </c>
      <c r="S57" s="10">
        <f>Tabella3[[#This Row],[Lombardy fit]]*NOT(ISBLANK(Tabella3[[#This Row],[Lombardy]]))</f>
        <v>0</v>
      </c>
      <c r="W57" s="10"/>
      <c r="X57" s="10">
        <f>Tabella3[[#This Row],[rest of Italy]]*NOT(ISBLANK(Tabella3[[#This Row],[rest of Italy]]))</f>
        <v>0</v>
      </c>
      <c r="Y57" s="10">
        <f>Ka*EXP(-EXP(-(Tabella3[[#This Row],[Day]]-t0a)/wa))</f>
        <v>9475.5709123861816</v>
      </c>
      <c r="Z57" s="10">
        <f>Ka*EXP(-EXP(-(Tabella3[[#This Row],[Day]]-t0a)/wa))*EXP(-(Tabella3[[#This Row],[Day]]-t0a)/wa)/wa</f>
        <v>262.24368320661273</v>
      </c>
      <c r="AA57" s="10">
        <f>Tabella3[[#This Row],[rest of Italy fit]]*NOT(ISBLANK(Tabella3[[#This Row],[rest of Italy]]))</f>
        <v>0</v>
      </c>
    </row>
    <row r="58" spans="2:34" x14ac:dyDescent="0.3">
      <c r="B58" s="9">
        <v>43935</v>
      </c>
      <c r="C58" s="4">
        <f t="shared" si="0"/>
        <v>50</v>
      </c>
      <c r="D58" s="10"/>
      <c r="E58" s="10"/>
      <c r="F58" s="10">
        <f>Tabella3[[#This Row],[Italy]]*NOT(ISBLANK(Tabella3[[#This Row],[Italy]]))</f>
        <v>0</v>
      </c>
      <c r="G58" s="10">
        <f>Tabella3[[#This Row],[Cum_L_fit]]+Tabella3[[#This Row],[Cum_o_fit]]</f>
        <v>20906.467995828167</v>
      </c>
      <c r="H58" s="10">
        <f>Tabella3[[#This Row],[Lombardy fit]]+Tabella3[[#This Row],[rest of Italy fit]]</f>
        <v>443.62050397464793</v>
      </c>
      <c r="I58" s="10">
        <f>Kf*EXP(-EXP(-(Tabella3[[#This Row],[Day]]-t0f)/wf))*EXP(-(Tabella3[[#This Row],[Day]]-t0f)/wf)/wf</f>
        <v>439.06690182933318</v>
      </c>
      <c r="J58" s="10">
        <f>Tabella3[[#This Row],[Italy sum]]*NOT(ISBLANK(Tabella3[[#This Row],[Italy]]))</f>
        <v>0</v>
      </c>
      <c r="K58" s="10">
        <f>Tabella3[[#This Row],[Italy fit]]*NOT(ISBLANK(Tabella3[[#This Row],[Italy]]))</f>
        <v>0</v>
      </c>
      <c r="O58" s="10"/>
      <c r="P58" s="10">
        <f>Tabella3[[#This Row],[Lombardy]]*NOT(ISBLANK(Tabella3[[#This Row],[Lombardy]]))</f>
        <v>0</v>
      </c>
      <c r="Q58" s="10">
        <f>Kl*EXP(-EXP(-(Tabella3[[#This Row],[Day]]-t0l)/wl))</f>
        <v>11174.724687765691</v>
      </c>
      <c r="R58" s="10">
        <f>Kl*EXP(-EXP(-(Tabella3[[#This Row],[Day]]-t0l)/wl))*EXP(-(Tabella3[[#This Row],[Day]]-t0l)/wl)/wl</f>
        <v>193.50795302449978</v>
      </c>
      <c r="S58" s="10">
        <f>Tabella3[[#This Row],[Lombardy fit]]*NOT(ISBLANK(Tabella3[[#This Row],[Lombardy]]))</f>
        <v>0</v>
      </c>
      <c r="W58" s="10"/>
      <c r="X58" s="10">
        <f>Tabella3[[#This Row],[rest of Italy]]*NOT(ISBLANK(Tabella3[[#This Row],[rest of Italy]]))</f>
        <v>0</v>
      </c>
      <c r="Y58" s="10">
        <f>Ka*EXP(-EXP(-(Tabella3[[#This Row],[Day]]-t0a)/wa))</f>
        <v>9731.743308062476</v>
      </c>
      <c r="Z58" s="10">
        <f>Ka*EXP(-EXP(-(Tabella3[[#This Row],[Day]]-t0a)/wa))*EXP(-(Tabella3[[#This Row],[Day]]-t0a)/wa)/wa</f>
        <v>250.11255095014815</v>
      </c>
      <c r="AA58" s="10">
        <f>Tabella3[[#This Row],[rest of Italy fit]]*NOT(ISBLANK(Tabella3[[#This Row],[rest of Italy]]))</f>
        <v>0</v>
      </c>
    </row>
    <row r="59" spans="2:34" x14ac:dyDescent="0.3">
      <c r="B59" s="9">
        <v>43936</v>
      </c>
      <c r="C59" s="4">
        <f t="shared" si="0"/>
        <v>51</v>
      </c>
      <c r="D59" s="10"/>
      <c r="E59" s="10"/>
      <c r="F59" s="10">
        <f>Tabella3[[#This Row],[Italy]]*NOT(ISBLANK(Tabella3[[#This Row],[Italy]]))</f>
        <v>0</v>
      </c>
      <c r="G59" s="10">
        <f>Tabella3[[#This Row],[Cum_L_fit]]+Tabella3[[#This Row],[Cum_o_fit]]</f>
        <v>21337.903669738582</v>
      </c>
      <c r="H59" s="10">
        <f>Tabella3[[#This Row],[Lombardy fit]]+Tabella3[[#This Row],[rest of Italy fit]]</f>
        <v>419.36553661334767</v>
      </c>
      <c r="I59" s="10">
        <f>Kf*EXP(-EXP(-(Tabella3[[#This Row],[Day]]-t0f)/wf))*EXP(-(Tabella3[[#This Row],[Day]]-t0f)/wf)/wf</f>
        <v>414.70682898399201</v>
      </c>
      <c r="J59" s="10">
        <f>Tabella3[[#This Row],[Italy sum]]*NOT(ISBLANK(Tabella3[[#This Row],[Italy]]))</f>
        <v>0</v>
      </c>
      <c r="K59" s="10">
        <f>Tabella3[[#This Row],[Italy fit]]*NOT(ISBLANK(Tabella3[[#This Row],[Italy]]))</f>
        <v>0</v>
      </c>
      <c r="O59" s="10"/>
      <c r="P59" s="10">
        <f>Tabella3[[#This Row],[Lombardy]]*NOT(ISBLANK(Tabella3[[#This Row],[Lombardy]]))</f>
        <v>0</v>
      </c>
      <c r="Q59" s="10">
        <f>Kl*EXP(-EXP(-(Tabella3[[#This Row],[Day]]-t0l)/wl))</f>
        <v>11362.071693392834</v>
      </c>
      <c r="R59" s="10">
        <f>Kl*EXP(-EXP(-(Tabella3[[#This Row],[Day]]-t0l)/wl))*EXP(-(Tabella3[[#This Row],[Day]]-t0l)/wl)/wl</f>
        <v>181.27663197120251</v>
      </c>
      <c r="S59" s="10">
        <f>Tabella3[[#This Row],[Lombardy fit]]*NOT(ISBLANK(Tabella3[[#This Row],[Lombardy]]))</f>
        <v>0</v>
      </c>
      <c r="W59" s="10"/>
      <c r="X59" s="10">
        <f>Tabella3[[#This Row],[rest of Italy]]*NOT(ISBLANK(Tabella3[[#This Row],[rest of Italy]]))</f>
        <v>0</v>
      </c>
      <c r="Y59" s="10">
        <f>Ka*EXP(-EXP(-(Tabella3[[#This Row],[Day]]-t0a)/wa))</f>
        <v>9975.8319763457494</v>
      </c>
      <c r="Z59" s="10">
        <f>Ka*EXP(-EXP(-(Tabella3[[#This Row],[Day]]-t0a)/wa))*EXP(-(Tabella3[[#This Row],[Day]]-t0a)/wa)/wa</f>
        <v>238.0889046421452</v>
      </c>
      <c r="AA59" s="10">
        <f>Tabella3[[#This Row],[rest of Italy fit]]*NOT(ISBLANK(Tabella3[[#This Row],[rest of Italy]]))</f>
        <v>0</v>
      </c>
    </row>
    <row r="60" spans="2:34" x14ac:dyDescent="0.3">
      <c r="B60" s="9">
        <v>43937</v>
      </c>
      <c r="C60" s="4">
        <f t="shared" si="0"/>
        <v>52</v>
      </c>
      <c r="E60" s="10"/>
      <c r="F60" s="10">
        <f>Tabella3[[#This Row],[Italy]]*NOT(ISBLANK(Tabella3[[#This Row],[Italy]]))</f>
        <v>0</v>
      </c>
      <c r="G60" s="10">
        <f>Tabella3[[#This Row],[Cum_L_fit]]+Tabella3[[#This Row],[Cum_o_fit]]</f>
        <v>21745.442247889529</v>
      </c>
      <c r="H60" s="10">
        <f>Tabella3[[#This Row],[Lombardy fit]]+Tabella3[[#This Row],[rest of Italy fit]]</f>
        <v>395.83944869882805</v>
      </c>
      <c r="I60" s="10">
        <f>Kf*EXP(-EXP(-(Tabella3[[#This Row],[Day]]-t0f)/wf))*EXP(-(Tabella3[[#This Row],[Day]]-t0f)/wf)/wf</f>
        <v>391.10901661342245</v>
      </c>
      <c r="J60" s="10">
        <f>Tabella3[[#This Row],[Italy sum]]*NOT(ISBLANK(Tabella3[[#This Row],[Italy]]))</f>
        <v>0</v>
      </c>
      <c r="K60" s="10">
        <f>Tabella3[[#This Row],[Italy fit]]*NOT(ISBLANK(Tabella3[[#This Row],[Italy]]))</f>
        <v>0</v>
      </c>
      <c r="O60" s="10"/>
      <c r="P60" s="10">
        <f>Tabella3[[#This Row],[Lombardy]]*NOT(ISBLANK(Tabella3[[#This Row],[Lombardy]]))</f>
        <v>0</v>
      </c>
      <c r="Q60" s="10">
        <f>Kl*EXP(-EXP(-(Tabella3[[#This Row],[Day]]-t0l)/wl))</f>
        <v>11537.461776283641</v>
      </c>
      <c r="R60" s="10">
        <f>Kl*EXP(-EXP(-(Tabella3[[#This Row],[Day]]-t0l)/wl))*EXP(-(Tabella3[[#This Row],[Day]]-t0l)/wl)/wl</f>
        <v>169.59649991942081</v>
      </c>
      <c r="S60" s="10">
        <f>Tabella3[[#This Row],[Lombardy fit]]*NOT(ISBLANK(Tabella3[[#This Row],[Lombardy]]))</f>
        <v>0</v>
      </c>
      <c r="W60" s="10"/>
      <c r="X60" s="10">
        <f>Tabella3[[#This Row],[rest of Italy]]*NOT(ISBLANK(Tabella3[[#This Row],[rest of Italy]]))</f>
        <v>0</v>
      </c>
      <c r="Y60" s="10">
        <f>Ka*EXP(-EXP(-(Tabella3[[#This Row],[Day]]-t0a)/wa))</f>
        <v>10207.980471605888</v>
      </c>
      <c r="Z60" s="10">
        <f>Ka*EXP(-EXP(-(Tabella3[[#This Row],[Day]]-t0a)/wa))*EXP(-(Tabella3[[#This Row],[Day]]-t0a)/wa)/wa</f>
        <v>226.24294877940724</v>
      </c>
      <c r="AA60" s="10">
        <f>Tabella3[[#This Row],[rest of Italy fit]]*NOT(ISBLANK(Tabella3[[#This Row],[rest of Italy]]))</f>
        <v>0</v>
      </c>
    </row>
    <row r="61" spans="2:34" x14ac:dyDescent="0.3">
      <c r="B61" s="9">
        <v>43938</v>
      </c>
      <c r="C61" s="4">
        <f t="shared" si="0"/>
        <v>53</v>
      </c>
      <c r="E61" s="10"/>
      <c r="F61" s="10">
        <f>Tabella3[[#This Row],[Italy]]*NOT(ISBLANK(Tabella3[[#This Row],[Italy]]))</f>
        <v>0</v>
      </c>
      <c r="G61" s="10">
        <f>Tabella3[[#This Row],[Cum_L_fit]]+Tabella3[[#This Row],[Cum_o_fit]]</f>
        <v>22129.848845721244</v>
      </c>
      <c r="H61" s="10">
        <f>Tabella3[[#This Row],[Lombardy fit]]+Tabella3[[#This Row],[rest of Italy fit]]</f>
        <v>373.11161395712736</v>
      </c>
      <c r="I61" s="10">
        <f>Kf*EXP(-EXP(-(Tabella3[[#This Row],[Day]]-t0f)/wf))*EXP(-(Tabella3[[#This Row],[Day]]-t0f)/wf)/wf</f>
        <v>368.34032863273427</v>
      </c>
      <c r="J61" s="10">
        <f>Tabella3[[#This Row],[Italy sum]]*NOT(ISBLANK(Tabella3[[#This Row],[Italy]]))</f>
        <v>0</v>
      </c>
      <c r="K61" s="10">
        <f>Tabella3[[#This Row],[Italy fit]]*NOT(ISBLANK(Tabella3[[#This Row],[Italy]]))</f>
        <v>0</v>
      </c>
      <c r="O61" s="10"/>
      <c r="P61" s="10">
        <f>Tabella3[[#This Row],[Lombardy]]*NOT(ISBLANK(Tabella3[[#This Row],[Lombardy]]))</f>
        <v>0</v>
      </c>
      <c r="Q61" s="10">
        <f>Kl*EXP(-EXP(-(Tabella3[[#This Row],[Day]]-t0l)/wl))</f>
        <v>11701.451946770456</v>
      </c>
      <c r="R61" s="10">
        <f>Kl*EXP(-EXP(-(Tabella3[[#This Row],[Day]]-t0l)/wl))*EXP(-(Tabella3[[#This Row],[Day]]-t0l)/wl)/wl</f>
        <v>158.47788809694597</v>
      </c>
      <c r="S61" s="10">
        <f>Tabella3[[#This Row],[Lombardy fit]]*NOT(ISBLANK(Tabella3[[#This Row],[Lombardy]]))</f>
        <v>0</v>
      </c>
      <c r="W61" s="10"/>
      <c r="X61" s="10">
        <f>Tabella3[[#This Row],[rest of Italy]]*NOT(ISBLANK(Tabella3[[#This Row],[rest of Italy]]))</f>
        <v>0</v>
      </c>
      <c r="Y61" s="10">
        <f>Ka*EXP(-EXP(-(Tabella3[[#This Row],[Day]]-t0a)/wa))</f>
        <v>10428.39689895079</v>
      </c>
      <c r="Z61" s="10">
        <f>Ka*EXP(-EXP(-(Tabella3[[#This Row],[Day]]-t0a)/wa))*EXP(-(Tabella3[[#This Row],[Day]]-t0a)/wa)/wa</f>
        <v>214.63372586018141</v>
      </c>
      <c r="AA61" s="10">
        <f>Tabella3[[#This Row],[rest of Italy fit]]*NOT(ISBLANK(Tabella3[[#This Row],[rest of Italy]]))</f>
        <v>0</v>
      </c>
    </row>
    <row r="62" spans="2:34" x14ac:dyDescent="0.3">
      <c r="B62" s="9">
        <v>43939</v>
      </c>
      <c r="C62" s="4">
        <f t="shared" si="0"/>
        <v>54</v>
      </c>
      <c r="E62" s="10"/>
      <c r="F62" s="10">
        <f>Tabella3[[#This Row],[Italy]]*NOT(ISBLANK(Tabella3[[#This Row],[Italy]]))</f>
        <v>0</v>
      </c>
      <c r="G62" s="10">
        <f>Tabella3[[#This Row],[Cum_L_fit]]+Tabella3[[#This Row],[Cum_o_fit]]</f>
        <v>22491.949025545677</v>
      </c>
      <c r="H62" s="10">
        <f>Tabella3[[#This Row],[Lombardy fit]]+Tabella3[[#This Row],[rest of Italy fit]]</f>
        <v>351.2339171205254</v>
      </c>
      <c r="I62" s="10">
        <f>Kf*EXP(-EXP(-(Tabella3[[#This Row],[Day]]-t0f)/wf))*EXP(-(Tabella3[[#This Row],[Day]]-t0f)/wf)/wf</f>
        <v>346.44998251253071</v>
      </c>
      <c r="J62" s="10">
        <f>Tabella3[[#This Row],[Italy sum]]*NOT(ISBLANK(Tabella3[[#This Row],[Italy]]))</f>
        <v>0</v>
      </c>
      <c r="K62" s="10">
        <f>Tabella3[[#This Row],[Italy fit]]*NOT(ISBLANK(Tabella3[[#This Row],[Italy]]))</f>
        <v>0</v>
      </c>
      <c r="O62" s="10"/>
      <c r="P62" s="10">
        <f>Tabella3[[#This Row],[Lombardy]]*NOT(ISBLANK(Tabella3[[#This Row],[Lombardy]]))</f>
        <v>0</v>
      </c>
      <c r="Q62" s="10">
        <f>Kl*EXP(-EXP(-(Tabella3[[#This Row],[Day]]-t0l)/wl))</f>
        <v>11854.605827468647</v>
      </c>
      <c r="R62" s="10">
        <f>Kl*EXP(-EXP(-(Tabella3[[#This Row],[Day]]-t0l)/wl))*EXP(-(Tabella3[[#This Row],[Day]]-t0l)/wl)/wl</f>
        <v>147.92390095948429</v>
      </c>
      <c r="S62" s="10">
        <f>Tabella3[[#This Row],[Lombardy fit]]*NOT(ISBLANK(Tabella3[[#This Row],[Lombardy]]))</f>
        <v>0</v>
      </c>
      <c r="W62" s="10"/>
      <c r="X62" s="10">
        <f>Tabella3[[#This Row],[rest of Italy]]*NOT(ISBLANK(Tabella3[[#This Row],[rest of Italy]]))</f>
        <v>0</v>
      </c>
      <c r="Y62" s="10">
        <f>Ka*EXP(-EXP(-(Tabella3[[#This Row],[Day]]-t0a)/wa))</f>
        <v>10637.343198077027</v>
      </c>
      <c r="Z62" s="10">
        <f>Ka*EXP(-EXP(-(Tabella3[[#This Row],[Day]]-t0a)/wa))*EXP(-(Tabella3[[#This Row],[Day]]-t0a)/wa)/wa</f>
        <v>203.31001616104112</v>
      </c>
      <c r="AA62" s="10">
        <f>Tabella3[[#This Row],[rest of Italy fit]]*NOT(ISBLANK(Tabella3[[#This Row],[rest of Italy]]))</f>
        <v>0</v>
      </c>
    </row>
    <row r="63" spans="2:34" x14ac:dyDescent="0.3">
      <c r="B63" s="9">
        <v>43940</v>
      </c>
      <c r="C63" s="4">
        <f t="shared" si="0"/>
        <v>55</v>
      </c>
      <c r="E63" s="10"/>
      <c r="F63" s="10">
        <f>Tabella3[[#This Row],[Italy]]*NOT(ISBLANK(Tabella3[[#This Row],[Italy]]))</f>
        <v>0</v>
      </c>
      <c r="G63" s="10">
        <f>Tabella3[[#This Row],[Cum_L_fit]]+Tabella3[[#This Row],[Cum_o_fit]]</f>
        <v>22832.612384058841</v>
      </c>
      <c r="H63" s="10">
        <f>Tabella3[[#This Row],[Lombardy fit]]+Tabella3[[#This Row],[rest of Italy fit]]</f>
        <v>330.24288833500884</v>
      </c>
      <c r="I63" s="10">
        <f>Kf*EXP(-EXP(-(Tabella3[[#This Row],[Day]]-t0f)/wf))*EXP(-(Tabella3[[#This Row],[Day]]-t0f)/wf)/wf</f>
        <v>325.47176835522208</v>
      </c>
      <c r="J63" s="10">
        <f>Tabella3[[#This Row],[Italy sum]]*NOT(ISBLANK(Tabella3[[#This Row],[Italy]]))</f>
        <v>0</v>
      </c>
      <c r="K63" s="10">
        <f>Tabella3[[#This Row],[Italy fit]]*NOT(ISBLANK(Tabella3[[#This Row],[Italy]]))</f>
        <v>0</v>
      </c>
      <c r="O63" s="10"/>
      <c r="P63" s="10">
        <f>Tabella3[[#This Row],[Lombardy]]*NOT(ISBLANK(Tabella3[[#This Row],[Lombardy]]))</f>
        <v>0</v>
      </c>
      <c r="Q63" s="10">
        <f>Kl*EXP(-EXP(-(Tabella3[[#This Row],[Day]]-t0l)/wl))</f>
        <v>11997.487038606978</v>
      </c>
      <c r="R63" s="10">
        <f>Kl*EXP(-EXP(-(Tabella3[[#This Row],[Day]]-t0l)/wl))*EXP(-(Tabella3[[#This Row],[Day]]-t0l)/wl)/wl</f>
        <v>137.93161914113708</v>
      </c>
      <c r="S63" s="10">
        <f>Tabella3[[#This Row],[Lombardy fit]]*NOT(ISBLANK(Tabella3[[#This Row],[Lombardy]]))</f>
        <v>0</v>
      </c>
      <c r="W63" s="10"/>
      <c r="X63" s="10">
        <f>Tabella3[[#This Row],[rest of Italy]]*NOT(ISBLANK(Tabella3[[#This Row],[rest of Italy]]))</f>
        <v>0</v>
      </c>
      <c r="Y63" s="10">
        <f>Ka*EXP(-EXP(-(Tabella3[[#This Row],[Day]]-t0a)/wa))</f>
        <v>10835.125345451863</v>
      </c>
      <c r="Z63" s="10">
        <f>Ka*EXP(-EXP(-(Tabella3[[#This Row],[Day]]-t0a)/wa))*EXP(-(Tabella3[[#This Row],[Day]]-t0a)/wa)/wa</f>
        <v>192.31126919387179</v>
      </c>
      <c r="AA63" s="10">
        <f>Tabella3[[#This Row],[rest of Italy fit]]*NOT(ISBLANK(Tabella3[[#This Row],[rest of Italy]]))</f>
        <v>0</v>
      </c>
    </row>
    <row r="64" spans="2:34" x14ac:dyDescent="0.3">
      <c r="B64" s="9">
        <v>43941</v>
      </c>
      <c r="C64" s="4">
        <f t="shared" si="0"/>
        <v>56</v>
      </c>
      <c r="E64" s="10"/>
      <c r="F64" s="10">
        <f>Tabella3[[#This Row],[Italy]]*NOT(ISBLANK(Tabella3[[#This Row],[Italy]]))</f>
        <v>0</v>
      </c>
      <c r="G64" s="10">
        <f>Tabella3[[#This Row],[Cum_L_fit]]+Tabella3[[#This Row],[Cum_o_fit]]</f>
        <v>23152.738214154495</v>
      </c>
      <c r="H64" s="10">
        <f>Tabella3[[#This Row],[Lombardy fit]]+Tabella3[[#This Row],[rest of Italy fit]]</f>
        <v>310.16171340772348</v>
      </c>
      <c r="I64" s="10">
        <f>Kf*EXP(-EXP(-(Tabella3[[#This Row],[Day]]-t0f)/wf))*EXP(-(Tabella3[[#This Row],[Day]]-t0f)/wf)/wf</f>
        <v>305.42612867047836</v>
      </c>
      <c r="J64" s="10">
        <f>Tabella3[[#This Row],[Italy sum]]*NOT(ISBLANK(Tabella3[[#This Row],[Italy]]))</f>
        <v>0</v>
      </c>
      <c r="K64" s="10">
        <f>Tabella3[[#This Row],[Italy fit]]*NOT(ISBLANK(Tabella3[[#This Row],[Italy]]))</f>
        <v>0</v>
      </c>
      <c r="O64" s="10"/>
      <c r="P64" s="10">
        <f>Tabella3[[#This Row],[Lombardy]]*NOT(ISBLANK(Tabella3[[#This Row],[Lombardy]]))</f>
        <v>0</v>
      </c>
      <c r="Q64" s="10">
        <f>Kl*EXP(-EXP(-(Tabella3[[#This Row],[Day]]-t0l)/wl))</f>
        <v>12130.653722719679</v>
      </c>
      <c r="R64" s="10">
        <f>Kl*EXP(-EXP(-(Tabella3[[#This Row],[Day]]-t0l)/wl))*EXP(-(Tabella3[[#This Row],[Day]]-t0l)/wl)/wl</f>
        <v>128.49317552457137</v>
      </c>
      <c r="S64" s="10">
        <f>Tabella3[[#This Row],[Lombardy fit]]*NOT(ISBLANK(Tabella3[[#This Row],[Lombardy]]))</f>
        <v>0</v>
      </c>
      <c r="W64" s="10"/>
      <c r="X64" s="10">
        <f>Tabella3[[#This Row],[rest of Italy]]*NOT(ISBLANK(Tabella3[[#This Row],[rest of Italy]]))</f>
        <v>0</v>
      </c>
      <c r="Y64" s="10">
        <f>Ka*EXP(-EXP(-(Tabella3[[#This Row],[Day]]-t0a)/wa))</f>
        <v>11022.084491434818</v>
      </c>
      <c r="Z64" s="10">
        <f>Ka*EXP(-EXP(-(Tabella3[[#This Row],[Day]]-t0a)/wa))*EXP(-(Tabella3[[#This Row],[Day]]-t0a)/wa)/wa</f>
        <v>181.66853788315214</v>
      </c>
      <c r="AA64" s="10">
        <f>Tabella3[[#This Row],[rest of Italy fit]]*NOT(ISBLANK(Tabella3[[#This Row],[rest of Italy]]))</f>
        <v>0</v>
      </c>
    </row>
    <row r="65" spans="2:27" x14ac:dyDescent="0.3">
      <c r="B65" s="9">
        <v>43942</v>
      </c>
      <c r="C65" s="4">
        <f t="shared" si="0"/>
        <v>57</v>
      </c>
      <c r="E65" s="10"/>
      <c r="F65" s="10">
        <f>Tabella3[[#This Row],[Italy]]*NOT(ISBLANK(Tabella3[[#This Row],[Italy]]))</f>
        <v>0</v>
      </c>
      <c r="G65" s="10">
        <f>Tabella3[[#This Row],[Cum_L_fit]]+Tabella3[[#This Row],[Cum_o_fit]]</f>
        <v>23453.243106652371</v>
      </c>
      <c r="H65" s="10">
        <f>Tabella3[[#This Row],[Lombardy fit]]+Tabella3[[#This Row],[rest of Italy fit]]</f>
        <v>291.00210098918689</v>
      </c>
      <c r="I65" s="10">
        <f>Kf*EXP(-EXP(-(Tabella3[[#This Row],[Day]]-t0f)/wf))*EXP(-(Tabella3[[#This Row],[Day]]-t0f)/wf)/wf</f>
        <v>286.32208116472253</v>
      </c>
      <c r="J65" s="10">
        <f>Tabella3[[#This Row],[Italy sum]]*NOT(ISBLANK(Tabella3[[#This Row],[Italy]]))</f>
        <v>0</v>
      </c>
      <c r="K65" s="10">
        <f>Tabella3[[#This Row],[Italy fit]]*NOT(ISBLANK(Tabella3[[#This Row],[Italy]]))</f>
        <v>0</v>
      </c>
      <c r="O65" s="10"/>
      <c r="P65" s="10">
        <f>Tabella3[[#This Row],[Lombardy]]*NOT(ISBLANK(Tabella3[[#This Row],[Lombardy]]))</f>
        <v>0</v>
      </c>
      <c r="Q65" s="10">
        <f>Kl*EXP(-EXP(-(Tabella3[[#This Row],[Day]]-t0l)/wl))</f>
        <v>12254.654083267334</v>
      </c>
      <c r="R65" s="10">
        <f>Kl*EXP(-EXP(-(Tabella3[[#This Row],[Day]]-t0l)/wl))*EXP(-(Tabella3[[#This Row],[Day]]-t0l)/wl)/wl</f>
        <v>119.5967078443886</v>
      </c>
      <c r="S65" s="10">
        <f>Tabella3[[#This Row],[Lombardy fit]]*NOT(ISBLANK(Tabella3[[#This Row],[Lombardy]]))</f>
        <v>0</v>
      </c>
      <c r="W65" s="10"/>
      <c r="X65" s="10">
        <f>Tabella3[[#This Row],[rest of Italy]]*NOT(ISBLANK(Tabella3[[#This Row],[rest of Italy]]))</f>
        <v>0</v>
      </c>
      <c r="Y65" s="10">
        <f>Ka*EXP(-EXP(-(Tabella3[[#This Row],[Day]]-t0a)/wa))</f>
        <v>11198.589023385039</v>
      </c>
      <c r="Z65" s="10">
        <f>Ka*EXP(-EXP(-(Tabella3[[#This Row],[Day]]-t0a)/wa))*EXP(-(Tabella3[[#This Row],[Day]]-t0a)/wa)/wa</f>
        <v>171.4053931447983</v>
      </c>
      <c r="AA65" s="10">
        <f>Tabella3[[#This Row],[rest of Italy fit]]*NOT(ISBLANK(Tabella3[[#This Row],[rest of Italy]]))</f>
        <v>0</v>
      </c>
    </row>
    <row r="66" spans="2:27" x14ac:dyDescent="0.3">
      <c r="B66" s="9">
        <v>43943</v>
      </c>
      <c r="C66" s="4">
        <f t="shared" si="0"/>
        <v>58</v>
      </c>
      <c r="E66" s="10"/>
      <c r="F66" s="10">
        <f>Tabella3[[#This Row],[Italy]]*NOT(ISBLANK(Tabella3[[#This Row],[Italy]]))</f>
        <v>0</v>
      </c>
      <c r="G66" s="10">
        <f>Tabella3[[#This Row],[Cum_L_fit]]+Tabella3[[#This Row],[Cum_o_fit]]</f>
        <v>23735.050342965118</v>
      </c>
      <c r="H66" s="10">
        <f>Tabella3[[#This Row],[Lombardy fit]]+Tabella3[[#This Row],[rest of Italy fit]]</f>
        <v>272.76599609733506</v>
      </c>
      <c r="I66" s="10">
        <f>Kf*EXP(-EXP(-(Tabella3[[#This Row],[Day]]-t0f)/wf))*EXP(-(Tabella3[[#This Row],[Day]]-t0f)/wf)/wf</f>
        <v>268.1589753879565</v>
      </c>
      <c r="J66" s="10">
        <f>Tabella3[[#This Row],[Italy sum]]*NOT(ISBLANK(Tabella3[[#This Row],[Italy]]))</f>
        <v>0</v>
      </c>
      <c r="K66" s="10">
        <f>Tabella3[[#This Row],[Italy fit]]*NOT(ISBLANK(Tabella3[[#This Row],[Italy]]))</f>
        <v>0</v>
      </c>
      <c r="O66" s="10"/>
      <c r="P66" s="10">
        <f>Tabella3[[#This Row],[Lombardy]]*NOT(ISBLANK(Tabella3[[#This Row],[Lombardy]]))</f>
        <v>0</v>
      </c>
      <c r="Q66" s="10">
        <f>Kl*EXP(-EXP(-(Tabella3[[#This Row],[Day]]-t0l)/wl))</f>
        <v>12370.02281654951</v>
      </c>
      <c r="R66" s="10">
        <f>Kl*EXP(-EXP(-(Tabella3[[#This Row],[Day]]-t0l)/wl))*EXP(-(Tabella3[[#This Row],[Day]]-t0l)/wl)/wl</f>
        <v>111.22719383555155</v>
      </c>
      <c r="S66" s="10">
        <f>Tabella3[[#This Row],[Lombardy fit]]*NOT(ISBLANK(Tabella3[[#This Row],[Lombardy]]))</f>
        <v>0</v>
      </c>
      <c r="W66" s="10"/>
      <c r="X66" s="10">
        <f>Tabella3[[#This Row],[rest of Italy]]*NOT(ISBLANK(Tabella3[[#This Row],[rest of Italy]]))</f>
        <v>0</v>
      </c>
      <c r="Y66" s="10">
        <f>Ka*EXP(-EXP(-(Tabella3[[#This Row],[Day]]-t0a)/wa))</f>
        <v>11365.027526415608</v>
      </c>
      <c r="Z66" s="10">
        <f>Ka*EXP(-EXP(-(Tabella3[[#This Row],[Day]]-t0a)/wa))*EXP(-(Tabella3[[#This Row],[Day]]-t0a)/wa)/wa</f>
        <v>161.5388022617835</v>
      </c>
      <c r="AA66" s="10">
        <f>Tabella3[[#This Row],[rest of Italy fit]]*NOT(ISBLANK(Tabella3[[#This Row],[rest of Italy]]))</f>
        <v>0</v>
      </c>
    </row>
    <row r="67" spans="2:27" x14ac:dyDescent="0.3">
      <c r="B67" s="9">
        <v>43944</v>
      </c>
      <c r="C67" s="4">
        <f t="shared" si="0"/>
        <v>59</v>
      </c>
      <c r="E67" s="10"/>
      <c r="F67" s="10">
        <f>Tabella3[[#This Row],[Italy]]*NOT(ISBLANK(Tabella3[[#This Row],[Italy]]))</f>
        <v>0</v>
      </c>
      <c r="G67" s="10">
        <f>Tabella3[[#This Row],[Cum_L_fit]]+Tabella3[[#This Row],[Cum_o_fit]]</f>
        <v>23999.080922535264</v>
      </c>
      <c r="H67" s="10">
        <f>Tabella3[[#This Row],[Lombardy fit]]+Tabella3[[#This Row],[rest of Italy fit]]</f>
        <v>255.44713591407435</v>
      </c>
      <c r="I67" s="10">
        <f>Kf*EXP(-EXP(-(Tabella3[[#This Row],[Day]]-t0f)/wf))*EXP(-(Tabella3[[#This Row],[Day]]-t0f)/wf)/wf</f>
        <v>250.92808069908651</v>
      </c>
      <c r="J67" s="10">
        <f>Tabella3[[#This Row],[Italy sum]]*NOT(ISBLANK(Tabella3[[#This Row],[Italy]]))</f>
        <v>0</v>
      </c>
      <c r="K67" s="10">
        <f>Tabella3[[#This Row],[Italy fit]]*NOT(ISBLANK(Tabella3[[#This Row],[Italy]]))</f>
        <v>0</v>
      </c>
      <c r="O67" s="10"/>
      <c r="P67" s="10">
        <f>Tabella3[[#This Row],[Lombardy]]*NOT(ISBLANK(Tabella3[[#This Row],[Lombardy]]))</f>
        <v>0</v>
      </c>
      <c r="Q67" s="10">
        <f>Kl*EXP(-EXP(-(Tabella3[[#This Row],[Day]]-t0l)/wl))</f>
        <v>12477.27832320302</v>
      </c>
      <c r="R67" s="10">
        <f>Kl*EXP(-EXP(-(Tabella3[[#This Row],[Day]]-t0l)/wl))*EXP(-(Tabella3[[#This Row],[Day]]-t0l)/wl)/wl</f>
        <v>103.3671766452694</v>
      </c>
      <c r="S67" s="10">
        <f>Tabella3[[#This Row],[Lombardy fit]]*NOT(ISBLANK(Tabella3[[#This Row],[Lombardy]]))</f>
        <v>0</v>
      </c>
      <c r="W67" s="10"/>
      <c r="X67" s="10">
        <f>Tabella3[[#This Row],[rest of Italy]]*NOT(ISBLANK(Tabella3[[#This Row],[rest of Italy]]))</f>
        <v>0</v>
      </c>
      <c r="Y67" s="10">
        <f>Ka*EXP(-EXP(-(Tabella3[[#This Row],[Day]]-t0a)/wa))</f>
        <v>11521.802599332244</v>
      </c>
      <c r="Z67" s="10">
        <f>Ka*EXP(-EXP(-(Tabella3[[#This Row],[Day]]-t0a)/wa))*EXP(-(Tabella3[[#This Row],[Day]]-t0a)/wa)/wa</f>
        <v>152.07995926880494</v>
      </c>
      <c r="AA67" s="10">
        <f>Tabella3[[#This Row],[rest of Italy fit]]*NOT(ISBLANK(Tabella3[[#This Row],[rest of Italy]]))</f>
        <v>0</v>
      </c>
    </row>
    <row r="68" spans="2:27" x14ac:dyDescent="0.3">
      <c r="B68" s="9">
        <v>43945</v>
      </c>
      <c r="C68" s="4">
        <f t="shared" si="0"/>
        <v>60</v>
      </c>
      <c r="E68" s="10"/>
      <c r="F68" s="10">
        <f>Tabella3[[#This Row],[Italy]]*NOT(ISBLANK(Tabella3[[#This Row],[Italy]]))</f>
        <v>0</v>
      </c>
      <c r="G68" s="10">
        <f>Tabella3[[#This Row],[Cum_L_fit]]+Tabella3[[#This Row],[Cum_o_fit]]</f>
        <v>24246.246067416003</v>
      </c>
      <c r="H68" s="10">
        <f>Tabella3[[#This Row],[Lombardy fit]]+Tabella3[[#This Row],[rest of Italy fit]]</f>
        <v>239.03244877352103</v>
      </c>
      <c r="I68" s="10">
        <f>Kf*EXP(-EXP(-(Tabella3[[#This Row],[Day]]-t0f)/wf))*EXP(-(Tabella3[[#This Row],[Day]]-t0f)/wf)/wf</f>
        <v>234.61400800352595</v>
      </c>
      <c r="J68" s="10">
        <f>Tabella3[[#This Row],[Italy sum]]*NOT(ISBLANK(Tabella3[[#This Row],[Italy]]))</f>
        <v>0</v>
      </c>
      <c r="K68" s="10">
        <f>Tabella3[[#This Row],[Italy fit]]*NOT(ISBLANK(Tabella3[[#This Row],[Italy]]))</f>
        <v>0</v>
      </c>
      <c r="O68" s="10"/>
      <c r="P68" s="10">
        <f>Tabella3[[#This Row],[Lombardy]]*NOT(ISBLANK(Tabella3[[#This Row],[Lombardy]]))</f>
        <v>0</v>
      </c>
      <c r="Q68" s="10">
        <f>Kl*EXP(-EXP(-(Tabella3[[#This Row],[Day]]-t0l)/wl))</f>
        <v>12576.920593852701</v>
      </c>
      <c r="R68" s="10">
        <f>Kl*EXP(-EXP(-(Tabella3[[#This Row],[Day]]-t0l)/wl))*EXP(-(Tabella3[[#This Row],[Day]]-t0l)/wl)/wl</f>
        <v>95.997389233651617</v>
      </c>
      <c r="S68" s="10">
        <f>Tabella3[[#This Row],[Lombardy fit]]*NOT(ISBLANK(Tabella3[[#This Row],[Lombardy]]))</f>
        <v>0</v>
      </c>
      <c r="W68" s="10"/>
      <c r="X68" s="10">
        <f>Tabella3[[#This Row],[rest of Italy]]*NOT(ISBLANK(Tabella3[[#This Row],[rest of Italy]]))</f>
        <v>0</v>
      </c>
      <c r="Y68" s="10">
        <f>Ka*EXP(-EXP(-(Tabella3[[#This Row],[Day]]-t0a)/wa))</f>
        <v>11669.325473563302</v>
      </c>
      <c r="Z68" s="10">
        <f>Ka*EXP(-EXP(-(Tabella3[[#This Row],[Day]]-t0a)/wa))*EXP(-(Tabella3[[#This Row],[Day]]-t0a)/wa)/wa</f>
        <v>143.03505953986942</v>
      </c>
      <c r="AA68" s="10">
        <f>Tabella3[[#This Row],[rest of Italy fit]]*NOT(ISBLANK(Tabella3[[#This Row],[rest of Italy]]))</f>
        <v>0</v>
      </c>
    </row>
    <row r="69" spans="2:27" x14ac:dyDescent="0.3">
      <c r="B69" s="9">
        <v>43946</v>
      </c>
      <c r="C69" s="4">
        <f t="shared" si="0"/>
        <v>61</v>
      </c>
      <c r="E69" s="10"/>
      <c r="F69" s="10">
        <f>Tabella3[[#This Row],[Italy]]*NOT(ISBLANK(Tabella3[[#This Row],[Italy]]))</f>
        <v>0</v>
      </c>
      <c r="G69" s="10">
        <f>Tabella3[[#This Row],[Cum_L_fit]]+Tabella3[[#This Row],[Cum_o_fit]]</f>
        <v>24477.441049234963</v>
      </c>
      <c r="H69" s="10">
        <f>Tabella3[[#This Row],[Lombardy fit]]+Tabella3[[#This Row],[rest of Italy fit]]</f>
        <v>223.50330095752065</v>
      </c>
      <c r="I69" s="10">
        <f>Kf*EXP(-EXP(-(Tabella3[[#This Row],[Day]]-t0f)/wf))*EXP(-(Tabella3[[#This Row],[Day]]-t0f)/wf)/wf</f>
        <v>219.19597135369054</v>
      </c>
      <c r="J69" s="10">
        <f>Tabella3[[#This Row],[Italy sum]]*NOT(ISBLANK(Tabella3[[#This Row],[Italy]]))</f>
        <v>0</v>
      </c>
      <c r="K69" s="10">
        <f>Tabella3[[#This Row],[Italy fit]]*NOT(ISBLANK(Tabella3[[#This Row],[Italy]]))</f>
        <v>0</v>
      </c>
      <c r="O69" s="10"/>
      <c r="P69" s="10">
        <f>Tabella3[[#This Row],[Lombardy]]*NOT(ISBLANK(Tabella3[[#This Row],[Lombardy]]))</f>
        <v>0</v>
      </c>
      <c r="Q69" s="10">
        <f>Kl*EXP(-EXP(-(Tabella3[[#This Row],[Day]]-t0l)/wl))</f>
        <v>12669.429672480675</v>
      </c>
      <c r="R69" s="10">
        <f>Kl*EXP(-EXP(-(Tabella3[[#This Row],[Day]]-t0l)/wl))*EXP(-(Tabella3[[#This Row],[Day]]-t0l)/wl)/wl</f>
        <v>89.097286958963338</v>
      </c>
      <c r="S69" s="10">
        <f>Tabella3[[#This Row],[Lombardy fit]]*NOT(ISBLANK(Tabella3[[#This Row],[Lombardy]]))</f>
        <v>0</v>
      </c>
      <c r="W69" s="10"/>
      <c r="X69" s="10">
        <f>Tabella3[[#This Row],[rest of Italy]]*NOT(ISBLANK(Tabella3[[#This Row],[rest of Italy]]))</f>
        <v>0</v>
      </c>
      <c r="Y69" s="10">
        <f>Ka*EXP(-EXP(-(Tabella3[[#This Row],[Day]]-t0a)/wa))</f>
        <v>11808.01137675429</v>
      </c>
      <c r="Z69" s="10">
        <f>Ka*EXP(-EXP(-(Tabella3[[#This Row],[Day]]-t0a)/wa))*EXP(-(Tabella3[[#This Row],[Day]]-t0a)/wa)/wa</f>
        <v>134.40601399855731</v>
      </c>
      <c r="AA69" s="10">
        <f>Tabella3[[#This Row],[rest of Italy fit]]*NOT(ISBLANK(Tabella3[[#This Row],[rest of Italy]]))</f>
        <v>0</v>
      </c>
    </row>
    <row r="70" spans="2:27" x14ac:dyDescent="0.3">
      <c r="B70" s="9">
        <v>43947</v>
      </c>
      <c r="C70" s="4">
        <f t="shared" si="0"/>
        <v>62</v>
      </c>
      <c r="E70" s="10"/>
      <c r="F70" s="10">
        <f>Tabella3[[#This Row],[Italy]]*NOT(ISBLANK(Tabella3[[#This Row],[Italy]]))</f>
        <v>0</v>
      </c>
      <c r="G70" s="10">
        <f>Tabella3[[#This Row],[Cum_L_fit]]+Tabella3[[#This Row],[Cum_o_fit]]</f>
        <v>24693.540189790379</v>
      </c>
      <c r="H70" s="10">
        <f>Tabella3[[#This Row],[Lombardy fit]]+Tabella3[[#This Row],[rest of Italy fit]]</f>
        <v>208.83659854260856</v>
      </c>
      <c r="I70" s="10">
        <f>Kf*EXP(-EXP(-(Tabella3[[#This Row],[Day]]-t0f)/wf))*EXP(-(Tabella3[[#This Row],[Day]]-t0f)/wf)/wf</f>
        <v>204.64889802983325</v>
      </c>
      <c r="J70" s="10">
        <f>Tabella3[[#This Row],[Italy sum]]*NOT(ISBLANK(Tabella3[[#This Row],[Italy]]))</f>
        <v>0</v>
      </c>
      <c r="K70" s="10">
        <f>Tabella3[[#This Row],[Italy fit]]*NOT(ISBLANK(Tabella3[[#This Row],[Italy]]))</f>
        <v>0</v>
      </c>
      <c r="O70" s="10"/>
      <c r="P70" s="10">
        <f>Tabella3[[#This Row],[Lombardy]]*NOT(ISBLANK(Tabella3[[#This Row],[Lombardy]]))</f>
        <v>0</v>
      </c>
      <c r="Q70" s="10">
        <f>Kl*EXP(-EXP(-(Tabella3[[#This Row],[Day]]-t0l)/wl))</f>
        <v>12755.264610339418</v>
      </c>
      <c r="R70" s="10">
        <f>Kl*EXP(-EXP(-(Tabella3[[#This Row],[Day]]-t0l)/wl))*EXP(-(Tabella3[[#This Row],[Day]]-t0l)/wl)/wl</f>
        <v>82.645497613286878</v>
      </c>
      <c r="S70" s="10">
        <f>Tabella3[[#This Row],[Lombardy fit]]*NOT(ISBLANK(Tabella3[[#This Row],[Lombardy]]))</f>
        <v>0</v>
      </c>
      <c r="W70" s="10"/>
      <c r="X70" s="10">
        <f>Tabella3[[#This Row],[rest of Italy]]*NOT(ISBLANK(Tabella3[[#This Row],[rest of Italy]]))</f>
        <v>0</v>
      </c>
      <c r="Y70" s="10">
        <f>Ka*EXP(-EXP(-(Tabella3[[#This Row],[Day]]-t0a)/wa))</f>
        <v>11938.275579450963</v>
      </c>
      <c r="Z70" s="10">
        <f>Ka*EXP(-EXP(-(Tabella3[[#This Row],[Day]]-t0a)/wa))*EXP(-(Tabella3[[#This Row],[Day]]-t0a)/wa)/wa</f>
        <v>126.19110092932166</v>
      </c>
      <c r="AA70" s="10">
        <f>Tabella3[[#This Row],[rest of Italy fit]]*NOT(ISBLANK(Tabella3[[#This Row],[rest of Italy]]))</f>
        <v>0</v>
      </c>
    </row>
    <row r="71" spans="2:27" x14ac:dyDescent="0.3">
      <c r="B71" s="9">
        <v>43948</v>
      </c>
      <c r="C71" s="4">
        <f t="shared" si="0"/>
        <v>63</v>
      </c>
      <c r="E71" s="10"/>
      <c r="F71" s="10">
        <f>Tabella3[[#This Row],[Italy]]*NOT(ISBLANK(Tabella3[[#This Row],[Italy]]))</f>
        <v>0</v>
      </c>
      <c r="G71" s="10">
        <f>Tabella3[[#This Row],[Cum_L_fit]]+Tabella3[[#This Row],[Cum_o_fit]]</f>
        <v>24895.39289471841</v>
      </c>
      <c r="H71" s="10">
        <f>Tabella3[[#This Row],[Lombardy fit]]+Tabella3[[#This Row],[rest of Italy fit]]</f>
        <v>195.00575330441902</v>
      </c>
      <c r="I71" s="10">
        <f>Kf*EXP(-EXP(-(Tabella3[[#This Row],[Day]]-t0f)/wf))*EXP(-(Tabella3[[#This Row],[Day]]-t0f)/wf)/wf</f>
        <v>190.94439735352333</v>
      </c>
      <c r="J71" s="10">
        <f>Tabella3[[#This Row],[Italy sum]]*NOT(ISBLANK(Tabella3[[#This Row],[Italy]]))</f>
        <v>0</v>
      </c>
      <c r="K71" s="10">
        <f>Tabella3[[#This Row],[Italy fit]]*NOT(ISBLANK(Tabella3[[#This Row],[Italy]]))</f>
        <v>0</v>
      </c>
      <c r="O71" s="10"/>
      <c r="P71" s="10">
        <f>Tabella3[[#This Row],[Lombardy]]*NOT(ISBLANK(Tabella3[[#This Row],[Lombardy]]))</f>
        <v>0</v>
      </c>
      <c r="Q71" s="10">
        <f>Kl*EXP(-EXP(-(Tabella3[[#This Row],[Day]]-t0l)/wl))</f>
        <v>12834.862832409937</v>
      </c>
      <c r="R71" s="10">
        <f>Kl*EXP(-EXP(-(Tabella3[[#This Row],[Day]]-t0l)/wl))*EXP(-(Tabella3[[#This Row],[Day]]-t0l)/wl)/wl</f>
        <v>76.620197954710974</v>
      </c>
      <c r="S71" s="10">
        <f>Tabella3[[#This Row],[Lombardy fit]]*NOT(ISBLANK(Tabella3[[#This Row],[Lombardy]]))</f>
        <v>0</v>
      </c>
      <c r="W71" s="10"/>
      <c r="X71" s="10">
        <f>Tabella3[[#This Row],[rest of Italy]]*NOT(ISBLANK(Tabella3[[#This Row],[rest of Italy]]))</f>
        <v>0</v>
      </c>
      <c r="Y71" s="10">
        <f>Ka*EXP(-EXP(-(Tabella3[[#This Row],[Day]]-t0a)/wa))</f>
        <v>12060.530062308475</v>
      </c>
      <c r="Z71" s="10">
        <f>Ka*EXP(-EXP(-(Tabella3[[#This Row],[Day]]-t0a)/wa))*EXP(-(Tabella3[[#This Row],[Day]]-t0a)/wa)/wa</f>
        <v>118.38555534970804</v>
      </c>
      <c r="AA71" s="10">
        <f>Tabella3[[#This Row],[rest of Italy fit]]*NOT(ISBLANK(Tabella3[[#This Row],[rest of Italy]]))</f>
        <v>0</v>
      </c>
    </row>
    <row r="72" spans="2:27" x14ac:dyDescent="0.3">
      <c r="B72" s="9">
        <v>43949</v>
      </c>
      <c r="C72" s="4">
        <f t="shared" si="0"/>
        <v>64</v>
      </c>
      <c r="E72" s="10"/>
      <c r="F72" s="10">
        <f>Tabella3[[#This Row],[Italy]]*NOT(ISBLANK(Tabella3[[#This Row],[Italy]]))</f>
        <v>0</v>
      </c>
      <c r="G72" s="10">
        <f>Tabella3[[#This Row],[Cum_L_fit]]+Tabella3[[#This Row],[Cum_o_fit]]</f>
        <v>25083.820589263181</v>
      </c>
      <c r="H72" s="10">
        <f>Tabella3[[#This Row],[Lombardy fit]]+Tabella3[[#This Row],[rest of Italy fit]]</f>
        <v>181.98152275683452</v>
      </c>
      <c r="I72" s="10">
        <f>Kf*EXP(-EXP(-(Tabella3[[#This Row],[Day]]-t0f)/wf))*EXP(-(Tabella3[[#This Row],[Day]]-t0f)/wf)/wf</f>
        <v>178.05159941801207</v>
      </c>
      <c r="J72" s="10">
        <f>Tabella3[[#This Row],[Italy sum]]*NOT(ISBLANK(Tabella3[[#This Row],[Italy]]))</f>
        <v>0</v>
      </c>
      <c r="K72" s="10">
        <f>Tabella3[[#This Row],[Italy fit]]*NOT(ISBLANK(Tabella3[[#This Row],[Italy]]))</f>
        <v>0</v>
      </c>
      <c r="O72" s="10"/>
      <c r="P72" s="10">
        <f>Tabella3[[#This Row],[Lombardy]]*NOT(ISBLANK(Tabella3[[#This Row],[Lombardy]]))</f>
        <v>0</v>
      </c>
      <c r="Q72" s="10">
        <f>Kl*EXP(-EXP(-(Tabella3[[#This Row],[Day]]-t0l)/wl))</f>
        <v>12908.639847255872</v>
      </c>
      <c r="R72" s="10">
        <f>Kl*EXP(-EXP(-(Tabella3[[#This Row],[Day]]-t0l)/wl))*EXP(-(Tabella3[[#This Row],[Day]]-t0l)/wl)/wl</f>
        <v>70.999425361738304</v>
      </c>
      <c r="S72" s="10">
        <f>Tabella3[[#This Row],[Lombardy fit]]*NOT(ISBLANK(Tabella3[[#This Row],[Lombardy]]))</f>
        <v>0</v>
      </c>
      <c r="W72" s="10"/>
      <c r="X72" s="10">
        <f>Tabella3[[#This Row],[rest of Italy]]*NOT(ISBLANK(Tabella3[[#This Row],[rest of Italy]]))</f>
        <v>0</v>
      </c>
      <c r="Y72" s="10">
        <f>Ka*EXP(-EXP(-(Tabella3[[#This Row],[Day]]-t0a)/wa))</f>
        <v>12175.180742007309</v>
      </c>
      <c r="Z72" s="10">
        <f>Ka*EXP(-EXP(-(Tabella3[[#This Row],[Day]]-t0a)/wa))*EXP(-(Tabella3[[#This Row],[Day]]-t0a)/wa)/wa</f>
        <v>110.9820973950962</v>
      </c>
      <c r="AA72" s="10">
        <f>Tabella3[[#This Row],[rest of Italy fit]]*NOT(ISBLANK(Tabella3[[#This Row],[rest of Italy]]))</f>
        <v>0</v>
      </c>
    </row>
    <row r="73" spans="2:27" x14ac:dyDescent="0.3">
      <c r="B73" s="9">
        <v>43950</v>
      </c>
      <c r="C73" s="4">
        <f t="shared" si="0"/>
        <v>65</v>
      </c>
      <c r="E73" s="10"/>
      <c r="F73" s="10">
        <f>Tabella3[[#This Row],[Italy]]*NOT(ISBLANK(Tabella3[[#This Row],[Italy]]))</f>
        <v>0</v>
      </c>
      <c r="G73" s="10">
        <f>Tabella3[[#This Row],[Cum_L_fit]]+Tabella3[[#This Row],[Cum_o_fit]]</f>
        <v>25259.614435563391</v>
      </c>
      <c r="H73" s="10">
        <f>Tabella3[[#This Row],[Lombardy fit]]+Tabella3[[#This Row],[rest of Italy fit]]</f>
        <v>169.73273493514543</v>
      </c>
      <c r="I73" s="10">
        <f>Kf*EXP(-EXP(-(Tabella3[[#This Row],[Day]]-t0f)/wf))*EXP(-(Tabella3[[#This Row],[Day]]-t0f)/wf)/wf</f>
        <v>165.9378753094831</v>
      </c>
      <c r="J73" s="10">
        <f>Tabella3[[#This Row],[Italy sum]]*NOT(ISBLANK(Tabella3[[#This Row],[Italy]]))</f>
        <v>0</v>
      </c>
      <c r="K73" s="10">
        <f>Tabella3[[#This Row],[Italy fit]]*NOT(ISBLANK(Tabella3[[#This Row],[Italy]]))</f>
        <v>0</v>
      </c>
      <c r="O73" s="10"/>
      <c r="P73" s="10">
        <f>Tabella3[[#This Row],[Lombardy]]*NOT(ISBLANK(Tabella3[[#This Row],[Lombardy]]))</f>
        <v>0</v>
      </c>
      <c r="Q73" s="10">
        <f>Kl*EXP(-EXP(-(Tabella3[[#This Row],[Day]]-t0l)/wl))</f>
        <v>12976.989239482826</v>
      </c>
      <c r="R73" s="10">
        <f>Kl*EXP(-EXP(-(Tabella3[[#This Row],[Day]]-t0l)/wl))*EXP(-(Tabella3[[#This Row],[Day]]-t0l)/wl)/wl</f>
        <v>65.76133268440455</v>
      </c>
      <c r="S73" s="10">
        <f>Tabella3[[#This Row],[Lombardy fit]]*NOT(ISBLANK(Tabella3[[#This Row],[Lombardy]]))</f>
        <v>0</v>
      </c>
      <c r="W73" s="10"/>
      <c r="X73" s="10">
        <f>Tabella3[[#This Row],[rest of Italy]]*NOT(ISBLANK(Tabella3[[#This Row],[rest of Italy]]))</f>
        <v>0</v>
      </c>
      <c r="Y73" s="10">
        <f>Ka*EXP(-EXP(-(Tabella3[[#This Row],[Day]]-t0a)/wa))</f>
        <v>12282.625196080566</v>
      </c>
      <c r="Z73" s="10">
        <f>Ka*EXP(-EXP(-(Tabella3[[#This Row],[Day]]-t0a)/wa))*EXP(-(Tabella3[[#This Row],[Day]]-t0a)/wa)/wa</f>
        <v>103.97140225074088</v>
      </c>
      <c r="AA73" s="10">
        <f>Tabella3[[#This Row],[rest of Italy fit]]*NOT(ISBLANK(Tabella3[[#This Row],[rest of Italy]]))</f>
        <v>0</v>
      </c>
    </row>
    <row r="74" spans="2:27" x14ac:dyDescent="0.3">
      <c r="B74" s="9">
        <v>43951</v>
      </c>
      <c r="C74" s="4">
        <f t="shared" ref="C74:C78" si="1">C73+1</f>
        <v>66</v>
      </c>
      <c r="E74" s="10"/>
      <c r="F74" s="10">
        <f>Tabella3[[#This Row],[Italy]]*NOT(ISBLANK(Tabella3[[#This Row],[Italy]]))</f>
        <v>0</v>
      </c>
      <c r="G74" s="10">
        <f>Tabella3[[#This Row],[Cum_L_fit]]+Tabella3[[#This Row],[Cum_o_fit]]</f>
        <v>25423.533721568529</v>
      </c>
      <c r="H74" s="10">
        <f>Tabella3[[#This Row],[Lombardy fit]]+Tabella3[[#This Row],[rest of Italy fit]]</f>
        <v>158.22690865273768</v>
      </c>
      <c r="I74" s="10">
        <f>Kf*EXP(-EXP(-(Tabella3[[#This Row],[Day]]-t0f)/wf))*EXP(-(Tabella3[[#This Row],[Day]]-t0f)/wf)/wf</f>
        <v>154.56945037503706</v>
      </c>
      <c r="J74" s="10">
        <f>Tabella3[[#This Row],[Italy sum]]*NOT(ISBLANK(Tabella3[[#This Row],[Italy]]))</f>
        <v>0</v>
      </c>
      <c r="K74" s="10">
        <f>Tabella3[[#This Row],[Italy fit]]*NOT(ISBLANK(Tabella3[[#This Row],[Italy]]))</f>
        <v>0</v>
      </c>
      <c r="O74" s="10"/>
      <c r="P74" s="10">
        <f>Tabella3[[#This Row],[Lombardy]]*NOT(ISBLANK(Tabella3[[#This Row],[Lombardy]]))</f>
        <v>0</v>
      </c>
      <c r="Q74" s="10">
        <f>Kl*EXP(-EXP(-(Tabella3[[#This Row],[Day]]-t0l)/wl))</f>
        <v>13040.282891777269</v>
      </c>
      <c r="R74" s="10">
        <f>Kl*EXP(-EXP(-(Tabella3[[#This Row],[Day]]-t0l)/wl))*EXP(-(Tabella3[[#This Row],[Day]]-t0l)/wl)/wl</f>
        <v>60.884393738665402</v>
      </c>
      <c r="S74" s="10">
        <f>Tabella3[[#This Row],[Lombardy fit]]*NOT(ISBLANK(Tabella3[[#This Row],[Lombardy]]))</f>
        <v>0</v>
      </c>
      <c r="W74" s="10"/>
      <c r="X74" s="10">
        <f>Tabella3[[#This Row],[rest of Italy]]*NOT(ISBLANK(Tabella3[[#This Row],[rest of Italy]]))</f>
        <v>0</v>
      </c>
      <c r="Y74" s="10">
        <f>Ka*EXP(-EXP(-(Tabella3[[#This Row],[Day]]-t0a)/wa))</f>
        <v>12383.250829791259</v>
      </c>
      <c r="Z74" s="10">
        <f>Ka*EXP(-EXP(-(Tabella3[[#This Row],[Day]]-t0a)/wa))*EXP(-(Tabella3[[#This Row],[Day]]-t0a)/wa)/wa</f>
        <v>97.342514914072282</v>
      </c>
      <c r="AA74" s="10">
        <f>Tabella3[[#This Row],[rest of Italy fit]]*NOT(ISBLANK(Tabella3[[#This Row],[rest of Italy]]))</f>
        <v>0</v>
      </c>
    </row>
    <row r="75" spans="2:27" x14ac:dyDescent="0.3">
      <c r="B75" s="9">
        <v>43952</v>
      </c>
      <c r="C75" s="4">
        <f t="shared" si="1"/>
        <v>67</v>
      </c>
      <c r="E75" s="10"/>
      <c r="F75" s="10">
        <f>Tabella3[[#This Row],[Italy]]*NOT(ISBLANK(Tabella3[[#This Row],[Italy]]))</f>
        <v>0</v>
      </c>
      <c r="G75" s="10">
        <f>Tabella3[[#This Row],[Cum_L_fit]]+Tabella3[[#This Row],[Cum_o_fit]]</f>
        <v>25576.304822355924</v>
      </c>
      <c r="H75" s="10">
        <f>Tabella3[[#This Row],[Lombardy fit]]+Tabella3[[#This Row],[rest of Italy fit]]</f>
        <v>147.43077977519238</v>
      </c>
      <c r="I75" s="10">
        <f>Kf*EXP(-EXP(-(Tabella3[[#This Row],[Day]]-t0f)/wf))*EXP(-(Tabella3[[#This Row],[Day]]-t0f)/wf)/wf</f>
        <v>143.91192177749764</v>
      </c>
      <c r="J75" s="10">
        <f>Tabella3[[#This Row],[Italy sum]]*NOT(ISBLANK(Tabella3[[#This Row],[Italy]]))</f>
        <v>0</v>
      </c>
      <c r="K75" s="10">
        <f>Tabella3[[#This Row],[Italy fit]]*NOT(ISBLANK(Tabella3[[#This Row],[Italy]]))</f>
        <v>0</v>
      </c>
      <c r="O75" s="10"/>
      <c r="P75" s="10">
        <f>Tabella3[[#This Row],[Lombardy]]*NOT(ISBLANK(Tabella3[[#This Row],[Lombardy]]))</f>
        <v>0</v>
      </c>
      <c r="Q75" s="10">
        <f>Kl*EXP(-EXP(-(Tabella3[[#This Row],[Day]]-t0l)/wl))</f>
        <v>13098.871390615606</v>
      </c>
      <c r="R75" s="10">
        <f>Kl*EXP(-EXP(-(Tabella3[[#This Row],[Day]]-t0l)/wl))*EXP(-(Tabella3[[#This Row],[Day]]-t0l)/wl)/wl</f>
        <v>56.347566226768606</v>
      </c>
      <c r="S75" s="10">
        <f>Tabella3[[#This Row],[Lombardy fit]]*NOT(ISBLANK(Tabella3[[#This Row],[Lombardy]]))</f>
        <v>0</v>
      </c>
      <c r="W75" s="10"/>
      <c r="X75" s="10">
        <f>Tabella3[[#This Row],[rest of Italy]]*NOT(ISBLANK(Tabella3[[#This Row],[rest of Italy]]))</f>
        <v>0</v>
      </c>
      <c r="Y75" s="10">
        <f>Ka*EXP(-EXP(-(Tabella3[[#This Row],[Day]]-t0a)/wa))</f>
        <v>12477.433431740315</v>
      </c>
      <c r="Z75" s="10">
        <f>Ka*EXP(-EXP(-(Tabella3[[#This Row],[Day]]-t0a)/wa))*EXP(-(Tabella3[[#This Row],[Day]]-t0a)/wa)/wa</f>
        <v>91.083213548423771</v>
      </c>
      <c r="AA75" s="10">
        <f>Tabella3[[#This Row],[rest of Italy fit]]*NOT(ISBLANK(Tabella3[[#This Row],[rest of Italy]]))</f>
        <v>0</v>
      </c>
    </row>
    <row r="76" spans="2:27" x14ac:dyDescent="0.3">
      <c r="B76" s="9">
        <v>43953</v>
      </c>
      <c r="C76" s="4">
        <f t="shared" si="1"/>
        <v>68</v>
      </c>
      <c r="E76" s="10"/>
      <c r="F76" s="10">
        <f>Tabella3[[#This Row],[Italy]]*NOT(ISBLANK(Tabella3[[#This Row],[Italy]]))</f>
        <v>0</v>
      </c>
      <c r="G76" s="10">
        <f>Tabella3[[#This Row],[Cum_L_fit]]+Tabella3[[#This Row],[Cum_o_fit]]</f>
        <v>25718.620644976385</v>
      </c>
      <c r="H76" s="10">
        <f>Tabella3[[#This Row],[Lombardy fit]]+Tabella3[[#This Row],[rest of Italy fit]]</f>
        <v>137.31074365061221</v>
      </c>
      <c r="I76" s="10">
        <f>Kf*EXP(-EXP(-(Tabella3[[#This Row],[Day]]-t0f)/wf))*EXP(-(Tabella3[[#This Row],[Day]]-t0f)/wf)/wf</f>
        <v>133.93069105293566</v>
      </c>
      <c r="J76" s="10">
        <f>Tabella3[[#This Row],[Italy sum]]*NOT(ISBLANK(Tabella3[[#This Row],[Italy]]))</f>
        <v>0</v>
      </c>
      <c r="K76" s="10">
        <f>Tabella3[[#This Row],[Italy fit]]*NOT(ISBLANK(Tabella3[[#This Row],[Italy]]))</f>
        <v>0</v>
      </c>
      <c r="O76" s="10"/>
      <c r="P76" s="10">
        <f>Tabella3[[#This Row],[Lombardy]]*NOT(ISBLANK(Tabella3[[#This Row],[Lombardy]]))</f>
        <v>0</v>
      </c>
      <c r="Q76" s="10">
        <f>Kl*EXP(-EXP(-(Tabella3[[#This Row],[Day]]-t0l)/wl))</f>
        <v>13153.084576181323</v>
      </c>
      <c r="R76" s="10">
        <f>Kl*EXP(-EXP(-(Tabella3[[#This Row],[Day]]-t0l)/wl))*EXP(-(Tabella3[[#This Row],[Day]]-t0l)/wl)/wl</f>
        <v>52.130418196675194</v>
      </c>
      <c r="S76" s="10">
        <f>Tabella3[[#This Row],[Lombardy fit]]*NOT(ISBLANK(Tabella3[[#This Row],[Lombardy]]))</f>
        <v>0</v>
      </c>
      <c r="W76" s="10"/>
      <c r="X76" s="10">
        <f>Tabella3[[#This Row],[rest of Italy]]*NOT(ISBLANK(Tabella3[[#This Row],[rest of Italy]]))</f>
        <v>0</v>
      </c>
      <c r="Y76" s="10">
        <f>Ka*EXP(-EXP(-(Tabella3[[#This Row],[Day]]-t0a)/wa))</f>
        <v>12565.53606879506</v>
      </c>
      <c r="Z76" s="10">
        <f>Ka*EXP(-EXP(-(Tabella3[[#This Row],[Day]]-t0a)/wa))*EXP(-(Tabella3[[#This Row],[Day]]-t0a)/wa)/wa</f>
        <v>85.180325453937016</v>
      </c>
      <c r="AA76" s="10">
        <f>Tabella3[[#This Row],[rest of Italy fit]]*NOT(ISBLANK(Tabella3[[#This Row],[rest of Italy]]))</f>
        <v>0</v>
      </c>
    </row>
    <row r="77" spans="2:27" x14ac:dyDescent="0.3">
      <c r="B77" s="9">
        <v>43954</v>
      </c>
      <c r="C77" s="4">
        <f t="shared" si="1"/>
        <v>69</v>
      </c>
      <c r="E77" s="10"/>
      <c r="F77" s="10">
        <f>Tabella3[[#This Row],[Italy]]*NOT(ISBLANK(Tabella3[[#This Row],[Italy]]))</f>
        <v>0</v>
      </c>
      <c r="G77" s="10">
        <f>Tabella3[[#This Row],[Cum_L_fit]]+Tabella3[[#This Row],[Cum_o_fit]]</f>
        <v>25851.140477827561</v>
      </c>
      <c r="H77" s="10">
        <f>Tabella3[[#This Row],[Lombardy fit]]+Tabella3[[#This Row],[rest of Italy fit]]</f>
        <v>127.83322327997283</v>
      </c>
      <c r="I77" s="10">
        <f>Kf*EXP(-EXP(-(Tabella3[[#This Row],[Day]]-t0f)/wf))*EXP(-(Tabella3[[#This Row],[Day]]-t0f)/wf)/wf</f>
        <v>124.59132172508146</v>
      </c>
      <c r="J77" s="10">
        <f>Tabella3[[#This Row],[Italy sum]]*NOT(ISBLANK(Tabella3[[#This Row],[Italy]]))</f>
        <v>0</v>
      </c>
      <c r="K77" s="10">
        <f>Tabella3[[#This Row],[Italy fit]]*NOT(ISBLANK(Tabella3[[#This Row],[Italy]]))</f>
        <v>0</v>
      </c>
      <c r="O77" s="10"/>
      <c r="P77" s="10">
        <f>Tabella3[[#This Row],[Lombardy]]*NOT(ISBLANK(Tabella3[[#This Row],[Lombardy]]))</f>
        <v>0</v>
      </c>
      <c r="Q77" s="10">
        <f>Kl*EXP(-EXP(-(Tabella3[[#This Row],[Day]]-t0l)/wl))</f>
        <v>13203.232202812262</v>
      </c>
      <c r="R77" s="10">
        <f>Kl*EXP(-EXP(-(Tabella3[[#This Row],[Day]]-t0l)/wl))*EXP(-(Tabella3[[#This Row],[Day]]-t0l)/wl)/wl</f>
        <v>48.213223499620327</v>
      </c>
      <c r="S77" s="10">
        <f>Tabella3[[#This Row],[Lombardy fit]]*NOT(ISBLANK(Tabella3[[#This Row],[Lombardy]]))</f>
        <v>0</v>
      </c>
      <c r="W77" s="10"/>
      <c r="X77" s="10">
        <f>Tabella3[[#This Row],[rest of Italy]]*NOT(ISBLANK(Tabella3[[#This Row],[rest of Italy]]))</f>
        <v>0</v>
      </c>
      <c r="Y77" s="10">
        <f>Ka*EXP(-EXP(-(Tabella3[[#This Row],[Day]]-t0a)/wa))</f>
        <v>12647.908275015299</v>
      </c>
      <c r="Z77" s="10">
        <f>Ka*EXP(-EXP(-(Tabella3[[#This Row],[Day]]-t0a)/wa))*EXP(-(Tabella3[[#This Row],[Day]]-t0a)/wa)/wa</f>
        <v>79.619999780352501</v>
      </c>
      <c r="AA77" s="10">
        <f>Tabella3[[#This Row],[rest of Italy fit]]*NOT(ISBLANK(Tabella3[[#This Row],[rest of Italy]]))</f>
        <v>0</v>
      </c>
    </row>
    <row r="78" spans="2:27" x14ac:dyDescent="0.3">
      <c r="B78" s="9">
        <v>43955</v>
      </c>
      <c r="C78" s="4">
        <f t="shared" si="1"/>
        <v>70</v>
      </c>
      <c r="E78" s="10"/>
      <c r="F78" s="10">
        <f>Tabella3[[#This Row],[Italy]]*NOT(ISBLANK(Tabella3[[#This Row],[Italy]]))</f>
        <v>0</v>
      </c>
      <c r="G78" s="10">
        <f>Tabella3[[#This Row],[Cum_L_fit]]+Tabella3[[#This Row],[Cum_o_fit]]</f>
        <v>25974.490174818799</v>
      </c>
      <c r="H78" s="10">
        <f>Tabella3[[#This Row],[Lombardy fit]]+Tabella3[[#This Row],[rest of Italy fit]]</f>
        <v>118.96497216129615</v>
      </c>
      <c r="I78" s="10">
        <f>Kf*EXP(-EXP(-(Tabella3[[#This Row],[Day]]-t0f)/wf))*EXP(-(Tabella3[[#This Row],[Day]]-t0f)/wf)/wf</f>
        <v>115.85983128695831</v>
      </c>
      <c r="J78" s="10">
        <f>Tabella3[[#This Row],[Italy sum]]*NOT(ISBLANK(Tabella3[[#This Row],[Italy]]))</f>
        <v>0</v>
      </c>
      <c r="K78" s="10">
        <f>Tabella3[[#This Row],[Italy fit]]*NOT(ISBLANK(Tabella3[[#This Row],[Italy]]))</f>
        <v>0</v>
      </c>
      <c r="O78" s="10"/>
      <c r="P78" s="10">
        <f>Tabella3[[#This Row],[Lombardy]]*NOT(ISBLANK(Tabella3[[#This Row],[Lombardy]]))</f>
        <v>0</v>
      </c>
      <c r="Q78" s="10">
        <f>Kl*EXP(-EXP(-(Tabella3[[#This Row],[Day]]-t0l)/wl))</f>
        <v>13249.604681444273</v>
      </c>
      <c r="R78" s="10">
        <f>Kl*EXP(-EXP(-(Tabella3[[#This Row],[Day]]-t0l)/wl))*EXP(-(Tabella3[[#This Row],[Day]]-t0l)/wl)/wl</f>
        <v>44.57703108132506</v>
      </c>
      <c r="S78" s="10">
        <f>Tabella3[[#This Row],[Lombardy fit]]*NOT(ISBLANK(Tabella3[[#This Row],[Lombardy]]))</f>
        <v>0</v>
      </c>
      <c r="W78" s="10"/>
      <c r="X78" s="10">
        <f>Tabella3[[#This Row],[rest of Italy]]*NOT(ISBLANK(Tabella3[[#This Row],[rest of Italy]]))</f>
        <v>0</v>
      </c>
      <c r="Y78" s="10">
        <f>Ka*EXP(-EXP(-(Tabella3[[#This Row],[Day]]-t0a)/wa))</f>
        <v>12724.885493374528</v>
      </c>
      <c r="Z78" s="10">
        <f>Ka*EXP(-EXP(-(Tabella3[[#This Row],[Day]]-t0a)/wa))*EXP(-(Tabella3[[#This Row],[Day]]-t0a)/wa)/wa</f>
        <v>74.387941079971085</v>
      </c>
      <c r="AA78" s="10">
        <f>Tabella3[[#This Row],[rest of Italy fit]]*NOT(ISBLANK(Tabella3[[#This Row],[rest of Italy]]))</f>
        <v>0</v>
      </c>
    </row>
  </sheetData>
  <mergeCells count="8">
    <mergeCell ref="AS8:AS17"/>
    <mergeCell ref="B2:F2"/>
    <mergeCell ref="F3:F6"/>
    <mergeCell ref="AH3:AL3"/>
    <mergeCell ref="B4:E4"/>
    <mergeCell ref="B5:E5"/>
    <mergeCell ref="AH4:AL4"/>
    <mergeCell ref="AH5:AL5"/>
  </mergeCells>
  <pageMargins left="0.7" right="0.7" top="0.75" bottom="0.75" header="0.3" footer="0.3"/>
  <drawing r:id="rId1"/>
  <legacyDrawing r:id="rId2"/>
  <tableParts count="5">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05EB14-AEBC-4B5D-B827-B6FF39F42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67</vt:i4>
      </vt:variant>
    </vt:vector>
  </HeadingPairs>
  <TitlesOfParts>
    <vt:vector size="71" baseType="lpstr">
      <vt:lpstr>dpc-covid19-ita-andamento-naz</vt:lpstr>
      <vt:lpstr>dpc-covid19-ita-regioni</vt:lpstr>
      <vt:lpstr>Cumul_deaths - Gompertz</vt:lpstr>
      <vt:lpstr>New_deaths - Gompertz</vt:lpstr>
      <vt:lpstr>CI</vt:lpstr>
      <vt:lpstr>CIa</vt:lpstr>
      <vt:lpstr>CIf</vt:lpstr>
      <vt:lpstr>CIl</vt:lpstr>
      <vt:lpstr>CIo</vt:lpstr>
      <vt:lpstr>CIr</vt:lpstr>
      <vt:lpstr>CIt</vt:lpstr>
      <vt:lpstr>CIw</vt:lpstr>
      <vt:lpstr>Critical_t</vt:lpstr>
      <vt:lpstr>Critical_ta</vt:lpstr>
      <vt:lpstr>Critical_tf</vt:lpstr>
      <vt:lpstr>Critical_tl</vt:lpstr>
      <vt:lpstr>Critical_to</vt:lpstr>
      <vt:lpstr>Critical_tr</vt:lpstr>
      <vt:lpstr>Critical_tt</vt:lpstr>
      <vt:lpstr>Critical_tw</vt:lpstr>
      <vt:lpstr>df</vt:lpstr>
      <vt:lpstr>dfa</vt:lpstr>
      <vt:lpstr>dff</vt:lpstr>
      <vt:lpstr>dfl</vt:lpstr>
      <vt:lpstr>dfo</vt:lpstr>
      <vt:lpstr>dfr</vt:lpstr>
      <vt:lpstr>dft</vt:lpstr>
      <vt:lpstr>dfw</vt:lpstr>
      <vt:lpstr>Ka</vt:lpstr>
      <vt:lpstr>Kf</vt:lpstr>
      <vt:lpstr>Kl</vt:lpstr>
      <vt:lpstr>Ko</vt:lpstr>
      <vt:lpstr>Kr</vt:lpstr>
      <vt:lpstr>Kt</vt:lpstr>
      <vt:lpstr>Mean_of_y</vt:lpstr>
      <vt:lpstr>Mean_of_ya</vt:lpstr>
      <vt:lpstr>Mean_of_yf</vt:lpstr>
      <vt:lpstr>Mean_of_yl</vt:lpstr>
      <vt:lpstr>Mean_of_yo</vt:lpstr>
      <vt:lpstr>Mean_of_yr</vt:lpstr>
      <vt:lpstr>Mean_of_yt</vt:lpstr>
      <vt:lpstr>Mean_of_yw</vt:lpstr>
      <vt:lpstr>Peak_w</vt:lpstr>
      <vt:lpstr>RSQ</vt:lpstr>
      <vt:lpstr>RSQa</vt:lpstr>
      <vt:lpstr>RSQf</vt:lpstr>
      <vt:lpstr>RSQl</vt:lpstr>
      <vt:lpstr>RSQo</vt:lpstr>
      <vt:lpstr>RSQr</vt:lpstr>
      <vt:lpstr>RSQt</vt:lpstr>
      <vt:lpstr>RSQw</vt:lpstr>
      <vt:lpstr>SE_of_y</vt:lpstr>
      <vt:lpstr>SE_of_ya</vt:lpstr>
      <vt:lpstr>SE_of_yf</vt:lpstr>
      <vt:lpstr>SE_of_yl</vt:lpstr>
      <vt:lpstr>SE_of_yo</vt:lpstr>
      <vt:lpstr>SE_of_yr</vt:lpstr>
      <vt:lpstr>SE_of_yt</vt:lpstr>
      <vt:lpstr>SE_of_yw</vt:lpstr>
      <vt:lpstr>t0a</vt:lpstr>
      <vt:lpstr>t0f</vt:lpstr>
      <vt:lpstr>t0l</vt:lpstr>
      <vt:lpstr>t0o</vt:lpstr>
      <vt:lpstr>t0r</vt:lpstr>
      <vt:lpstr>t0t</vt:lpstr>
      <vt:lpstr>wa</vt:lpstr>
      <vt:lpstr>wf</vt:lpstr>
      <vt:lpstr>wl</vt:lpstr>
      <vt:lpstr>wo</vt:lpstr>
      <vt:lpstr>wr</vt:lpstr>
      <vt:lpstr>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2020-04-13T01:01:14Z</dcterms:modified>
</cp:coreProperties>
</file>