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3E2AA996-86D4-4369-9F3D-992343BE580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ExpPwLaw" sheetId="12" r:id="rId2"/>
    <sheet name="New_confirmed - ExpPwLaw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ExpPwLaw'!$AG$16</definedName>
    <definedName name="CId">'New_confirmed - ExpPwLaw'!$AG$28</definedName>
    <definedName name="CIh">'Cumul_confirmed - ExpPwLaw'!$AG$40</definedName>
    <definedName name="CIn">'New_confirmed - ExpPwLaw'!$AG$16</definedName>
    <definedName name="CIr">'Cumul_confirmed - ExpPwLaw'!$AG$28</definedName>
    <definedName name="CIt">'New_confirmed - ExpPwLaw'!$AG$40</definedName>
    <definedName name="Critical_t">'Cumul_confirmed - ExpPwLaw'!$AG$15</definedName>
    <definedName name="Critical_td">'New_confirmed - ExpPwLaw'!$AG$27</definedName>
    <definedName name="Critical_th">'Cumul_confirmed - ExpPwLaw'!$AG$39</definedName>
    <definedName name="Critical_tn">'New_confirmed - ExpPwLaw'!$AG$15</definedName>
    <definedName name="Critical_tr">'Cumul_confirmed - ExpPwLaw'!$AG$27</definedName>
    <definedName name="Critical_tt">'New_confirmed - ExpPwLaw'!$AG$39</definedName>
    <definedName name="DatiEsterni_1" localSheetId="0" hidden="1">'dpc-covid19-ita-andamento-naz'!$A$1:$O$51</definedName>
    <definedName name="DatiEsterni_2" localSheetId="0" hidden="1">'dpc-covid19-ita-andamento-naz'!#REF!</definedName>
    <definedName name="df">'Cumul_confirmed - ExpPwLaw'!$AG$12</definedName>
    <definedName name="dfd">'New_confirmed - ExpPwLaw'!$AG$24</definedName>
    <definedName name="dfh">'Cumul_confirmed - ExpPwLaw'!$AG$36</definedName>
    <definedName name="dfn">'New_confirmed - ExpPwLaw'!$AG$12</definedName>
    <definedName name="dfr">'Cumul_confirmed - ExpPwLaw'!$AG$24</definedName>
    <definedName name="dft">'New_confirmed - ExpPwLaw'!$AG$36</definedName>
    <definedName name="dpc_covid19_ita_andamento_nazionale_1" localSheetId="1" hidden="1">'Cumul_confirmed - ExpPwLaw'!#REF!</definedName>
    <definedName name="k">'Cumul_confirmed - ExpPwLaw'!$AG$8</definedName>
    <definedName name="kd">'New_confirmed - ExpPwLaw'!$AG$20</definedName>
    <definedName name="kh">'Cumul_confirmed - ExpPwLaw'!$AG$32</definedName>
    <definedName name="kn">'New_confirmed - ExpPwLaw'!$AG$8</definedName>
    <definedName name="kr">'Cumul_confirmed - ExpPwLaw'!$AG$20</definedName>
    <definedName name="kt">'New_confirmed - ExpPwLaw'!$AG$32</definedName>
    <definedName name="Mean_of_y">'Cumul_confirmed - ExpPwLaw'!$AG$11</definedName>
    <definedName name="Mean_of_yd">'New_confirmed - ExpPwLaw'!$AG$23</definedName>
    <definedName name="Mean_of_yh">'Cumul_confirmed - ExpPwLaw'!$AG$35</definedName>
    <definedName name="Mean_of_yn">'New_confirmed - ExpPwLaw'!$AG$11</definedName>
    <definedName name="Mean_of_yr">'Cumul_confirmed - ExpPwLaw'!$AG$23</definedName>
    <definedName name="Mean_of_yt">'New_confirmed - ExpPwLaw'!$AG$35</definedName>
    <definedName name="Peak">'Cumul_confirmed - ExpPwLaw'!$AG$17</definedName>
    <definedName name="Peak_d">'New_confirmed - ExpPwLaw'!$AG$29</definedName>
    <definedName name="Peak_h">'Cumul_confirmed - ExpPwLaw'!$AG$41</definedName>
    <definedName name="Peak_n">'New_confirmed - ExpPwLaw'!$AG$17</definedName>
    <definedName name="Peak_r">'Cumul_confirmed - ExpPwLaw'!$AG$29</definedName>
    <definedName name="Peak_t">'New_confirmed - ExpPwLaw'!$AG$41</definedName>
    <definedName name="RSQ">'Cumul_confirmed - ExpPwLaw'!$AG$14</definedName>
    <definedName name="RSQd">'New_confirmed - ExpPwLaw'!$AG$26</definedName>
    <definedName name="RSQh">'Cumul_confirmed - ExpPwLaw'!$AG$38</definedName>
    <definedName name="RSQn">'New_confirmed - ExpPwLaw'!$AG$14</definedName>
    <definedName name="RSQr">'Cumul_confirmed - ExpPwLaw'!$AG$26</definedName>
    <definedName name="RSQt">'New_confirmed - ExpPwLaw'!$AG$38</definedName>
    <definedName name="SE_of_y">'Cumul_confirmed - ExpPwLaw'!$AG$13</definedName>
    <definedName name="SE_of_yd">'New_confirmed - ExpPwLaw'!$AG$25</definedName>
    <definedName name="SE_of_yh">'Cumul_confirmed - ExpPwLaw'!$AG$37</definedName>
    <definedName name="SE_of_yn">'New_confirmed - ExpPwLaw'!$AG$13</definedName>
    <definedName name="SE_of_yr">'Cumul_confirmed - ExpPwLaw'!$AG$25</definedName>
    <definedName name="SE_of_yt">'New_confirmed - ExpPwLaw'!$AG$37</definedName>
    <definedName name="solver_adj" localSheetId="1" hidden="1">'Cumul_confirmed - ExpPwLaw'!$AG$20,'Cumul_confirmed - ExpPwLaw'!$AG$21,'Cumul_confirmed - ExpPwLaw'!$AG$22</definedName>
    <definedName name="solver_adj" localSheetId="2" hidden="1">'New_confirmed - ExpPwLaw'!$AG$8,'New_confirmed - ExpPwLaw'!$AG$9,'New_confirmed - ExpPwLaw'!$AG$10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ExpPwLaw'!$AG$29</definedName>
    <definedName name="solver_lhs1" localSheetId="2" hidden="1">'New_confirmed - ExpPwLaw'!$AG$9</definedName>
    <definedName name="solver_lhs2" localSheetId="1" hidden="1">'Cumul_confirmed - ExpPwLaw'!$N$8</definedName>
    <definedName name="solver_lhs2" localSheetId="2" hidden="1">'New_confirmed - ExpPwLaw'!$AG$9</definedName>
    <definedName name="solver_lhs3" localSheetId="1" hidden="1">'Cumul_confirmed - ExpPwLaw'!$N$9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1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ExpPwLaw'!$AG$26</definedName>
    <definedName name="solver_opt" localSheetId="2" hidden="1">'New_confirmed - ExpPwLaw'!$AG$14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2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Peak-Peak_h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">'Cumul_confirmed - ExpPwLaw'!$AG$18</definedName>
    <definedName name="t_d">'New_confirmed - ExpPwLaw'!$AG$30</definedName>
    <definedName name="t_h">'Cumul_confirmed - ExpPwLaw'!$AG$42</definedName>
    <definedName name="t_n">'New_confirmed - ExpPwLaw'!$AG$18</definedName>
    <definedName name="t_r">'Cumul_confirmed - ExpPwLaw'!$AG$30</definedName>
    <definedName name="t_t">'New_confirmed - ExpPwLaw'!$AG$42</definedName>
    <definedName name="t0">'Cumul_confirmed - ExpPwLaw'!$AG$9</definedName>
    <definedName name="t0d">'New_confirmed - ExpPwLaw'!$AG$21</definedName>
    <definedName name="t0f">'New_confirmed - ExpPwLaw'!$AF$45</definedName>
    <definedName name="t0h">'Cumul_confirmed - ExpPwLaw'!$AG$33</definedName>
    <definedName name="t0n">'New_confirmed - ExpPwLaw'!$AG$9</definedName>
    <definedName name="t0r">'Cumul_confirmed - ExpPwLaw'!$AG$21</definedName>
    <definedName name="t0t">'New_confirmed - ExpPwLaw'!$AG$33</definedName>
    <definedName name="w">'Cumul_confirmed - ExpPwLaw'!$AG$10</definedName>
    <definedName name="wd">'New_confirmed - ExpPwLaw'!$AG$22</definedName>
    <definedName name="wf">'New_confirmed - ExpPwLaw'!$AF$46</definedName>
    <definedName name="wh">'Cumul_confirmed - ExpPwLaw'!$AG$34</definedName>
    <definedName name="wn">'New_confirmed - ExpPwLaw'!$AG$10</definedName>
    <definedName name="wr">'Cumul_confirmed - ExpPwLaw'!$AG$22</definedName>
    <definedName name="wt">'New_confirmed - ExpPwLaw'!$AG$34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22" i="12" l="1"/>
  <c r="AT21" i="12"/>
  <c r="AT20" i="12"/>
  <c r="AT19" i="12"/>
  <c r="AT18" i="12"/>
  <c r="AT11" i="12" l="1"/>
  <c r="AT10" i="12"/>
  <c r="AT9" i="12"/>
  <c r="AT31" i="12"/>
  <c r="AT30" i="12"/>
  <c r="AT29" i="12"/>
  <c r="AG34" i="19" l="1"/>
  <c r="AG33" i="19"/>
  <c r="AG32" i="19"/>
  <c r="AG22" i="19"/>
  <c r="AG21" i="19"/>
  <c r="AG20" i="19"/>
  <c r="AG10" i="19"/>
  <c r="AG9" i="19"/>
  <c r="AG8" i="19"/>
  <c r="W55" i="19"/>
  <c r="X56" i="19" s="1"/>
  <c r="X55" i="19"/>
  <c r="W56" i="19"/>
  <c r="W57" i="19"/>
  <c r="X57" i="19"/>
  <c r="O55" i="19"/>
  <c r="P55" i="19"/>
  <c r="O56" i="19"/>
  <c r="P57" i="19" s="1"/>
  <c r="P56" i="19"/>
  <c r="O57" i="19"/>
  <c r="L55" i="19"/>
  <c r="M55" i="19"/>
  <c r="L56" i="19"/>
  <c r="M56" i="19"/>
  <c r="L57" i="19"/>
  <c r="M57" i="19"/>
  <c r="D54" i="19"/>
  <c r="E54" i="19"/>
  <c r="D55" i="19"/>
  <c r="E55" i="19"/>
  <c r="D56" i="19"/>
  <c r="E56" i="19"/>
  <c r="D57" i="19"/>
  <c r="E57" i="19"/>
  <c r="W55" i="12"/>
  <c r="X55" i="12" s="1"/>
  <c r="W56" i="12"/>
  <c r="W57" i="12"/>
  <c r="X57" i="12" s="1"/>
  <c r="O54" i="12"/>
  <c r="P55" i="12" s="1"/>
  <c r="P54" i="12"/>
  <c r="O55" i="12"/>
  <c r="O56" i="12"/>
  <c r="P56" i="12"/>
  <c r="O57" i="12"/>
  <c r="P57" i="12"/>
  <c r="L54" i="12"/>
  <c r="M54" i="12"/>
  <c r="L55" i="12"/>
  <c r="M55" i="12"/>
  <c r="L56" i="12"/>
  <c r="M56" i="12"/>
  <c r="L57" i="12"/>
  <c r="M57" i="12"/>
  <c r="E54" i="12"/>
  <c r="E55" i="12"/>
  <c r="E56" i="12"/>
  <c r="E57" i="12"/>
  <c r="D54" i="12"/>
  <c r="D55" i="12"/>
  <c r="D56" i="12"/>
  <c r="D57" i="12"/>
  <c r="X56" i="12" l="1"/>
  <c r="W53" i="12"/>
  <c r="W54" i="12"/>
  <c r="X54" i="12" s="1"/>
  <c r="L53" i="12"/>
  <c r="D53" i="12"/>
  <c r="E53" i="12"/>
  <c r="W53" i="19" l="1"/>
  <c r="X54" i="19" s="1"/>
  <c r="W54" i="19"/>
  <c r="O53" i="19"/>
  <c r="P54" i="19" s="1"/>
  <c r="O54" i="19"/>
  <c r="M53" i="19"/>
  <c r="M54" i="19"/>
  <c r="L53" i="19"/>
  <c r="L54" i="19"/>
  <c r="E53" i="19"/>
  <c r="D53" i="19"/>
  <c r="O53" i="12" l="1"/>
  <c r="L52" i="12"/>
  <c r="M52" i="12"/>
  <c r="M53" i="12"/>
  <c r="D52" i="12"/>
  <c r="E52" i="12"/>
  <c r="W52" i="19"/>
  <c r="X53" i="19" s="1"/>
  <c r="O52" i="19"/>
  <c r="P53" i="19" s="1"/>
  <c r="L52" i="19"/>
  <c r="M52" i="19"/>
  <c r="E52" i="19"/>
  <c r="D52" i="19"/>
  <c r="AT11" i="19" l="1"/>
  <c r="AT10" i="19"/>
  <c r="AT9" i="19"/>
  <c r="AT21" i="19"/>
  <c r="AT20" i="19"/>
  <c r="AT19" i="19"/>
  <c r="AT31" i="19"/>
  <c r="AT30" i="19"/>
  <c r="AT29" i="19"/>
  <c r="AG41" i="19"/>
  <c r="AG29" i="19"/>
  <c r="AG17" i="19"/>
  <c r="AA9" i="19"/>
  <c r="AA10" i="19"/>
  <c r="AA11" i="19"/>
  <c r="AA12" i="19"/>
  <c r="AA13" i="19"/>
  <c r="AA14" i="19"/>
  <c r="AA15" i="19"/>
  <c r="AA16" i="19"/>
  <c r="AA17" i="19"/>
  <c r="AA18" i="19"/>
  <c r="AA19" i="19"/>
  <c r="AA20" i="19"/>
  <c r="AA21" i="19"/>
  <c r="AA22" i="19"/>
  <c r="AA23" i="19"/>
  <c r="AA24" i="19"/>
  <c r="AA25" i="19"/>
  <c r="AA26" i="19"/>
  <c r="AA27" i="19"/>
  <c r="AA28" i="19"/>
  <c r="AA29" i="19"/>
  <c r="AA30" i="19"/>
  <c r="AA31" i="19"/>
  <c r="AA32" i="19"/>
  <c r="AA33" i="19"/>
  <c r="AA34" i="19"/>
  <c r="AA35" i="19"/>
  <c r="AA36" i="19"/>
  <c r="AA37" i="19"/>
  <c r="AA38" i="19"/>
  <c r="AA39" i="19"/>
  <c r="AA40" i="19"/>
  <c r="AA41" i="19"/>
  <c r="AA42" i="19"/>
  <c r="AA43" i="19"/>
  <c r="AA44" i="19"/>
  <c r="AA45" i="19"/>
  <c r="AA46" i="19"/>
  <c r="AA47" i="19"/>
  <c r="AA48" i="19"/>
  <c r="AA49" i="19"/>
  <c r="AA50" i="19"/>
  <c r="AA51" i="19"/>
  <c r="AA52" i="19"/>
  <c r="AA53" i="19"/>
  <c r="AA54" i="19"/>
  <c r="AA55" i="19"/>
  <c r="AA56" i="19"/>
  <c r="AA57" i="19"/>
  <c r="AA58" i="19"/>
  <c r="AA59" i="19"/>
  <c r="AA60" i="19"/>
  <c r="AA61" i="19"/>
  <c r="AA62" i="19"/>
  <c r="AA63" i="19"/>
  <c r="AA64" i="19"/>
  <c r="AA65" i="19"/>
  <c r="AA66" i="19"/>
  <c r="AA67" i="19"/>
  <c r="AA68" i="19"/>
  <c r="AA69" i="19"/>
  <c r="AA70" i="19"/>
  <c r="AA71" i="19"/>
  <c r="AA72" i="19"/>
  <c r="AA73" i="19"/>
  <c r="AA74" i="19"/>
  <c r="AA75" i="19"/>
  <c r="AA76" i="19"/>
  <c r="AA77" i="19"/>
  <c r="AA78" i="19"/>
  <c r="AA8" i="19"/>
  <c r="Z9" i="19"/>
  <c r="Z10" i="19"/>
  <c r="Z11" i="19"/>
  <c r="Z12" i="19"/>
  <c r="Z13" i="19"/>
  <c r="Z14" i="19"/>
  <c r="Z15" i="19"/>
  <c r="Z16" i="19"/>
  <c r="Z17" i="19"/>
  <c r="Z18" i="19"/>
  <c r="Z19" i="19"/>
  <c r="Z20" i="19"/>
  <c r="Z21" i="19"/>
  <c r="Z22" i="19"/>
  <c r="Z23" i="19"/>
  <c r="Z24" i="19"/>
  <c r="Z25" i="19"/>
  <c r="Z26" i="19"/>
  <c r="Z27" i="19"/>
  <c r="Z28" i="19"/>
  <c r="Z29" i="19"/>
  <c r="Z30" i="19"/>
  <c r="Z31" i="19"/>
  <c r="Z32" i="19"/>
  <c r="Z33" i="19"/>
  <c r="Z34" i="19"/>
  <c r="Z35" i="19"/>
  <c r="Z36" i="19"/>
  <c r="Z37" i="19"/>
  <c r="Z38" i="19"/>
  <c r="Z39" i="19"/>
  <c r="Z40" i="19"/>
  <c r="Z41" i="19"/>
  <c r="Z42" i="19"/>
  <c r="Z43" i="19"/>
  <c r="Z44" i="19"/>
  <c r="Z45" i="19"/>
  <c r="Z46" i="19"/>
  <c r="Z47" i="19"/>
  <c r="Z48" i="19"/>
  <c r="Z49" i="19"/>
  <c r="Z50" i="19"/>
  <c r="Z51" i="19"/>
  <c r="Z52" i="19"/>
  <c r="Z53" i="19"/>
  <c r="Z54" i="19"/>
  <c r="Z55" i="19"/>
  <c r="Z56" i="19"/>
  <c r="Z57" i="19"/>
  <c r="Z58" i="19"/>
  <c r="Z59" i="19"/>
  <c r="Z60" i="19"/>
  <c r="Z61" i="19"/>
  <c r="Z62" i="19"/>
  <c r="Z63" i="19"/>
  <c r="Z64" i="19"/>
  <c r="Z65" i="19"/>
  <c r="Z66" i="19"/>
  <c r="Z67" i="19"/>
  <c r="Z68" i="19"/>
  <c r="Z69" i="19"/>
  <c r="Z70" i="19"/>
  <c r="Z71" i="19"/>
  <c r="Z72" i="19"/>
  <c r="Z73" i="19"/>
  <c r="Z74" i="19"/>
  <c r="Z75" i="19"/>
  <c r="Z76" i="19"/>
  <c r="Z77" i="19"/>
  <c r="Z78" i="19"/>
  <c r="Z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8" i="19"/>
  <c r="W51" i="12"/>
  <c r="W52" i="12"/>
  <c r="X53" i="12" s="1"/>
  <c r="O51" i="12"/>
  <c r="O52" i="12"/>
  <c r="P53" i="12" s="1"/>
  <c r="M51" i="12"/>
  <c r="L51" i="12"/>
  <c r="E51" i="12"/>
  <c r="D51" i="12"/>
  <c r="W50" i="19"/>
  <c r="W51" i="19"/>
  <c r="X52" i="19" s="1"/>
  <c r="O51" i="19"/>
  <c r="M51" i="19"/>
  <c r="L51" i="19"/>
  <c r="E51" i="19"/>
  <c r="D51" i="19"/>
  <c r="X51" i="19" l="1"/>
  <c r="X52" i="12"/>
  <c r="Q53" i="19"/>
  <c r="P52" i="12"/>
  <c r="P52" i="19"/>
  <c r="Q52" i="19" s="1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Y52" i="12"/>
  <c r="F52" i="12"/>
  <c r="Y51" i="12"/>
  <c r="W50" i="12"/>
  <c r="X51" i="12" s="1"/>
  <c r="O50" i="12"/>
  <c r="P51" i="12" s="1"/>
  <c r="M50" i="12"/>
  <c r="L50" i="12"/>
  <c r="E50" i="12"/>
  <c r="D50" i="12"/>
  <c r="F50" i="12" s="1"/>
  <c r="W49" i="12"/>
  <c r="O49" i="12"/>
  <c r="M49" i="12"/>
  <c r="L49" i="12"/>
  <c r="E49" i="12"/>
  <c r="D49" i="12"/>
  <c r="F49" i="12" s="1"/>
  <c r="W48" i="12"/>
  <c r="Y48" i="12" s="1"/>
  <c r="O48" i="12"/>
  <c r="Q48" i="12" s="1"/>
  <c r="M48" i="12"/>
  <c r="L48" i="12"/>
  <c r="E48" i="12"/>
  <c r="D48" i="12"/>
  <c r="F48" i="12" s="1"/>
  <c r="W47" i="12"/>
  <c r="O47" i="12"/>
  <c r="Q47" i="12" s="1"/>
  <c r="M47" i="12"/>
  <c r="L47" i="12"/>
  <c r="E47" i="12"/>
  <c r="D47" i="12"/>
  <c r="F47" i="12" s="1"/>
  <c r="W46" i="12"/>
  <c r="O46" i="12"/>
  <c r="Q46" i="12" s="1"/>
  <c r="M46" i="12"/>
  <c r="L46" i="12"/>
  <c r="E46" i="12"/>
  <c r="D46" i="12"/>
  <c r="F46" i="12" s="1"/>
  <c r="W45" i="12"/>
  <c r="Y45" i="12" s="1"/>
  <c r="O45" i="12"/>
  <c r="M45" i="12"/>
  <c r="L45" i="12"/>
  <c r="E45" i="12"/>
  <c r="D45" i="12"/>
  <c r="F45" i="12" s="1"/>
  <c r="W44" i="12"/>
  <c r="Y44" i="12" s="1"/>
  <c r="O44" i="12"/>
  <c r="M44" i="12"/>
  <c r="L44" i="12"/>
  <c r="E44" i="12"/>
  <c r="D44" i="12"/>
  <c r="F44" i="12" s="1"/>
  <c r="W43" i="12"/>
  <c r="O43" i="12"/>
  <c r="Q43" i="12" s="1"/>
  <c r="M43" i="12"/>
  <c r="L43" i="12"/>
  <c r="E43" i="12"/>
  <c r="D43" i="12"/>
  <c r="W42" i="12"/>
  <c r="O42" i="12"/>
  <c r="Q42" i="12" s="1"/>
  <c r="M42" i="12"/>
  <c r="L42" i="12"/>
  <c r="E42" i="12"/>
  <c r="D42" i="12"/>
  <c r="W41" i="12"/>
  <c r="O41" i="12"/>
  <c r="Q41" i="12" s="1"/>
  <c r="M41" i="12"/>
  <c r="L41" i="12"/>
  <c r="E41" i="12"/>
  <c r="D41" i="12"/>
  <c r="W40" i="12"/>
  <c r="Y40" i="12" s="1"/>
  <c r="O40" i="12"/>
  <c r="Q40" i="12" s="1"/>
  <c r="M40" i="12"/>
  <c r="L40" i="12"/>
  <c r="E40" i="12"/>
  <c r="D40" i="12"/>
  <c r="W39" i="12"/>
  <c r="Y39" i="12" s="1"/>
  <c r="O39" i="12"/>
  <c r="M39" i="12"/>
  <c r="L39" i="12"/>
  <c r="E39" i="12"/>
  <c r="D39" i="12"/>
  <c r="F39" i="12" s="1"/>
  <c r="W38" i="12"/>
  <c r="O38" i="12"/>
  <c r="Q38" i="12" s="1"/>
  <c r="M38" i="12"/>
  <c r="L38" i="12"/>
  <c r="E38" i="12"/>
  <c r="D38" i="12"/>
  <c r="F38" i="12" s="1"/>
  <c r="W37" i="12"/>
  <c r="Y37" i="12" s="1"/>
  <c r="O37" i="12"/>
  <c r="Q37" i="12" s="1"/>
  <c r="M37" i="12"/>
  <c r="L37" i="12"/>
  <c r="E37" i="12"/>
  <c r="D37" i="12"/>
  <c r="F37" i="12" s="1"/>
  <c r="W36" i="12"/>
  <c r="Y36" i="12" s="1"/>
  <c r="O36" i="12"/>
  <c r="Q36" i="12" s="1"/>
  <c r="M36" i="12"/>
  <c r="L36" i="12"/>
  <c r="E36" i="12"/>
  <c r="D36" i="12"/>
  <c r="F36" i="12" s="1"/>
  <c r="W35" i="12"/>
  <c r="O35" i="12"/>
  <c r="Q35" i="12" s="1"/>
  <c r="M35" i="12"/>
  <c r="L35" i="12"/>
  <c r="E35" i="12"/>
  <c r="D35" i="12"/>
  <c r="W34" i="12"/>
  <c r="Y34" i="12" s="1"/>
  <c r="O34" i="12"/>
  <c r="M34" i="12"/>
  <c r="L34" i="12"/>
  <c r="E34" i="12"/>
  <c r="D34" i="12"/>
  <c r="W33" i="12"/>
  <c r="Y33" i="12" s="1"/>
  <c r="O33" i="12"/>
  <c r="Q33" i="12" s="1"/>
  <c r="M33" i="12"/>
  <c r="L33" i="12"/>
  <c r="E33" i="12"/>
  <c r="D33" i="12"/>
  <c r="F33" i="12" s="1"/>
  <c r="W32" i="12"/>
  <c r="Y32" i="12" s="1"/>
  <c r="O32" i="12"/>
  <c r="M32" i="12"/>
  <c r="L32" i="12"/>
  <c r="E32" i="12"/>
  <c r="D32" i="12"/>
  <c r="F32" i="12" s="1"/>
  <c r="W31" i="12"/>
  <c r="Y31" i="12" s="1"/>
  <c r="O31" i="12"/>
  <c r="M31" i="12"/>
  <c r="L31" i="12"/>
  <c r="E31" i="12"/>
  <c r="D31" i="12"/>
  <c r="F31" i="12" s="1"/>
  <c r="W30" i="12"/>
  <c r="Y30" i="12" s="1"/>
  <c r="O30" i="12"/>
  <c r="Q30" i="12" s="1"/>
  <c r="M30" i="12"/>
  <c r="L30" i="12"/>
  <c r="E30" i="12"/>
  <c r="D30" i="12"/>
  <c r="F30" i="12" s="1"/>
  <c r="W29" i="12"/>
  <c r="Y29" i="12" s="1"/>
  <c r="O29" i="12"/>
  <c r="Q29" i="12" s="1"/>
  <c r="M29" i="12"/>
  <c r="L29" i="12"/>
  <c r="E29" i="12"/>
  <c r="D29" i="12"/>
  <c r="F29" i="12" s="1"/>
  <c r="W28" i="12"/>
  <c r="Y28" i="12" s="1"/>
  <c r="O28" i="12"/>
  <c r="Q28" i="12" s="1"/>
  <c r="M28" i="12"/>
  <c r="L28" i="12"/>
  <c r="E28" i="12"/>
  <c r="D28" i="12"/>
  <c r="F28" i="12" s="1"/>
  <c r="W27" i="12"/>
  <c r="Y27" i="12" s="1"/>
  <c r="O27" i="12"/>
  <c r="Q27" i="12" s="1"/>
  <c r="M27" i="12"/>
  <c r="L27" i="12"/>
  <c r="E27" i="12"/>
  <c r="D27" i="12"/>
  <c r="F27" i="12" s="1"/>
  <c r="W26" i="12"/>
  <c r="O26" i="12"/>
  <c r="M26" i="12"/>
  <c r="L26" i="12"/>
  <c r="E26" i="12"/>
  <c r="D26" i="12"/>
  <c r="W25" i="12"/>
  <c r="O25" i="12"/>
  <c r="M25" i="12"/>
  <c r="L25" i="12"/>
  <c r="E25" i="12"/>
  <c r="D25" i="12"/>
  <c r="F25" i="12" s="1"/>
  <c r="W24" i="12"/>
  <c r="Y24" i="12" s="1"/>
  <c r="O24" i="12"/>
  <c r="Q24" i="12" s="1"/>
  <c r="M24" i="12"/>
  <c r="L24" i="12"/>
  <c r="E24" i="12"/>
  <c r="D24" i="12"/>
  <c r="AT23" i="12"/>
  <c r="W23" i="12"/>
  <c r="O23" i="12"/>
  <c r="M23" i="12"/>
  <c r="L23" i="12"/>
  <c r="E23" i="12"/>
  <c r="D23" i="12"/>
  <c r="F23" i="12" s="1"/>
  <c r="W22" i="12"/>
  <c r="O22" i="12"/>
  <c r="M22" i="12"/>
  <c r="L22" i="12"/>
  <c r="E22" i="12"/>
  <c r="D22" i="12"/>
  <c r="F22" i="12" s="1"/>
  <c r="W21" i="12"/>
  <c r="Y21" i="12" s="1"/>
  <c r="O21" i="12"/>
  <c r="Q21" i="12" s="1"/>
  <c r="M21" i="12"/>
  <c r="L21" i="12"/>
  <c r="E21" i="12"/>
  <c r="D21" i="12"/>
  <c r="F21" i="12" s="1"/>
  <c r="W20" i="12"/>
  <c r="O20" i="12"/>
  <c r="Q20" i="12" s="1"/>
  <c r="M20" i="12"/>
  <c r="L20" i="12"/>
  <c r="E20" i="12"/>
  <c r="D20" i="12"/>
  <c r="F20" i="12" s="1"/>
  <c r="W19" i="12"/>
  <c r="Y19" i="12" s="1"/>
  <c r="O19" i="12"/>
  <c r="M19" i="12"/>
  <c r="L19" i="12"/>
  <c r="E19" i="12"/>
  <c r="D19" i="12"/>
  <c r="F19" i="12" s="1"/>
  <c r="W18" i="12"/>
  <c r="O18" i="12"/>
  <c r="M18" i="12"/>
  <c r="L18" i="12"/>
  <c r="E18" i="12"/>
  <c r="D18" i="12"/>
  <c r="F18" i="12" s="1"/>
  <c r="W17" i="12"/>
  <c r="Y17" i="12" s="1"/>
  <c r="O17" i="12"/>
  <c r="M17" i="12"/>
  <c r="L17" i="12"/>
  <c r="E17" i="12"/>
  <c r="D17" i="12"/>
  <c r="W16" i="12"/>
  <c r="Y16" i="12" s="1"/>
  <c r="O16" i="12"/>
  <c r="M16" i="12"/>
  <c r="L16" i="12"/>
  <c r="E16" i="12"/>
  <c r="D16" i="12"/>
  <c r="W15" i="12"/>
  <c r="Y15" i="12" s="1"/>
  <c r="O15" i="12"/>
  <c r="M15" i="12"/>
  <c r="L15" i="12"/>
  <c r="E15" i="12"/>
  <c r="D15" i="12"/>
  <c r="W14" i="12"/>
  <c r="Y14" i="12" s="1"/>
  <c r="O14" i="12"/>
  <c r="M14" i="12"/>
  <c r="L14" i="12"/>
  <c r="E14" i="12"/>
  <c r="D14" i="12"/>
  <c r="AT13" i="12"/>
  <c r="W13" i="12"/>
  <c r="O13" i="12"/>
  <c r="M13" i="12"/>
  <c r="L13" i="12"/>
  <c r="E13" i="12"/>
  <c r="D13" i="12"/>
  <c r="AT12" i="12"/>
  <c r="W12" i="12"/>
  <c r="Y12" i="12" s="1"/>
  <c r="O12" i="12"/>
  <c r="Q12" i="12" s="1"/>
  <c r="M12" i="12"/>
  <c r="L12" i="12"/>
  <c r="E12" i="12"/>
  <c r="D12" i="12"/>
  <c r="W11" i="12"/>
  <c r="O11" i="12"/>
  <c r="Q11" i="12" s="1"/>
  <c r="M11" i="12"/>
  <c r="L11" i="12"/>
  <c r="E11" i="12"/>
  <c r="D11" i="12"/>
  <c r="W10" i="12"/>
  <c r="Y10" i="12" s="1"/>
  <c r="O10" i="12"/>
  <c r="M10" i="12"/>
  <c r="L10" i="12"/>
  <c r="E10" i="12"/>
  <c r="D10" i="12"/>
  <c r="F10" i="12" s="1"/>
  <c r="W9" i="12"/>
  <c r="Y9" i="12" s="1"/>
  <c r="O9" i="12"/>
  <c r="Q9" i="12" s="1"/>
  <c r="M9" i="12"/>
  <c r="L9" i="12"/>
  <c r="E9" i="12"/>
  <c r="D9" i="12"/>
  <c r="F9" i="12" s="1"/>
  <c r="C9" i="12"/>
  <c r="W8" i="12"/>
  <c r="Y8" i="12" s="1"/>
  <c r="O8" i="12"/>
  <c r="Q8" i="12" s="1"/>
  <c r="M8" i="12"/>
  <c r="L8" i="12"/>
  <c r="E8" i="12"/>
  <c r="D8" i="12"/>
  <c r="H143" i="12"/>
  <c r="D143" i="12"/>
  <c r="H142" i="12"/>
  <c r="D142" i="12"/>
  <c r="H141" i="12"/>
  <c r="D141" i="12"/>
  <c r="H140" i="12"/>
  <c r="D140" i="12"/>
  <c r="H139" i="12"/>
  <c r="D139" i="12"/>
  <c r="H138" i="12"/>
  <c r="D138" i="12"/>
  <c r="H137" i="12"/>
  <c r="D137" i="12"/>
  <c r="H136" i="12"/>
  <c r="D136" i="12"/>
  <c r="H135" i="12"/>
  <c r="D135" i="12"/>
  <c r="H134" i="12"/>
  <c r="D134" i="12"/>
  <c r="H133" i="12"/>
  <c r="D133" i="12"/>
  <c r="H132" i="12"/>
  <c r="D132" i="12"/>
  <c r="H131" i="12"/>
  <c r="D131" i="12"/>
  <c r="H130" i="12"/>
  <c r="D130" i="12"/>
  <c r="H129" i="12"/>
  <c r="D129" i="12"/>
  <c r="H128" i="12"/>
  <c r="D128" i="12"/>
  <c r="H127" i="12"/>
  <c r="D127" i="12"/>
  <c r="H126" i="12"/>
  <c r="D126" i="12"/>
  <c r="H125" i="12"/>
  <c r="D125" i="12"/>
  <c r="H124" i="12"/>
  <c r="D124" i="12"/>
  <c r="H123" i="12"/>
  <c r="D123" i="12"/>
  <c r="H122" i="12"/>
  <c r="D122" i="12"/>
  <c r="H121" i="12"/>
  <c r="D121" i="12"/>
  <c r="H120" i="12"/>
  <c r="D120" i="12"/>
  <c r="H119" i="12"/>
  <c r="D119" i="12"/>
  <c r="H118" i="12"/>
  <c r="D118" i="12"/>
  <c r="H117" i="12"/>
  <c r="D117" i="12"/>
  <c r="H116" i="12"/>
  <c r="D116" i="12"/>
  <c r="H115" i="12"/>
  <c r="D115" i="12"/>
  <c r="AB114" i="12"/>
  <c r="H114" i="12"/>
  <c r="D114" i="12"/>
  <c r="AB113" i="12"/>
  <c r="H113" i="12"/>
  <c r="D113" i="12"/>
  <c r="AB112" i="12"/>
  <c r="H112" i="12"/>
  <c r="D112" i="12"/>
  <c r="AB111" i="12"/>
  <c r="H111" i="12"/>
  <c r="D111" i="12"/>
  <c r="H110" i="12"/>
  <c r="D110" i="12"/>
  <c r="H109" i="12"/>
  <c r="D109" i="12"/>
  <c r="H108" i="12"/>
  <c r="D108" i="12"/>
  <c r="H107" i="12"/>
  <c r="D107" i="12"/>
  <c r="H106" i="12"/>
  <c r="D106" i="12"/>
  <c r="H105" i="12"/>
  <c r="D105" i="12"/>
  <c r="AB104" i="12"/>
  <c r="H104" i="12"/>
  <c r="D104" i="12"/>
  <c r="AB103" i="12"/>
  <c r="H103" i="12"/>
  <c r="D103" i="12"/>
  <c r="N102" i="12" s="1"/>
  <c r="AB102" i="12"/>
  <c r="AB101" i="12"/>
  <c r="O50" i="19"/>
  <c r="P51" i="19" s="1"/>
  <c r="M50" i="19"/>
  <c r="L50" i="19"/>
  <c r="E50" i="19"/>
  <c r="D50" i="19"/>
  <c r="Y8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Y77" i="19"/>
  <c r="Y78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8" i="19"/>
  <c r="X27" i="12" l="1"/>
  <c r="AG29" i="12"/>
  <c r="P40" i="12"/>
  <c r="X12" i="12"/>
  <c r="P14" i="12"/>
  <c r="X20" i="12"/>
  <c r="AA60" i="12"/>
  <c r="Z28" i="12"/>
  <c r="Z35" i="12"/>
  <c r="Z52" i="12"/>
  <c r="Z21" i="12"/>
  <c r="Z22" i="12"/>
  <c r="Z23" i="12"/>
  <c r="Z42" i="12"/>
  <c r="Z55" i="12"/>
  <c r="AA26" i="12"/>
  <c r="Z75" i="12"/>
  <c r="Z76" i="12"/>
  <c r="Z65" i="12"/>
  <c r="Z66" i="12"/>
  <c r="Z67" i="12"/>
  <c r="Z45" i="12"/>
  <c r="Z46" i="12"/>
  <c r="Z47" i="12"/>
  <c r="Z33" i="12"/>
  <c r="AA38" i="12"/>
  <c r="AA16" i="12"/>
  <c r="AA17" i="12"/>
  <c r="Z77" i="12"/>
  <c r="Z78" i="12"/>
  <c r="Z8" i="12"/>
  <c r="AB8" i="12" s="1"/>
  <c r="Z57" i="12"/>
  <c r="Z58" i="12"/>
  <c r="Z59" i="12"/>
  <c r="Z43" i="12"/>
  <c r="Z54" i="12"/>
  <c r="AA50" i="12"/>
  <c r="AA28" i="12"/>
  <c r="AA29" i="12"/>
  <c r="AA18" i="12"/>
  <c r="AA19" i="12"/>
  <c r="AA20" i="12"/>
  <c r="Z69" i="12"/>
  <c r="Z70" i="12"/>
  <c r="Z71" i="12"/>
  <c r="Z41" i="12"/>
  <c r="Z53" i="12"/>
  <c r="AA62" i="12"/>
  <c r="AA40" i="12"/>
  <c r="AA41" i="12"/>
  <c r="AA30" i="12"/>
  <c r="AA31" i="12"/>
  <c r="AA32" i="12"/>
  <c r="AA10" i="12"/>
  <c r="AA11" i="12"/>
  <c r="AA12" i="12"/>
  <c r="Z34" i="12"/>
  <c r="AA74" i="12"/>
  <c r="AA52" i="12"/>
  <c r="AA53" i="12"/>
  <c r="AA42" i="12"/>
  <c r="AA43" i="12"/>
  <c r="AA44" i="12"/>
  <c r="AA22" i="12"/>
  <c r="AA23" i="12"/>
  <c r="AA24" i="12"/>
  <c r="AA14" i="12"/>
  <c r="AA64" i="12"/>
  <c r="AA65" i="12"/>
  <c r="AA54" i="12"/>
  <c r="AA55" i="12"/>
  <c r="AA56" i="12"/>
  <c r="AA34" i="12"/>
  <c r="AA35" i="12"/>
  <c r="AA36" i="12"/>
  <c r="Z73" i="12"/>
  <c r="Z63" i="12"/>
  <c r="Z25" i="12"/>
  <c r="AA76" i="12"/>
  <c r="AA77" i="12"/>
  <c r="AA66" i="12"/>
  <c r="AA67" i="12"/>
  <c r="AA68" i="12"/>
  <c r="AA46" i="12"/>
  <c r="AA47" i="12"/>
  <c r="AA48" i="12"/>
  <c r="Z64" i="12"/>
  <c r="Z37" i="12"/>
  <c r="Z15" i="12"/>
  <c r="Z16" i="12"/>
  <c r="AG41" i="12"/>
  <c r="AA78" i="12"/>
  <c r="AA8" i="12"/>
  <c r="AA58" i="12"/>
  <c r="AA59" i="12"/>
  <c r="Z49" i="12"/>
  <c r="Z27" i="12"/>
  <c r="Z17" i="12"/>
  <c r="Z18" i="12"/>
  <c r="Z19" i="12"/>
  <c r="AA70" i="12"/>
  <c r="AA71" i="12"/>
  <c r="AA72" i="12"/>
  <c r="Z51" i="12"/>
  <c r="AA13" i="12"/>
  <c r="Z14" i="12"/>
  <c r="Z26" i="12"/>
  <c r="Z38" i="12"/>
  <c r="Z50" i="12"/>
  <c r="Z62" i="12"/>
  <c r="Z74" i="12"/>
  <c r="AA15" i="12"/>
  <c r="AA27" i="12"/>
  <c r="AA39" i="12"/>
  <c r="AA51" i="12"/>
  <c r="AA63" i="12"/>
  <c r="AA75" i="12"/>
  <c r="AA37" i="12"/>
  <c r="AA25" i="12"/>
  <c r="AA49" i="12"/>
  <c r="Z72" i="12"/>
  <c r="Z36" i="12"/>
  <c r="Z48" i="12"/>
  <c r="Z20" i="12"/>
  <c r="Z32" i="12"/>
  <c r="Z44" i="12"/>
  <c r="Z56" i="12"/>
  <c r="Z68" i="12"/>
  <c r="AA9" i="12"/>
  <c r="AA21" i="12"/>
  <c r="AA33" i="12"/>
  <c r="AA45" i="12"/>
  <c r="AA57" i="12"/>
  <c r="AA69" i="12"/>
  <c r="Z60" i="12"/>
  <c r="AA61" i="12"/>
  <c r="Z24" i="12"/>
  <c r="AA73" i="12"/>
  <c r="Z12" i="12"/>
  <c r="Z61" i="12"/>
  <c r="Z39" i="12"/>
  <c r="Z40" i="12"/>
  <c r="Z29" i="12"/>
  <c r="Z30" i="12"/>
  <c r="Z31" i="12"/>
  <c r="Z9" i="12"/>
  <c r="AB9" i="12" s="1"/>
  <c r="Z10" i="12"/>
  <c r="Z11" i="12"/>
  <c r="Z13" i="12"/>
  <c r="P32" i="12"/>
  <c r="P41" i="12"/>
  <c r="X42" i="12"/>
  <c r="X44" i="12"/>
  <c r="X45" i="12"/>
  <c r="P50" i="12"/>
  <c r="P47" i="12"/>
  <c r="P27" i="12"/>
  <c r="X48" i="12"/>
  <c r="P33" i="12"/>
  <c r="P21" i="12"/>
  <c r="P24" i="12"/>
  <c r="Q26" i="12"/>
  <c r="Y49" i="12"/>
  <c r="X50" i="12"/>
  <c r="P30" i="12"/>
  <c r="P17" i="12"/>
  <c r="P19" i="12"/>
  <c r="P22" i="12"/>
  <c r="X36" i="12"/>
  <c r="G72" i="12"/>
  <c r="I72" i="12" s="1"/>
  <c r="H23" i="12"/>
  <c r="H30" i="12"/>
  <c r="H31" i="12"/>
  <c r="H35" i="12"/>
  <c r="H19" i="12"/>
  <c r="H42" i="12"/>
  <c r="H43" i="12"/>
  <c r="H47" i="12"/>
  <c r="H55" i="12"/>
  <c r="H59" i="12"/>
  <c r="H54" i="12"/>
  <c r="H66" i="12"/>
  <c r="H67" i="12"/>
  <c r="H71" i="12"/>
  <c r="H78" i="12"/>
  <c r="H8" i="12"/>
  <c r="G12" i="12"/>
  <c r="I12" i="12" s="1"/>
  <c r="G19" i="12"/>
  <c r="I19" i="12" s="1"/>
  <c r="G20" i="12"/>
  <c r="I20" i="12" s="1"/>
  <c r="G24" i="12"/>
  <c r="I24" i="12" s="1"/>
  <c r="G31" i="12"/>
  <c r="I31" i="12" s="1"/>
  <c r="G32" i="12"/>
  <c r="I32" i="12" s="1"/>
  <c r="G36" i="12"/>
  <c r="I36" i="12" s="1"/>
  <c r="G43" i="12"/>
  <c r="I43" i="12" s="1"/>
  <c r="G44" i="12"/>
  <c r="I44" i="12" s="1"/>
  <c r="G48" i="12"/>
  <c r="I48" i="12" s="1"/>
  <c r="G55" i="12"/>
  <c r="G56" i="12"/>
  <c r="G60" i="12"/>
  <c r="I60" i="12" s="1"/>
  <c r="G67" i="12"/>
  <c r="I67" i="12" s="1"/>
  <c r="G68" i="12"/>
  <c r="I68" i="12" s="1"/>
  <c r="H13" i="12"/>
  <c r="H25" i="12"/>
  <c r="H37" i="12"/>
  <c r="H49" i="12"/>
  <c r="H61" i="12"/>
  <c r="H73" i="12"/>
  <c r="G14" i="12"/>
  <c r="I14" i="12" s="1"/>
  <c r="G26" i="12"/>
  <c r="I26" i="12" s="1"/>
  <c r="G38" i="12"/>
  <c r="I38" i="12" s="1"/>
  <c r="G50" i="12"/>
  <c r="I50" i="12" s="1"/>
  <c r="G62" i="12"/>
  <c r="I62" i="12" s="1"/>
  <c r="G74" i="12"/>
  <c r="I74" i="12" s="1"/>
  <c r="H14" i="12"/>
  <c r="H26" i="12"/>
  <c r="H38" i="12"/>
  <c r="H50" i="12"/>
  <c r="H62" i="12"/>
  <c r="H74" i="12"/>
  <c r="G15" i="12"/>
  <c r="I15" i="12" s="1"/>
  <c r="G27" i="12"/>
  <c r="I27" i="12" s="1"/>
  <c r="G39" i="12"/>
  <c r="G51" i="12"/>
  <c r="I51" i="12" s="1"/>
  <c r="G63" i="12"/>
  <c r="I63" i="12" s="1"/>
  <c r="G75" i="12"/>
  <c r="I75" i="12" s="1"/>
  <c r="H15" i="12"/>
  <c r="H27" i="12"/>
  <c r="H39" i="12"/>
  <c r="H51" i="12"/>
  <c r="H63" i="12"/>
  <c r="H75" i="12"/>
  <c r="G16" i="12"/>
  <c r="I16" i="12" s="1"/>
  <c r="G28" i="12"/>
  <c r="I28" i="12" s="1"/>
  <c r="G40" i="12"/>
  <c r="I40" i="12" s="1"/>
  <c r="G52" i="12"/>
  <c r="I52" i="12" s="1"/>
  <c r="G64" i="12"/>
  <c r="I64" i="12" s="1"/>
  <c r="G76" i="12"/>
  <c r="I76" i="12" s="1"/>
  <c r="H16" i="12"/>
  <c r="H28" i="12"/>
  <c r="H40" i="12"/>
  <c r="H52" i="12"/>
  <c r="H64" i="12"/>
  <c r="H76" i="12"/>
  <c r="G17" i="12"/>
  <c r="I17" i="12" s="1"/>
  <c r="G29" i="12"/>
  <c r="I29" i="12" s="1"/>
  <c r="G41" i="12"/>
  <c r="I41" i="12" s="1"/>
  <c r="G53" i="12"/>
  <c r="I53" i="12" s="1"/>
  <c r="G65" i="12"/>
  <c r="I65" i="12" s="1"/>
  <c r="G77" i="12"/>
  <c r="I77" i="12" s="1"/>
  <c r="AG17" i="12"/>
  <c r="H17" i="12"/>
  <c r="H29" i="12"/>
  <c r="H41" i="12"/>
  <c r="H53" i="12"/>
  <c r="H65" i="12"/>
  <c r="H77" i="12"/>
  <c r="G18" i="12"/>
  <c r="I18" i="12" s="1"/>
  <c r="G30" i="12"/>
  <c r="I30" i="12" s="1"/>
  <c r="G42" i="12"/>
  <c r="I42" i="12" s="1"/>
  <c r="G54" i="12"/>
  <c r="G66" i="12"/>
  <c r="I66" i="12" s="1"/>
  <c r="G78" i="12"/>
  <c r="I78" i="12" s="1"/>
  <c r="H72" i="12"/>
  <c r="H20" i="12"/>
  <c r="H32" i="12"/>
  <c r="H44" i="12"/>
  <c r="H56" i="12"/>
  <c r="H68" i="12"/>
  <c r="G9" i="12"/>
  <c r="I9" i="12" s="1"/>
  <c r="G21" i="12"/>
  <c r="I21" i="12" s="1"/>
  <c r="G33" i="12"/>
  <c r="I33" i="12" s="1"/>
  <c r="G45" i="12"/>
  <c r="I45" i="12" s="1"/>
  <c r="G57" i="12"/>
  <c r="G69" i="12"/>
  <c r="I69" i="12" s="1"/>
  <c r="H9" i="12"/>
  <c r="H21" i="12"/>
  <c r="H33" i="12"/>
  <c r="H45" i="12"/>
  <c r="H57" i="12"/>
  <c r="H69" i="12"/>
  <c r="G10" i="12"/>
  <c r="I10" i="12" s="1"/>
  <c r="G22" i="12"/>
  <c r="I22" i="12" s="1"/>
  <c r="G34" i="12"/>
  <c r="I34" i="12" s="1"/>
  <c r="G46" i="12"/>
  <c r="I46" i="12" s="1"/>
  <c r="G58" i="12"/>
  <c r="I58" i="12" s="1"/>
  <c r="G70" i="12"/>
  <c r="I70" i="12" s="1"/>
  <c r="G13" i="12"/>
  <c r="I13" i="12" s="1"/>
  <c r="H10" i="12"/>
  <c r="H22" i="12"/>
  <c r="H34" i="12"/>
  <c r="H46" i="12"/>
  <c r="H58" i="12"/>
  <c r="H70" i="12"/>
  <c r="G11" i="12"/>
  <c r="I11" i="12" s="1"/>
  <c r="G23" i="12"/>
  <c r="I23" i="12" s="1"/>
  <c r="G35" i="12"/>
  <c r="I35" i="12" s="1"/>
  <c r="G47" i="12"/>
  <c r="I47" i="12" s="1"/>
  <c r="G59" i="12"/>
  <c r="I59" i="12" s="1"/>
  <c r="G71" i="12"/>
  <c r="I71" i="12" s="1"/>
  <c r="H12" i="12"/>
  <c r="H24" i="12"/>
  <c r="H36" i="12"/>
  <c r="H48" i="12"/>
  <c r="H60" i="12"/>
  <c r="G25" i="12"/>
  <c r="I25" i="12" s="1"/>
  <c r="G37" i="12"/>
  <c r="I37" i="12" s="1"/>
  <c r="G49" i="12"/>
  <c r="I49" i="12" s="1"/>
  <c r="G61" i="12"/>
  <c r="I61" i="12" s="1"/>
  <c r="G73" i="12"/>
  <c r="I73" i="12" s="1"/>
  <c r="G8" i="12"/>
  <c r="I8" i="12" s="1"/>
  <c r="H11" i="12"/>
  <c r="H18" i="12"/>
  <c r="S8" i="12"/>
  <c r="R66" i="12"/>
  <c r="T66" i="12" s="1"/>
  <c r="R31" i="12"/>
  <c r="T31" i="12" s="1"/>
  <c r="R21" i="12"/>
  <c r="T21" i="12" s="1"/>
  <c r="S34" i="12"/>
  <c r="R23" i="12"/>
  <c r="T23" i="12" s="1"/>
  <c r="S30" i="12"/>
  <c r="S20" i="12"/>
  <c r="S21" i="12"/>
  <c r="S11" i="12"/>
  <c r="S12" i="12"/>
  <c r="S13" i="12"/>
  <c r="S14" i="12"/>
  <c r="S15" i="12"/>
  <c r="S16" i="12"/>
  <c r="S41" i="12"/>
  <c r="S42" i="12"/>
  <c r="R32" i="12"/>
  <c r="T32" i="12" s="1"/>
  <c r="R72" i="12"/>
  <c r="T72" i="12" s="1"/>
  <c r="S29" i="12"/>
  <c r="S32" i="12"/>
  <c r="S33" i="12"/>
  <c r="S23" i="12"/>
  <c r="S24" i="12"/>
  <c r="S25" i="12"/>
  <c r="S26" i="12"/>
  <c r="S27" i="12"/>
  <c r="S28" i="12"/>
  <c r="S53" i="12"/>
  <c r="S54" i="12"/>
  <c r="R73" i="12"/>
  <c r="T73" i="12" s="1"/>
  <c r="S31" i="12"/>
  <c r="S44" i="12"/>
  <c r="S45" i="12"/>
  <c r="S35" i="12"/>
  <c r="S36" i="12"/>
  <c r="S37" i="12"/>
  <c r="S38" i="12"/>
  <c r="S39" i="12"/>
  <c r="S40" i="12"/>
  <c r="S65" i="12"/>
  <c r="S66" i="12"/>
  <c r="R74" i="12"/>
  <c r="T74" i="12" s="1"/>
  <c r="S43" i="12"/>
  <c r="S56" i="12"/>
  <c r="S57" i="12"/>
  <c r="S47" i="12"/>
  <c r="S48" i="12"/>
  <c r="S49" i="12"/>
  <c r="S50" i="12"/>
  <c r="S51" i="12"/>
  <c r="S52" i="12"/>
  <c r="S77" i="12"/>
  <c r="S78" i="12"/>
  <c r="S9" i="12"/>
  <c r="R76" i="12"/>
  <c r="T76" i="12" s="1"/>
  <c r="S55" i="12"/>
  <c r="S68" i="12"/>
  <c r="S10" i="12"/>
  <c r="S59" i="12"/>
  <c r="S60" i="12"/>
  <c r="S61" i="12"/>
  <c r="S62" i="12"/>
  <c r="S63" i="12"/>
  <c r="S64" i="12"/>
  <c r="R18" i="12"/>
  <c r="T18" i="12" s="1"/>
  <c r="R19" i="12"/>
  <c r="T19" i="12" s="1"/>
  <c r="R68" i="12"/>
  <c r="T68" i="12" s="1"/>
  <c r="R75" i="12"/>
  <c r="T75" i="12" s="1"/>
  <c r="S67" i="12"/>
  <c r="R9" i="12"/>
  <c r="T9" i="12" s="1"/>
  <c r="S22" i="12"/>
  <c r="S71" i="12"/>
  <c r="S72" i="12"/>
  <c r="S73" i="12"/>
  <c r="S74" i="12"/>
  <c r="S75" i="12"/>
  <c r="S76" i="12"/>
  <c r="R30" i="12"/>
  <c r="T30" i="12" s="1"/>
  <c r="R12" i="12"/>
  <c r="T12" i="12" s="1"/>
  <c r="R13" i="12"/>
  <c r="T13" i="12" s="1"/>
  <c r="R14" i="12"/>
  <c r="T14" i="12" s="1"/>
  <c r="R15" i="12"/>
  <c r="T15" i="12" s="1"/>
  <c r="R16" i="12"/>
  <c r="T16" i="12" s="1"/>
  <c r="R17" i="12"/>
  <c r="T17" i="12" s="1"/>
  <c r="R42" i="12"/>
  <c r="T42" i="12" s="1"/>
  <c r="R43" i="12"/>
  <c r="T43" i="12" s="1"/>
  <c r="S69" i="12"/>
  <c r="R10" i="12"/>
  <c r="T10" i="12" s="1"/>
  <c r="R22" i="12"/>
  <c r="T22" i="12" s="1"/>
  <c r="R34" i="12"/>
  <c r="T34" i="12" s="1"/>
  <c r="R46" i="12"/>
  <c r="T46" i="12" s="1"/>
  <c r="R58" i="12"/>
  <c r="T58" i="12" s="1"/>
  <c r="R70" i="12"/>
  <c r="T70" i="12" s="1"/>
  <c r="R35" i="12"/>
  <c r="T35" i="12" s="1"/>
  <c r="R47" i="12"/>
  <c r="T47" i="12" s="1"/>
  <c r="R59" i="12"/>
  <c r="T59" i="12" s="1"/>
  <c r="R71" i="12"/>
  <c r="T71" i="12" s="1"/>
  <c r="R65" i="12"/>
  <c r="T65" i="12" s="1"/>
  <c r="R77" i="12"/>
  <c r="T77" i="12" s="1"/>
  <c r="R20" i="12"/>
  <c r="T20" i="12" s="1"/>
  <c r="R33" i="12"/>
  <c r="T33" i="12" s="1"/>
  <c r="S46" i="12"/>
  <c r="R24" i="12"/>
  <c r="T24" i="12" s="1"/>
  <c r="R25" i="12"/>
  <c r="T25" i="12" s="1"/>
  <c r="R26" i="12"/>
  <c r="T26" i="12" s="1"/>
  <c r="R27" i="12"/>
  <c r="T27" i="12" s="1"/>
  <c r="R28" i="12"/>
  <c r="T28" i="12" s="1"/>
  <c r="R29" i="12"/>
  <c r="T29" i="12" s="1"/>
  <c r="R54" i="12"/>
  <c r="T54" i="12" s="1"/>
  <c r="R55" i="12"/>
  <c r="R45" i="12"/>
  <c r="T45" i="12" s="1"/>
  <c r="R36" i="12"/>
  <c r="T36" i="12" s="1"/>
  <c r="R38" i="12"/>
  <c r="T38" i="12" s="1"/>
  <c r="R40" i="12"/>
  <c r="T40" i="12" s="1"/>
  <c r="R67" i="12"/>
  <c r="T67" i="12" s="1"/>
  <c r="R44" i="12"/>
  <c r="T44" i="12" s="1"/>
  <c r="R57" i="12"/>
  <c r="S70" i="12"/>
  <c r="R48" i="12"/>
  <c r="T48" i="12" s="1"/>
  <c r="R49" i="12"/>
  <c r="T49" i="12" s="1"/>
  <c r="R50" i="12"/>
  <c r="T50" i="12" s="1"/>
  <c r="R51" i="12"/>
  <c r="T51" i="12" s="1"/>
  <c r="R52" i="12"/>
  <c r="T52" i="12" s="1"/>
  <c r="R53" i="12"/>
  <c r="T53" i="12" s="1"/>
  <c r="R78" i="12"/>
  <c r="T78" i="12" s="1"/>
  <c r="R8" i="12"/>
  <c r="T8" i="12" s="1"/>
  <c r="S58" i="12"/>
  <c r="R37" i="12"/>
  <c r="T37" i="12" s="1"/>
  <c r="R39" i="12"/>
  <c r="T39" i="12" s="1"/>
  <c r="R41" i="12"/>
  <c r="T41" i="12" s="1"/>
  <c r="R56" i="12"/>
  <c r="R69" i="12"/>
  <c r="T69" i="12" s="1"/>
  <c r="R11" i="12"/>
  <c r="T11" i="12" s="1"/>
  <c r="R60" i="12"/>
  <c r="T60" i="12" s="1"/>
  <c r="R61" i="12"/>
  <c r="T61" i="12" s="1"/>
  <c r="R62" i="12"/>
  <c r="T62" i="12" s="1"/>
  <c r="R63" i="12"/>
  <c r="T63" i="12" s="1"/>
  <c r="R64" i="12"/>
  <c r="T64" i="12" s="1"/>
  <c r="S17" i="12"/>
  <c r="S18" i="12"/>
  <c r="S19" i="12"/>
  <c r="P35" i="12"/>
  <c r="AG12" i="12"/>
  <c r="AG15" i="12" s="1"/>
  <c r="P11" i="12"/>
  <c r="P39" i="12"/>
  <c r="F26" i="12"/>
  <c r="Q34" i="12"/>
  <c r="P46" i="12"/>
  <c r="F24" i="12"/>
  <c r="I39" i="12"/>
  <c r="Q52" i="12"/>
  <c r="F43" i="12"/>
  <c r="F17" i="12"/>
  <c r="Q51" i="12"/>
  <c r="Q17" i="12"/>
  <c r="Y41" i="12"/>
  <c r="P38" i="12"/>
  <c r="F42" i="12"/>
  <c r="F11" i="12"/>
  <c r="Q50" i="12"/>
  <c r="Q15" i="12"/>
  <c r="X17" i="12"/>
  <c r="X19" i="12"/>
  <c r="X24" i="12"/>
  <c r="X39" i="12"/>
  <c r="F41" i="12"/>
  <c r="Q44" i="12"/>
  <c r="Q14" i="12"/>
  <c r="X26" i="12"/>
  <c r="Q39" i="12"/>
  <c r="X11" i="12"/>
  <c r="P13" i="12"/>
  <c r="X14" i="12"/>
  <c r="X25" i="12"/>
  <c r="P28" i="12"/>
  <c r="X35" i="12"/>
  <c r="F40" i="12"/>
  <c r="F16" i="12"/>
  <c r="AG11" i="12"/>
  <c r="Q49" i="12"/>
  <c r="Q25" i="12"/>
  <c r="Q13" i="12"/>
  <c r="P23" i="12"/>
  <c r="X28" i="12"/>
  <c r="X33" i="12"/>
  <c r="P37" i="12"/>
  <c r="X40" i="12"/>
  <c r="F51" i="12"/>
  <c r="F15" i="12"/>
  <c r="Y50" i="12"/>
  <c r="Y38" i="12"/>
  <c r="Y26" i="12"/>
  <c r="P10" i="12"/>
  <c r="P9" i="12"/>
  <c r="X15" i="12"/>
  <c r="P20" i="12"/>
  <c r="P29" i="12"/>
  <c r="P34" i="12"/>
  <c r="X43" i="12"/>
  <c r="P44" i="12"/>
  <c r="F14" i="12"/>
  <c r="Q23" i="12"/>
  <c r="Y25" i="12"/>
  <c r="Y13" i="12"/>
  <c r="X38" i="12"/>
  <c r="Y52" i="19"/>
  <c r="P12" i="12"/>
  <c r="X23" i="12"/>
  <c r="X30" i="12"/>
  <c r="X37" i="12"/>
  <c r="F13" i="12"/>
  <c r="AG23" i="12"/>
  <c r="Q22" i="12"/>
  <c r="Q10" i="12"/>
  <c r="P31" i="12"/>
  <c r="X34" i="12"/>
  <c r="X47" i="12"/>
  <c r="P49" i="12"/>
  <c r="F12" i="12"/>
  <c r="AG24" i="12"/>
  <c r="AG27" i="12" s="1"/>
  <c r="Q45" i="12"/>
  <c r="Y47" i="12"/>
  <c r="Y35" i="12"/>
  <c r="Y23" i="12"/>
  <c r="Y11" i="12"/>
  <c r="N103" i="12"/>
  <c r="F35" i="12"/>
  <c r="Q32" i="12"/>
  <c r="Y46" i="12"/>
  <c r="Y22" i="12"/>
  <c r="N114" i="12"/>
  <c r="F34" i="12"/>
  <c r="Q31" i="12"/>
  <c r="Q19" i="12"/>
  <c r="AG35" i="12"/>
  <c r="X21" i="12"/>
  <c r="Q18" i="12"/>
  <c r="Y20" i="12"/>
  <c r="AG36" i="12"/>
  <c r="AG39" i="12" s="1"/>
  <c r="F8" i="12"/>
  <c r="Y43" i="12"/>
  <c r="Q16" i="12"/>
  <c r="Y42" i="12"/>
  <c r="Y18" i="12"/>
  <c r="X13" i="12"/>
  <c r="X16" i="12"/>
  <c r="X32" i="12"/>
  <c r="P26" i="12"/>
  <c r="P25" i="12"/>
  <c r="P16" i="12"/>
  <c r="P15" i="12"/>
  <c r="P18" i="12"/>
  <c r="X9" i="12"/>
  <c r="X10" i="12"/>
  <c r="X22" i="12"/>
  <c r="X31" i="12"/>
  <c r="P36" i="12"/>
  <c r="C10" i="12"/>
  <c r="X18" i="12"/>
  <c r="P43" i="12"/>
  <c r="P42" i="12"/>
  <c r="X29" i="12"/>
  <c r="X41" i="12"/>
  <c r="P45" i="12"/>
  <c r="X46" i="12"/>
  <c r="P48" i="12"/>
  <c r="X49" i="12"/>
  <c r="N113" i="12"/>
  <c r="T57" i="12" l="1"/>
  <c r="T56" i="12"/>
  <c r="T55" i="12"/>
  <c r="I54" i="12"/>
  <c r="I57" i="12"/>
  <c r="I56" i="12"/>
  <c r="I55" i="12"/>
  <c r="N8" i="12"/>
  <c r="E133" i="12"/>
  <c r="E114" i="12"/>
  <c r="E141" i="12"/>
  <c r="E127" i="12"/>
  <c r="E121" i="12"/>
  <c r="E132" i="12"/>
  <c r="E129" i="12"/>
  <c r="E104" i="12"/>
  <c r="E160" i="12"/>
  <c r="E154" i="12"/>
  <c r="E148" i="12"/>
  <c r="N108" i="12"/>
  <c r="E101" i="12"/>
  <c r="E119" i="12"/>
  <c r="E103" i="12"/>
  <c r="E142" i="12"/>
  <c r="E107" i="12"/>
  <c r="E109" i="12"/>
  <c r="E162" i="12"/>
  <c r="E131" i="12"/>
  <c r="E118" i="12"/>
  <c r="E134" i="12"/>
  <c r="E156" i="12"/>
  <c r="E125" i="12"/>
  <c r="E136" i="12"/>
  <c r="E161" i="12"/>
  <c r="E117" i="12"/>
  <c r="E149" i="12"/>
  <c r="E106" i="12"/>
  <c r="E108" i="12"/>
  <c r="E159" i="12"/>
  <c r="E153" i="12"/>
  <c r="E128" i="12"/>
  <c r="C11" i="12"/>
  <c r="AB10" i="12"/>
  <c r="N9" i="12"/>
  <c r="E157" i="12" s="1"/>
  <c r="AG25" i="12" l="1" a="1"/>
  <c r="AG25" i="12" s="1"/>
  <c r="AG28" i="12" s="1"/>
  <c r="V57" i="12" s="1"/>
  <c r="AG26" i="12" a="1"/>
  <c r="AG26" i="12" s="1"/>
  <c r="AG13" i="12" a="1"/>
  <c r="AG13" i="12" s="1"/>
  <c r="AG16" i="12" s="1"/>
  <c r="J54" i="12" s="1"/>
  <c r="AG14" i="12" a="1"/>
  <c r="AG14" i="12" s="1"/>
  <c r="AT8" i="12" s="1"/>
  <c r="N10" i="12"/>
  <c r="AB11" i="12"/>
  <c r="C12" i="12"/>
  <c r="E124" i="12"/>
  <c r="E146" i="12"/>
  <c r="E120" i="12"/>
  <c r="E130" i="12"/>
  <c r="E144" i="12"/>
  <c r="E135" i="12"/>
  <c r="E152" i="12"/>
  <c r="E123" i="12"/>
  <c r="E138" i="12"/>
  <c r="E102" i="12"/>
  <c r="E147" i="12"/>
  <c r="E150" i="12"/>
  <c r="E158" i="12"/>
  <c r="E126" i="12"/>
  <c r="E99" i="12"/>
  <c r="E122" i="12"/>
  <c r="E155" i="12"/>
  <c r="E100" i="12"/>
  <c r="E113" i="12"/>
  <c r="E140" i="12"/>
  <c r="E145" i="12"/>
  <c r="E110" i="12"/>
  <c r="E105" i="12"/>
  <c r="E112" i="12"/>
  <c r="E115" i="12"/>
  <c r="E143" i="12"/>
  <c r="E151" i="12"/>
  <c r="E139" i="12"/>
  <c r="E111" i="12"/>
  <c r="AB100" i="12"/>
  <c r="E137" i="12"/>
  <c r="E116" i="12"/>
  <c r="U20" i="12" l="1"/>
  <c r="V46" i="12"/>
  <c r="V53" i="12"/>
  <c r="V38" i="12"/>
  <c r="U53" i="12"/>
  <c r="V42" i="12"/>
  <c r="V29" i="12"/>
  <c r="U30" i="12"/>
  <c r="V26" i="12"/>
  <c r="U39" i="12"/>
  <c r="V47" i="12"/>
  <c r="V10" i="12"/>
  <c r="U38" i="12"/>
  <c r="U26" i="12"/>
  <c r="V41" i="12"/>
  <c r="V54" i="12"/>
  <c r="U46" i="12"/>
  <c r="U43" i="12"/>
  <c r="V39" i="12"/>
  <c r="U40" i="12"/>
  <c r="V48" i="12"/>
  <c r="V11" i="12"/>
  <c r="U36" i="12"/>
  <c r="U57" i="12"/>
  <c r="V9" i="12"/>
  <c r="V20" i="12"/>
  <c r="V22" i="12"/>
  <c r="U11" i="12"/>
  <c r="U52" i="12"/>
  <c r="U34" i="12"/>
  <c r="U31" i="12"/>
  <c r="V27" i="12"/>
  <c r="U28" i="12"/>
  <c r="V36" i="12"/>
  <c r="U35" i="12"/>
  <c r="U24" i="12"/>
  <c r="V56" i="12"/>
  <c r="V16" i="12"/>
  <c r="U21" i="12"/>
  <c r="V34" i="12"/>
  <c r="U9" i="12"/>
  <c r="V17" i="12"/>
  <c r="V35" i="12"/>
  <c r="V51" i="12"/>
  <c r="U54" i="12"/>
  <c r="U22" i="12"/>
  <c r="U10" i="12"/>
  <c r="U19" i="12"/>
  <c r="V15" i="12"/>
  <c r="U16" i="12"/>
  <c r="V24" i="12"/>
  <c r="U49" i="12"/>
  <c r="U12" i="12"/>
  <c r="U56" i="12"/>
  <c r="U33" i="12"/>
  <c r="V8" i="12"/>
  <c r="U51" i="12"/>
  <c r="V14" i="12"/>
  <c r="U15" i="12"/>
  <c r="V31" i="12"/>
  <c r="V52" i="12"/>
  <c r="U8" i="12"/>
  <c r="V49" i="12"/>
  <c r="V12" i="12"/>
  <c r="U37" i="12"/>
  <c r="V45" i="12"/>
  <c r="V55" i="12"/>
  <c r="V13" i="12"/>
  <c r="V44" i="12"/>
  <c r="U42" i="12"/>
  <c r="V30" i="12"/>
  <c r="U27" i="12"/>
  <c r="U23" i="12"/>
  <c r="V23" i="12"/>
  <c r="V32" i="12"/>
  <c r="V43" i="12"/>
  <c r="U44" i="12"/>
  <c r="V37" i="12"/>
  <c r="U55" i="12"/>
  <c r="U17" i="12"/>
  <c r="V50" i="12"/>
  <c r="U14" i="12"/>
  <c r="U18" i="12"/>
  <c r="V18" i="12"/>
  <c r="U48" i="12"/>
  <c r="V19" i="12"/>
  <c r="V40" i="12"/>
  <c r="U41" i="12"/>
  <c r="U47" i="12"/>
  <c r="U25" i="12"/>
  <c r="V33" i="12"/>
  <c r="U45" i="12"/>
  <c r="U32" i="12"/>
  <c r="V28" i="12"/>
  <c r="U29" i="12"/>
  <c r="V25" i="12"/>
  <c r="U50" i="12"/>
  <c r="U13" i="12"/>
  <c r="V21" i="12"/>
  <c r="J48" i="12"/>
  <c r="K26" i="12"/>
  <c r="K48" i="12"/>
  <c r="J38" i="12"/>
  <c r="K10" i="12"/>
  <c r="J11" i="12"/>
  <c r="K15" i="12"/>
  <c r="K39" i="12"/>
  <c r="K20" i="12"/>
  <c r="K22" i="12"/>
  <c r="K17" i="12"/>
  <c r="K36" i="12"/>
  <c r="J25" i="12"/>
  <c r="J43" i="12"/>
  <c r="K49" i="12"/>
  <c r="K46" i="12"/>
  <c r="J15" i="12"/>
  <c r="K30" i="12"/>
  <c r="K29" i="12"/>
  <c r="J23" i="12"/>
  <c r="K28" i="12"/>
  <c r="J28" i="12"/>
  <c r="K35" i="12"/>
  <c r="K19" i="12"/>
  <c r="J17" i="12"/>
  <c r="K51" i="12"/>
  <c r="K25" i="12"/>
  <c r="J10" i="12"/>
  <c r="J33" i="12"/>
  <c r="K43" i="12"/>
  <c r="J19" i="12"/>
  <c r="K33" i="12"/>
  <c r="K24" i="12"/>
  <c r="J47" i="12"/>
  <c r="K21" i="12"/>
  <c r="K11" i="12"/>
  <c r="K27" i="12"/>
  <c r="J29" i="12"/>
  <c r="J50" i="12"/>
  <c r="K34" i="12"/>
  <c r="J49" i="12"/>
  <c r="K13" i="12"/>
  <c r="J39" i="12"/>
  <c r="K8" i="12"/>
  <c r="K9" i="12"/>
  <c r="J42" i="12"/>
  <c r="J57" i="12"/>
  <c r="K12" i="12"/>
  <c r="J21" i="12"/>
  <c r="J8" i="12"/>
  <c r="K50" i="12"/>
  <c r="K44" i="12"/>
  <c r="K47" i="12"/>
  <c r="J20" i="12"/>
  <c r="J22" i="12"/>
  <c r="K57" i="12"/>
  <c r="J32" i="12"/>
  <c r="J12" i="12"/>
  <c r="K41" i="12"/>
  <c r="J34" i="12"/>
  <c r="K54" i="12"/>
  <c r="J41" i="12"/>
  <c r="K14" i="12"/>
  <c r="K45" i="12"/>
  <c r="J36" i="12"/>
  <c r="J44" i="12"/>
  <c r="J14" i="12"/>
  <c r="J35" i="12"/>
  <c r="J53" i="12"/>
  <c r="K56" i="12"/>
  <c r="K53" i="12"/>
  <c r="K18" i="12"/>
  <c r="J45" i="12"/>
  <c r="J26" i="12"/>
  <c r="J9" i="12"/>
  <c r="K38" i="12"/>
  <c r="K32" i="12"/>
  <c r="J51" i="12"/>
  <c r="J30" i="12"/>
  <c r="K31" i="12"/>
  <c r="J52" i="12"/>
  <c r="K55" i="12"/>
  <c r="K37" i="12"/>
  <c r="K40" i="12"/>
  <c r="J55" i="12"/>
  <c r="J37" i="12"/>
  <c r="J27" i="12"/>
  <c r="K16" i="12"/>
  <c r="J18" i="12"/>
  <c r="K52" i="12"/>
  <c r="J56" i="12"/>
  <c r="K42" i="12"/>
  <c r="J46" i="12"/>
  <c r="J40" i="12"/>
  <c r="J24" i="12"/>
  <c r="K23" i="12"/>
  <c r="J31" i="12"/>
  <c r="J13" i="12"/>
  <c r="J16" i="12"/>
  <c r="N11" i="12"/>
  <c r="N106" i="12" s="1"/>
  <c r="C13" i="12"/>
  <c r="N105" i="12" a="1"/>
  <c r="N105" i="12" s="1"/>
  <c r="N104" i="12" a="1"/>
  <c r="N104" i="12" s="1"/>
  <c r="AB12" i="12" l="1"/>
  <c r="N12" i="12"/>
  <c r="C14" i="12"/>
  <c r="AB13" i="12" l="1"/>
  <c r="N13" i="12"/>
  <c r="AB99" i="12" s="1"/>
  <c r="C15" i="12"/>
  <c r="AB14" i="12" l="1"/>
  <c r="C16" i="12"/>
  <c r="N14" i="12"/>
  <c r="N107" i="12" s="1"/>
  <c r="AB15" i="12" l="1"/>
  <c r="N15" i="12"/>
  <c r="C17" i="12"/>
  <c r="AB16" i="12" l="1"/>
  <c r="C18" i="12"/>
  <c r="F127" i="12"/>
  <c r="F134" i="12"/>
  <c r="G107" i="12"/>
  <c r="G103" i="12"/>
  <c r="G117" i="12"/>
  <c r="G141" i="12"/>
  <c r="F107" i="12"/>
  <c r="F103" i="12"/>
  <c r="F117" i="12"/>
  <c r="G114" i="12"/>
  <c r="G128" i="12"/>
  <c r="G131" i="12"/>
  <c r="F114" i="12"/>
  <c r="F128" i="12"/>
  <c r="F131" i="12"/>
  <c r="F118" i="12"/>
  <c r="F125" i="12"/>
  <c r="F136" i="12"/>
  <c r="F101" i="12"/>
  <c r="G101" i="12"/>
  <c r="G118" i="12"/>
  <c r="G121" i="12"/>
  <c r="G129" i="12"/>
  <c r="G125" i="12"/>
  <c r="G108" i="12"/>
  <c r="G119" i="12"/>
  <c r="F121" i="12"/>
  <c r="F129" i="12"/>
  <c r="G109" i="12"/>
  <c r="F108" i="12"/>
  <c r="F119" i="12"/>
  <c r="G133" i="12"/>
  <c r="F109" i="12"/>
  <c r="F142" i="12"/>
  <c r="G106" i="12"/>
  <c r="G104" i="12"/>
  <c r="F133" i="12"/>
  <c r="G132" i="12"/>
  <c r="G134" i="12"/>
  <c r="F141" i="12"/>
  <c r="G142" i="12"/>
  <c r="F106" i="12"/>
  <c r="F104" i="12"/>
  <c r="F132" i="12"/>
  <c r="G127" i="12"/>
  <c r="G136" i="12"/>
  <c r="G115" i="12"/>
  <c r="G123" i="12"/>
  <c r="G139" i="12"/>
  <c r="F123" i="12"/>
  <c r="G112" i="12"/>
  <c r="F115" i="12"/>
  <c r="F124" i="12"/>
  <c r="F130" i="12"/>
  <c r="G137" i="12"/>
  <c r="G126" i="12"/>
  <c r="G140" i="12"/>
  <c r="F100" i="12"/>
  <c r="G122" i="12"/>
  <c r="F137" i="12"/>
  <c r="F126" i="12"/>
  <c r="G138" i="12"/>
  <c r="G102" i="12"/>
  <c r="F116" i="12"/>
  <c r="G99" i="12"/>
  <c r="F139" i="12"/>
  <c r="F140" i="12"/>
  <c r="G100" i="12"/>
  <c r="F122" i="12"/>
  <c r="G105" i="12"/>
  <c r="F99" i="12"/>
  <c r="F111" i="12"/>
  <c r="F112" i="12"/>
  <c r="G113" i="12"/>
  <c r="F102" i="12"/>
  <c r="G120" i="12"/>
  <c r="F105" i="12"/>
  <c r="F110" i="12"/>
  <c r="F138" i="12"/>
  <c r="F113" i="12"/>
  <c r="F120" i="12"/>
  <c r="G110" i="12"/>
  <c r="F135" i="12"/>
  <c r="F143" i="12"/>
  <c r="G111" i="12"/>
  <c r="G124" i="12"/>
  <c r="G130" i="12"/>
  <c r="G135" i="12"/>
  <c r="G143" i="12"/>
  <c r="G116" i="12"/>
  <c r="N16" i="12"/>
  <c r="AB17" i="12" l="1"/>
  <c r="C19" i="12"/>
  <c r="N17" i="12"/>
  <c r="AB18" i="12" l="1"/>
  <c r="N18" i="12"/>
  <c r="C20" i="12"/>
  <c r="AB19" i="12" l="1"/>
  <c r="N19" i="12"/>
  <c r="C21" i="12"/>
  <c r="AB20" i="12" l="1"/>
  <c r="I160" i="12"/>
  <c r="I154" i="12"/>
  <c r="I131" i="12"/>
  <c r="I115" i="12"/>
  <c r="I111" i="12"/>
  <c r="I120" i="12"/>
  <c r="I110" i="12"/>
  <c r="C22" i="12"/>
  <c r="N20" i="12"/>
  <c r="I148" i="12" s="1"/>
  <c r="AB21" i="12" l="1"/>
  <c r="I142" i="12"/>
  <c r="N21" i="12"/>
  <c r="C23" i="12"/>
  <c r="I105" i="12"/>
  <c r="I158" i="12"/>
  <c r="I150" i="12"/>
  <c r="I151" i="12"/>
  <c r="I162" i="12"/>
  <c r="I129" i="12"/>
  <c r="I159" i="12"/>
  <c r="I118" i="12"/>
  <c r="I119" i="12"/>
  <c r="I123" i="12"/>
  <c r="I127" i="12"/>
  <c r="I121" i="12"/>
  <c r="I153" i="12"/>
  <c r="I114" i="12"/>
  <c r="I145" i="12"/>
  <c r="I141" i="12"/>
  <c r="I116" i="12"/>
  <c r="AB110" i="12"/>
  <c r="I144" i="12"/>
  <c r="I146" i="12"/>
  <c r="I108" i="12"/>
  <c r="I126" i="12"/>
  <c r="I130" i="12"/>
  <c r="I132" i="12"/>
  <c r="I157" i="12"/>
  <c r="I137" i="12"/>
  <c r="I133" i="12"/>
  <c r="I117" i="12"/>
  <c r="I156" i="12"/>
  <c r="I140" i="12"/>
  <c r="I135" i="12"/>
  <c r="I109" i="12"/>
  <c r="I102" i="12"/>
  <c r="I103" i="12"/>
  <c r="I149" i="12"/>
  <c r="N119" i="12"/>
  <c r="I134" i="12"/>
  <c r="I107" i="12"/>
  <c r="I139" i="12"/>
  <c r="I124" i="12"/>
  <c r="I122" i="12"/>
  <c r="I101" i="12"/>
  <c r="I152" i="12"/>
  <c r="I138" i="12"/>
  <c r="I143" i="12"/>
  <c r="I104" i="12"/>
  <c r="I113" i="12"/>
  <c r="I100" i="12"/>
  <c r="I125" i="12"/>
  <c r="I106" i="12"/>
  <c r="I147" i="12"/>
  <c r="I155" i="12"/>
  <c r="I161" i="12"/>
  <c r="I99" i="12"/>
  <c r="I136" i="12"/>
  <c r="I112" i="12"/>
  <c r="I128" i="12"/>
  <c r="AB22" i="12" l="1"/>
  <c r="C24" i="12"/>
  <c r="N116" i="12" a="1"/>
  <c r="N116" i="12" s="1"/>
  <c r="N115" i="12" a="1"/>
  <c r="N115" i="12" s="1"/>
  <c r="N22" i="12"/>
  <c r="N117" i="12" s="1"/>
  <c r="AB23" i="12" l="1"/>
  <c r="N23" i="12"/>
  <c r="C25" i="12"/>
  <c r="AB24" i="12" l="1"/>
  <c r="N24" i="12"/>
  <c r="AB109" i="12" s="1"/>
  <c r="C26" i="12"/>
  <c r="AB25" i="12" l="1"/>
  <c r="N25" i="12"/>
  <c r="C27" i="12"/>
  <c r="AB26" i="12" l="1"/>
  <c r="N26" i="12"/>
  <c r="C28" i="12"/>
  <c r="AB27" i="12" l="1"/>
  <c r="N27" i="12"/>
  <c r="C29" i="12"/>
  <c r="AB28" i="12" l="1"/>
  <c r="N28" i="12"/>
  <c r="C30" i="12"/>
  <c r="AB29" i="12" l="1"/>
  <c r="N29" i="12"/>
  <c r="C31" i="12"/>
  <c r="AB30" i="12" l="1"/>
  <c r="N30" i="12"/>
  <c r="C32" i="12"/>
  <c r="AB31" i="12" l="1"/>
  <c r="C33" i="12"/>
  <c r="N31" i="12"/>
  <c r="AB32" i="12" l="1"/>
  <c r="N32" i="12"/>
  <c r="C34" i="12"/>
  <c r="AB33" i="12" l="1"/>
  <c r="N33" i="12"/>
  <c r="C35" i="12"/>
  <c r="AB34" i="12" l="1"/>
  <c r="C36" i="12"/>
  <c r="N34" i="12"/>
  <c r="AB35" i="12" l="1"/>
  <c r="N35" i="12"/>
  <c r="C37" i="12"/>
  <c r="AB36" i="12" l="1"/>
  <c r="N36" i="12"/>
  <c r="C38" i="12"/>
  <c r="AB37" i="12" l="1"/>
  <c r="C39" i="12"/>
  <c r="N37" i="12"/>
  <c r="AB38" i="12" l="1"/>
  <c r="N38" i="12"/>
  <c r="C40" i="12"/>
  <c r="AB39" i="12" l="1"/>
  <c r="C41" i="12"/>
  <c r="N39" i="12"/>
  <c r="AB40" i="12" l="1"/>
  <c r="N40" i="12"/>
  <c r="C42" i="12"/>
  <c r="AB41" i="12" l="1"/>
  <c r="C43" i="12"/>
  <c r="N41" i="12"/>
  <c r="AB42" i="12" l="1"/>
  <c r="N42" i="12"/>
  <c r="C44" i="12"/>
  <c r="AB43" i="12" l="1"/>
  <c r="C45" i="12"/>
  <c r="N43" i="12"/>
  <c r="AB44" i="12" l="1"/>
  <c r="C46" i="12"/>
  <c r="N44" i="12"/>
  <c r="AB45" i="12" l="1"/>
  <c r="C47" i="12"/>
  <c r="N45" i="12"/>
  <c r="AB46" i="12" l="1"/>
  <c r="C48" i="12"/>
  <c r="N46" i="12"/>
  <c r="AB47" i="12" l="1"/>
  <c r="C49" i="12"/>
  <c r="N47" i="12"/>
  <c r="AB48" i="12" l="1"/>
  <c r="C50" i="12"/>
  <c r="N48" i="12"/>
  <c r="AB49" i="12" l="1"/>
  <c r="N49" i="12"/>
  <c r="C51" i="12"/>
  <c r="AB50" i="12" l="1"/>
  <c r="C52" i="12"/>
  <c r="N50" i="12"/>
  <c r="AB51" i="12" l="1"/>
  <c r="N51" i="12"/>
  <c r="C53" i="12"/>
  <c r="AB52" i="12" l="1"/>
  <c r="N52" i="12"/>
  <c r="C54" i="12"/>
  <c r="AB53" i="12" l="1"/>
  <c r="AB54" i="12"/>
  <c r="C55" i="12"/>
  <c r="N53" i="12"/>
  <c r="N54" i="12" l="1"/>
  <c r="C56" i="12"/>
  <c r="AB55" i="12"/>
  <c r="N55" i="12" l="1"/>
  <c r="C57" i="12"/>
  <c r="AB56" i="12"/>
  <c r="N56" i="12" l="1"/>
  <c r="C58" i="12"/>
  <c r="AB57" i="12"/>
  <c r="C59" i="12" l="1"/>
  <c r="AB58" i="12"/>
  <c r="N57" i="12"/>
  <c r="C60" i="12" l="1"/>
  <c r="AB59" i="12"/>
  <c r="N58" i="12"/>
  <c r="N59" i="12" l="1"/>
  <c r="AB60" i="12"/>
  <c r="C61" i="12"/>
  <c r="C62" i="12" l="1"/>
  <c r="AB61" i="12"/>
  <c r="N60" i="12"/>
  <c r="N61" i="12" l="1"/>
  <c r="C63" i="12"/>
  <c r="AB62" i="12"/>
  <c r="C64" i="12" l="1"/>
  <c r="AB63" i="12"/>
  <c r="N62" i="12"/>
  <c r="C65" i="12" l="1"/>
  <c r="AB64" i="12"/>
  <c r="N63" i="12"/>
  <c r="C66" i="12" l="1"/>
  <c r="AB65" i="12"/>
  <c r="N64" i="12"/>
  <c r="N65" i="12" l="1"/>
  <c r="AB66" i="12"/>
  <c r="C67" i="12"/>
  <c r="C68" i="12" l="1"/>
  <c r="AB67" i="12"/>
  <c r="N66" i="12"/>
  <c r="N67" i="12" l="1"/>
  <c r="C69" i="12"/>
  <c r="AB68" i="12"/>
  <c r="C70" i="12" l="1"/>
  <c r="AB69" i="12"/>
  <c r="N68" i="12"/>
  <c r="C71" i="12" l="1"/>
  <c r="AB70" i="12"/>
  <c r="N69" i="12"/>
  <c r="C72" i="12" l="1"/>
  <c r="AB71" i="12"/>
  <c r="N70" i="12"/>
  <c r="N71" i="12" l="1"/>
  <c r="AB72" i="12"/>
  <c r="C73" i="12"/>
  <c r="C74" i="12" l="1"/>
  <c r="AB73" i="12"/>
  <c r="N72" i="12"/>
  <c r="N73" i="12" l="1"/>
  <c r="C75" i="12"/>
  <c r="AB74" i="12"/>
  <c r="C76" i="12" l="1"/>
  <c r="AB75" i="12"/>
  <c r="N74" i="12"/>
  <c r="C77" i="12" l="1"/>
  <c r="AB76" i="12"/>
  <c r="N75" i="12"/>
  <c r="C78" i="12" l="1"/>
  <c r="AB77" i="12"/>
  <c r="N76" i="12"/>
  <c r="N77" i="12" l="1"/>
  <c r="AB78" i="12"/>
  <c r="AG38" i="12" l="1" a="1"/>
  <c r="AG38" i="12" s="1"/>
  <c r="AT28" i="12" s="1"/>
  <c r="AG37" i="12" a="1"/>
  <c r="AG37" i="12" s="1"/>
  <c r="N78" i="12"/>
  <c r="AG40" i="12" l="1"/>
  <c r="N118" i="12"/>
  <c r="AD57" i="12" l="1"/>
  <c r="AC57" i="12"/>
  <c r="AC56" i="12"/>
  <c r="AD55" i="12"/>
  <c r="AC55" i="12"/>
  <c r="AD56" i="12"/>
  <c r="AC54" i="12"/>
  <c r="AD54" i="12"/>
  <c r="AC53" i="12"/>
  <c r="AD53" i="12"/>
  <c r="AC9" i="12"/>
  <c r="AD8" i="12"/>
  <c r="AC8" i="12"/>
  <c r="AC10" i="12"/>
  <c r="AD10" i="12"/>
  <c r="AD9" i="12"/>
  <c r="AD11" i="12"/>
  <c r="AC11" i="12"/>
  <c r="AC12" i="12"/>
  <c r="AD12" i="12"/>
  <c r="AD13" i="12"/>
  <c r="AC13" i="12"/>
  <c r="AC14" i="12"/>
  <c r="AD14" i="12"/>
  <c r="AC15" i="12"/>
  <c r="AD15" i="12"/>
  <c r="AC16" i="12"/>
  <c r="AD16" i="12"/>
  <c r="AD17" i="12"/>
  <c r="AC17" i="12"/>
  <c r="AC18" i="12"/>
  <c r="AD18" i="12"/>
  <c r="AC19" i="12"/>
  <c r="AD19" i="12"/>
  <c r="AC20" i="12"/>
  <c r="AD20" i="12"/>
  <c r="AC21" i="12"/>
  <c r="AD21" i="12"/>
  <c r="AC22" i="12"/>
  <c r="AD22" i="12"/>
  <c r="AC23" i="12"/>
  <c r="AD23" i="12"/>
  <c r="AD24" i="12"/>
  <c r="AC24" i="12"/>
  <c r="AD25" i="12"/>
  <c r="AC25" i="12"/>
  <c r="AD26" i="12"/>
  <c r="AC26" i="12"/>
  <c r="J111" i="12"/>
  <c r="K122" i="12"/>
  <c r="J132" i="12"/>
  <c r="K133" i="12"/>
  <c r="K129" i="12"/>
  <c r="J117" i="12"/>
  <c r="K137" i="12"/>
  <c r="K116" i="12"/>
  <c r="K101" i="12"/>
  <c r="K127" i="12"/>
  <c r="K124" i="12"/>
  <c r="K131" i="12"/>
  <c r="J140" i="12"/>
  <c r="AD27" i="12"/>
  <c r="J106" i="12"/>
  <c r="K136" i="12"/>
  <c r="K100" i="12"/>
  <c r="J141" i="12"/>
  <c r="J114" i="12"/>
  <c r="K121" i="12"/>
  <c r="J113" i="12"/>
  <c r="K109" i="12"/>
  <c r="K108" i="12"/>
  <c r="K140" i="12"/>
  <c r="J128" i="12"/>
  <c r="K111" i="12"/>
  <c r="K123" i="12"/>
  <c r="J119" i="12"/>
  <c r="K107" i="12"/>
  <c r="J100" i="12"/>
  <c r="J121" i="12"/>
  <c r="AC27" i="12"/>
  <c r="J99" i="12"/>
  <c r="K125" i="12"/>
  <c r="J122" i="12"/>
  <c r="K114" i="12"/>
  <c r="K103" i="12"/>
  <c r="J116" i="12"/>
  <c r="K128" i="12"/>
  <c r="K112" i="12"/>
  <c r="K130" i="12"/>
  <c r="J137" i="12"/>
  <c r="J127" i="12"/>
  <c r="J110" i="12"/>
  <c r="J143" i="12"/>
  <c r="J125" i="12"/>
  <c r="J136" i="12"/>
  <c r="J101" i="12"/>
  <c r="J135" i="12"/>
  <c r="K126" i="12"/>
  <c r="K105" i="12"/>
  <c r="J104" i="12"/>
  <c r="K143" i="12"/>
  <c r="J142" i="12"/>
  <c r="J103" i="12"/>
  <c r="J126" i="12"/>
  <c r="K134" i="12"/>
  <c r="K120" i="12"/>
  <c r="K141" i="12"/>
  <c r="J120" i="12"/>
  <c r="J130" i="12"/>
  <c r="K135" i="12"/>
  <c r="K138" i="12"/>
  <c r="K104" i="12"/>
  <c r="J118" i="12"/>
  <c r="J129" i="12"/>
  <c r="J108" i="12"/>
  <c r="K118" i="12"/>
  <c r="J105" i="12"/>
  <c r="K106" i="12"/>
  <c r="J139" i="12"/>
  <c r="K113" i="12"/>
  <c r="K142" i="12"/>
  <c r="J115" i="12"/>
  <c r="J134" i="12"/>
  <c r="J138" i="12"/>
  <c r="J112" i="12"/>
  <c r="K102" i="12"/>
  <c r="J109" i="12"/>
  <c r="J123" i="12"/>
  <c r="K139" i="12"/>
  <c r="J124" i="12"/>
  <c r="K99" i="12"/>
  <c r="K117" i="12"/>
  <c r="K119" i="12"/>
  <c r="J107" i="12"/>
  <c r="K110" i="12"/>
  <c r="J131" i="12"/>
  <c r="J133" i="12"/>
  <c r="K115" i="12"/>
  <c r="K132" i="12"/>
  <c r="J102" i="12"/>
  <c r="AD28" i="12"/>
  <c r="AC28" i="12"/>
  <c r="AD29" i="12"/>
  <c r="AC29" i="12"/>
  <c r="AD30" i="12"/>
  <c r="AC30" i="12"/>
  <c r="AC31" i="12"/>
  <c r="AD31" i="12"/>
  <c r="AC32" i="12"/>
  <c r="AD32" i="12"/>
  <c r="AC33" i="12"/>
  <c r="AD33" i="12"/>
  <c r="AD34" i="12"/>
  <c r="AC34" i="12"/>
  <c r="AD35" i="12"/>
  <c r="AC35" i="12"/>
  <c r="AD36" i="12"/>
  <c r="AC36" i="12"/>
  <c r="AC37" i="12"/>
  <c r="AD37" i="12"/>
  <c r="AC38" i="12"/>
  <c r="AD38" i="12"/>
  <c r="AC39" i="12"/>
  <c r="AD39" i="12"/>
  <c r="AC40" i="12"/>
  <c r="AD40" i="12"/>
  <c r="AC41" i="12"/>
  <c r="AD41" i="12"/>
  <c r="AC42" i="12"/>
  <c r="AD42" i="12"/>
  <c r="AC43" i="12"/>
  <c r="AD43" i="12"/>
  <c r="AD44" i="12"/>
  <c r="AC44" i="12"/>
  <c r="AC45" i="12"/>
  <c r="AD45" i="12"/>
  <c r="AC46" i="12"/>
  <c r="AD46" i="12"/>
  <c r="AC47" i="12"/>
  <c r="AD47" i="12"/>
  <c r="AC48" i="12"/>
  <c r="AD48" i="12"/>
  <c r="AD49" i="12"/>
  <c r="AC49" i="12"/>
  <c r="AD50" i="12"/>
  <c r="AC50" i="12"/>
  <c r="AD51" i="12"/>
  <c r="AC51" i="12"/>
  <c r="AD52" i="12"/>
  <c r="AC52" i="12"/>
  <c r="F68" i="19"/>
  <c r="F69" i="19"/>
  <c r="F70" i="19"/>
  <c r="F71" i="19"/>
  <c r="F72" i="19"/>
  <c r="F73" i="19"/>
  <c r="F74" i="19"/>
  <c r="F75" i="19"/>
  <c r="F76" i="19"/>
  <c r="F77" i="19"/>
  <c r="F78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AB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X50" i="19" s="1"/>
  <c r="T8" i="19"/>
  <c r="N8" i="19"/>
  <c r="W8" i="19"/>
  <c r="O49" i="19"/>
  <c r="P50" i="19" s="1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8" i="19"/>
  <c r="E9" i="19"/>
  <c r="F9" i="19" s="1"/>
  <c r="E10" i="19"/>
  <c r="F10" i="19" s="1"/>
  <c r="E11" i="19"/>
  <c r="F11" i="19" s="1"/>
  <c r="E12" i="19"/>
  <c r="F12" i="19" s="1"/>
  <c r="E13" i="19"/>
  <c r="F13" i="19" s="1"/>
  <c r="E14" i="19"/>
  <c r="F14" i="19" s="1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F20" i="19" s="1"/>
  <c r="E21" i="19"/>
  <c r="F21" i="19" s="1"/>
  <c r="E22" i="19"/>
  <c r="F22" i="19" s="1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F28" i="19" s="1"/>
  <c r="E29" i="19"/>
  <c r="F29" i="19" s="1"/>
  <c r="E30" i="19"/>
  <c r="F30" i="19" s="1"/>
  <c r="E31" i="19"/>
  <c r="F31" i="19" s="1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F39" i="19" s="1"/>
  <c r="E40" i="19"/>
  <c r="F40" i="19" s="1"/>
  <c r="E41" i="19"/>
  <c r="F41" i="19" s="1"/>
  <c r="E42" i="19"/>
  <c r="F42" i="19" s="1"/>
  <c r="E43" i="19"/>
  <c r="F43" i="19" s="1"/>
  <c r="E44" i="19"/>
  <c r="F44" i="19" s="1"/>
  <c r="E45" i="19"/>
  <c r="F45" i="19" s="1"/>
  <c r="E46" i="19"/>
  <c r="F46" i="19" s="1"/>
  <c r="E47" i="19"/>
  <c r="F47" i="19" s="1"/>
  <c r="E48" i="19"/>
  <c r="F48" i="19" s="1"/>
  <c r="E49" i="19"/>
  <c r="F49" i="19" s="1"/>
  <c r="F50" i="19"/>
  <c r="F51" i="19"/>
  <c r="D48" i="19"/>
  <c r="D49" i="19"/>
  <c r="E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8" i="19"/>
  <c r="C10" i="19"/>
  <c r="C9" i="19"/>
  <c r="P40" i="19" l="1"/>
  <c r="Q40" i="19" s="1"/>
  <c r="P28" i="19"/>
  <c r="Q28" i="19" s="1"/>
  <c r="P16" i="19"/>
  <c r="Q16" i="19" s="1"/>
  <c r="AG12" i="19"/>
  <c r="P42" i="19"/>
  <c r="Q42" i="19" s="1"/>
  <c r="P30" i="19"/>
  <c r="Q30" i="19" s="1"/>
  <c r="P18" i="19"/>
  <c r="Q18" i="19" s="1"/>
  <c r="X41" i="19"/>
  <c r="Y41" i="19" s="1"/>
  <c r="C11" i="19"/>
  <c r="N9" i="19"/>
  <c r="F8" i="19"/>
  <c r="AG11" i="19"/>
  <c r="X46" i="19"/>
  <c r="Y46" i="19" s="1"/>
  <c r="X34" i="19"/>
  <c r="Y34" i="19" s="1"/>
  <c r="X22" i="19"/>
  <c r="Y22" i="19" s="1"/>
  <c r="X10" i="19"/>
  <c r="Y10" i="19" s="1"/>
  <c r="X29" i="19"/>
  <c r="Y29" i="19" s="1"/>
  <c r="X44" i="19"/>
  <c r="Y44" i="19" s="1"/>
  <c r="X32" i="19"/>
  <c r="Y32" i="19" s="1"/>
  <c r="X49" i="19"/>
  <c r="Y49" i="19" s="1"/>
  <c r="X37" i="19"/>
  <c r="Y37" i="19" s="1"/>
  <c r="X25" i="19"/>
  <c r="Y25" i="19" s="1"/>
  <c r="X13" i="19"/>
  <c r="Y13" i="19" s="1"/>
  <c r="I8" i="19"/>
  <c r="P47" i="19"/>
  <c r="Q47" i="19" s="1"/>
  <c r="P35" i="19"/>
  <c r="Q35" i="19" s="1"/>
  <c r="P23" i="19"/>
  <c r="Q23" i="19" s="1"/>
  <c r="P11" i="19"/>
  <c r="Q11" i="19" s="1"/>
  <c r="P45" i="19"/>
  <c r="Q45" i="19" s="1"/>
  <c r="P33" i="19"/>
  <c r="Q33" i="19" s="1"/>
  <c r="P21" i="19"/>
  <c r="Q21" i="19" s="1"/>
  <c r="X20" i="19"/>
  <c r="Y20" i="19" s="1"/>
  <c r="P31" i="19"/>
  <c r="Q31" i="19" s="1"/>
  <c r="P19" i="19"/>
  <c r="Q19" i="19" s="1"/>
  <c r="X42" i="19"/>
  <c r="Y42" i="19" s="1"/>
  <c r="X30" i="19"/>
  <c r="Y30" i="19" s="1"/>
  <c r="X18" i="19"/>
  <c r="Y18" i="19" s="1"/>
  <c r="I10" i="19"/>
  <c r="I9" i="19"/>
  <c r="P46" i="19"/>
  <c r="Q46" i="19" s="1"/>
  <c r="P10" i="19"/>
  <c r="Q10" i="19" s="1"/>
  <c r="P9" i="19"/>
  <c r="P43" i="19"/>
  <c r="Q43" i="19" s="1"/>
  <c r="Q50" i="19"/>
  <c r="X17" i="19"/>
  <c r="Y17" i="19" s="1"/>
  <c r="X19" i="19"/>
  <c r="Y19" i="19" s="1"/>
  <c r="Q51" i="19"/>
  <c r="X43" i="19"/>
  <c r="Y43" i="19" s="1"/>
  <c r="P49" i="19"/>
  <c r="Q49" i="19" s="1"/>
  <c r="P39" i="19"/>
  <c r="Q39" i="19" s="1"/>
  <c r="P27" i="19"/>
  <c r="Q27" i="19" s="1"/>
  <c r="P15" i="19"/>
  <c r="Q15" i="19" s="1"/>
  <c r="P37" i="19"/>
  <c r="Q37" i="19" s="1"/>
  <c r="P25" i="19"/>
  <c r="Q25" i="19" s="1"/>
  <c r="P13" i="19"/>
  <c r="Q13" i="19" s="1"/>
  <c r="P41" i="19"/>
  <c r="Q41" i="19" s="1"/>
  <c r="P29" i="19"/>
  <c r="Q29" i="19" s="1"/>
  <c r="P17" i="19"/>
  <c r="Q17" i="19" s="1"/>
  <c r="X47" i="19"/>
  <c r="Y47" i="19" s="1"/>
  <c r="X35" i="19"/>
  <c r="Y35" i="19" s="1"/>
  <c r="X23" i="19"/>
  <c r="Y23" i="19" s="1"/>
  <c r="X11" i="19"/>
  <c r="Y11" i="19" s="1"/>
  <c r="X9" i="19"/>
  <c r="X45" i="19"/>
  <c r="Y45" i="19" s="1"/>
  <c r="P48" i="19"/>
  <c r="Q48" i="19" s="1"/>
  <c r="P36" i="19"/>
  <c r="Q36" i="19" s="1"/>
  <c r="P24" i="19"/>
  <c r="Q24" i="19" s="1"/>
  <c r="P12" i="19"/>
  <c r="Q12" i="19" s="1"/>
  <c r="P38" i="19"/>
  <c r="Q38" i="19" s="1"/>
  <c r="P34" i="19"/>
  <c r="Q34" i="19" s="1"/>
  <c r="P22" i="19"/>
  <c r="Q22" i="19" s="1"/>
  <c r="X33" i="19"/>
  <c r="Y33" i="19" s="1"/>
  <c r="P26" i="19"/>
  <c r="Q26" i="19" s="1"/>
  <c r="X40" i="19"/>
  <c r="Y40" i="19" s="1"/>
  <c r="X28" i="19"/>
  <c r="Y28" i="19" s="1"/>
  <c r="X16" i="19"/>
  <c r="Y16" i="19" s="1"/>
  <c r="X31" i="19"/>
  <c r="Y31" i="19" s="1"/>
  <c r="P44" i="19"/>
  <c r="Q44" i="19" s="1"/>
  <c r="P32" i="19"/>
  <c r="Q32" i="19" s="1"/>
  <c r="P20" i="19"/>
  <c r="Q20" i="19" s="1"/>
  <c r="Y51" i="19"/>
  <c r="X39" i="19"/>
  <c r="Y39" i="19" s="1"/>
  <c r="X27" i="19"/>
  <c r="Y27" i="19" s="1"/>
  <c r="X15" i="19"/>
  <c r="Y15" i="19" s="1"/>
  <c r="P14" i="19"/>
  <c r="Q14" i="19" s="1"/>
  <c r="Y50" i="19"/>
  <c r="X38" i="19"/>
  <c r="Y38" i="19" s="1"/>
  <c r="X26" i="19"/>
  <c r="Y26" i="19" s="1"/>
  <c r="X14" i="19"/>
  <c r="Y14" i="19" s="1"/>
  <c r="X21" i="19"/>
  <c r="Y21" i="19" s="1"/>
  <c r="X48" i="19"/>
  <c r="Y48" i="19" s="1"/>
  <c r="X36" i="19"/>
  <c r="Y36" i="19" s="1"/>
  <c r="X24" i="19"/>
  <c r="Y24" i="19" s="1"/>
  <c r="X12" i="19"/>
  <c r="Y12" i="19" s="1"/>
  <c r="C12" i="19" l="1"/>
  <c r="N10" i="19"/>
  <c r="AB10" i="19"/>
  <c r="AG35" i="19"/>
  <c r="Y9" i="19"/>
  <c r="AG36" i="19"/>
  <c r="AG39" i="19" s="1"/>
  <c r="Q9" i="19"/>
  <c r="AG24" i="19"/>
  <c r="AG23" i="19"/>
  <c r="AB11" i="19"/>
  <c r="AB9" i="19"/>
  <c r="T9" i="19"/>
  <c r="T11" i="19"/>
  <c r="T10" i="19"/>
  <c r="N11" i="19" l="1"/>
  <c r="I11" i="19"/>
  <c r="C13" i="19"/>
  <c r="AB12" i="19"/>
  <c r="T12" i="19"/>
  <c r="N12" i="19" l="1"/>
  <c r="I12" i="19"/>
  <c r="T13" i="19"/>
  <c r="AB13" i="19"/>
  <c r="C14" i="19"/>
  <c r="T14" i="19" l="1"/>
  <c r="AB14" i="19"/>
  <c r="C15" i="19"/>
  <c r="N13" i="19"/>
  <c r="I13" i="19"/>
  <c r="T15" i="19" l="1"/>
  <c r="AB15" i="19"/>
  <c r="C16" i="19"/>
  <c r="N14" i="19"/>
  <c r="I14" i="19"/>
  <c r="N15" i="19" l="1"/>
  <c r="I15" i="19"/>
  <c r="T16" i="19"/>
  <c r="AB16" i="19"/>
  <c r="C17" i="19"/>
  <c r="N16" i="19" l="1"/>
  <c r="I16" i="19"/>
  <c r="T17" i="19"/>
  <c r="AB17" i="19"/>
  <c r="C18" i="19"/>
  <c r="T18" i="19" l="1"/>
  <c r="AB18" i="19"/>
  <c r="C19" i="19"/>
  <c r="N17" i="19"/>
  <c r="I17" i="19"/>
  <c r="AB19" i="19" l="1"/>
  <c r="T19" i="19"/>
  <c r="C20" i="19"/>
  <c r="N18" i="19"/>
  <c r="I18" i="19"/>
  <c r="AB20" i="19" l="1"/>
  <c r="T20" i="19"/>
  <c r="C21" i="19"/>
  <c r="N19" i="19"/>
  <c r="I19" i="19"/>
  <c r="T21" i="19" l="1"/>
  <c r="AB21" i="19"/>
  <c r="C22" i="19"/>
  <c r="N20" i="19"/>
  <c r="I20" i="19"/>
  <c r="T22" i="19" l="1"/>
  <c r="AB22" i="19"/>
  <c r="C23" i="19"/>
  <c r="N21" i="19"/>
  <c r="I21" i="19"/>
  <c r="T23" i="19" l="1"/>
  <c r="AB23" i="19"/>
  <c r="C24" i="19"/>
  <c r="N22" i="19"/>
  <c r="I22" i="19"/>
  <c r="T24" i="19" l="1"/>
  <c r="AB24" i="19"/>
  <c r="C25" i="19"/>
  <c r="N23" i="19"/>
  <c r="I23" i="19"/>
  <c r="AB25" i="19" l="1"/>
  <c r="T25" i="19"/>
  <c r="C26" i="19"/>
  <c r="N24" i="19"/>
  <c r="I24" i="19"/>
  <c r="T26" i="19" l="1"/>
  <c r="AB26" i="19"/>
  <c r="C27" i="19"/>
  <c r="N25" i="19"/>
  <c r="I25" i="19"/>
  <c r="AB27" i="19" l="1"/>
  <c r="T27" i="19"/>
  <c r="C28" i="19"/>
  <c r="N26" i="19"/>
  <c r="I26" i="19"/>
  <c r="T28" i="19" l="1"/>
  <c r="AB28" i="19"/>
  <c r="C29" i="19"/>
  <c r="N27" i="19"/>
  <c r="I27" i="19"/>
  <c r="N28" i="19" l="1"/>
  <c r="I28" i="19"/>
  <c r="T29" i="19"/>
  <c r="AB29" i="19"/>
  <c r="C30" i="19"/>
  <c r="T30" i="19" l="1"/>
  <c r="AB30" i="19"/>
  <c r="C31" i="19"/>
  <c r="N29" i="19"/>
  <c r="I29" i="19"/>
  <c r="AB31" i="19" l="1"/>
  <c r="T31" i="19"/>
  <c r="C32" i="19"/>
  <c r="N30" i="19"/>
  <c r="I30" i="19"/>
  <c r="AB32" i="19" l="1"/>
  <c r="T32" i="19"/>
  <c r="C33" i="19"/>
  <c r="N31" i="19"/>
  <c r="I31" i="19"/>
  <c r="N32" i="19" l="1"/>
  <c r="I32" i="19"/>
  <c r="T33" i="19"/>
  <c r="AB33" i="19"/>
  <c r="C34" i="19"/>
  <c r="T34" i="19" l="1"/>
  <c r="AB34" i="19"/>
  <c r="C35" i="19"/>
  <c r="N33" i="19"/>
  <c r="I33" i="19"/>
  <c r="AB35" i="19" l="1"/>
  <c r="T35" i="19"/>
  <c r="C36" i="19"/>
  <c r="N34" i="19"/>
  <c r="I34" i="19"/>
  <c r="AB36" i="19" l="1"/>
  <c r="T36" i="19"/>
  <c r="C37" i="19"/>
  <c r="N35" i="19"/>
  <c r="I35" i="19"/>
  <c r="AB37" i="19" l="1"/>
  <c r="T37" i="19"/>
  <c r="C38" i="19"/>
  <c r="N36" i="19"/>
  <c r="I36" i="19"/>
  <c r="T38" i="19" l="1"/>
  <c r="AB38" i="19"/>
  <c r="C39" i="19"/>
  <c r="N37" i="19"/>
  <c r="I37" i="19"/>
  <c r="T39" i="19" l="1"/>
  <c r="AB39" i="19"/>
  <c r="C40" i="19"/>
  <c r="N38" i="19"/>
  <c r="I38" i="19"/>
  <c r="T40" i="19" l="1"/>
  <c r="AB40" i="19"/>
  <c r="C41" i="19"/>
  <c r="N39" i="19"/>
  <c r="I39" i="19"/>
  <c r="T41" i="19" l="1"/>
  <c r="AB41" i="19"/>
  <c r="C42" i="19"/>
  <c r="N40" i="19"/>
  <c r="I40" i="19"/>
  <c r="T42" i="19" l="1"/>
  <c r="AB42" i="19"/>
  <c r="C43" i="19"/>
  <c r="N41" i="19"/>
  <c r="I41" i="19"/>
  <c r="AB43" i="19" l="1"/>
  <c r="T43" i="19"/>
  <c r="C44" i="19"/>
  <c r="N42" i="19"/>
  <c r="I42" i="19"/>
  <c r="AB44" i="19" l="1"/>
  <c r="T44" i="19"/>
  <c r="C45" i="19"/>
  <c r="N43" i="19"/>
  <c r="I43" i="19"/>
  <c r="T45" i="19" l="1"/>
  <c r="AB45" i="19"/>
  <c r="C46" i="19"/>
  <c r="N44" i="19"/>
  <c r="I44" i="19"/>
  <c r="T46" i="19" l="1"/>
  <c r="AB46" i="19"/>
  <c r="C47" i="19"/>
  <c r="N45" i="19"/>
  <c r="I45" i="19"/>
  <c r="T47" i="19" l="1"/>
  <c r="AB47" i="19"/>
  <c r="C48" i="19"/>
  <c r="N46" i="19"/>
  <c r="I46" i="19"/>
  <c r="N47" i="19" l="1"/>
  <c r="I47" i="19"/>
  <c r="T48" i="19"/>
  <c r="AB48" i="19"/>
  <c r="C49" i="19"/>
  <c r="N48" i="19" l="1"/>
  <c r="I48" i="19"/>
  <c r="T49" i="19"/>
  <c r="AB49" i="19"/>
  <c r="C50" i="19"/>
  <c r="N49" i="19" l="1"/>
  <c r="I49" i="19"/>
  <c r="T50" i="19"/>
  <c r="C51" i="19"/>
  <c r="T51" i="19" l="1"/>
  <c r="C52" i="19"/>
  <c r="AB50" i="19"/>
  <c r="N50" i="19"/>
  <c r="I50" i="19"/>
  <c r="T52" i="19" l="1"/>
  <c r="C53" i="19"/>
  <c r="N51" i="19"/>
  <c r="I51" i="19"/>
  <c r="AB51" i="19"/>
  <c r="AB52" i="19" l="1"/>
  <c r="T53" i="19"/>
  <c r="AB53" i="19"/>
  <c r="C54" i="19"/>
  <c r="I52" i="19"/>
  <c r="N52" i="19"/>
  <c r="N53" i="19" l="1"/>
  <c r="I53" i="19"/>
  <c r="T54" i="19"/>
  <c r="AB54" i="19"/>
  <c r="C55" i="19"/>
  <c r="N54" i="19" l="1"/>
  <c r="I54" i="19"/>
  <c r="AB55" i="19"/>
  <c r="T55" i="19"/>
  <c r="C56" i="19"/>
  <c r="AB56" i="19" l="1"/>
  <c r="T56" i="19"/>
  <c r="C57" i="19"/>
  <c r="N55" i="19"/>
  <c r="I55" i="19"/>
  <c r="T57" i="19" l="1"/>
  <c r="AB57" i="19"/>
  <c r="C58" i="19"/>
  <c r="N56" i="19"/>
  <c r="I56" i="19"/>
  <c r="AB58" i="19" l="1"/>
  <c r="T58" i="19"/>
  <c r="C59" i="19"/>
  <c r="N57" i="19"/>
  <c r="I57" i="19"/>
  <c r="N58" i="19" l="1"/>
  <c r="I58" i="19"/>
  <c r="T59" i="19"/>
  <c r="AB59" i="19"/>
  <c r="C60" i="19"/>
  <c r="AB60" i="19" l="1"/>
  <c r="T60" i="19"/>
  <c r="C61" i="19"/>
  <c r="N59" i="19"/>
  <c r="I59" i="19"/>
  <c r="AB61" i="19" l="1"/>
  <c r="T61" i="19"/>
  <c r="C62" i="19"/>
  <c r="N60" i="19"/>
  <c r="I60" i="19"/>
  <c r="T62" i="19" l="1"/>
  <c r="AB62" i="19"/>
  <c r="C63" i="19"/>
  <c r="N61" i="19"/>
  <c r="I61" i="19"/>
  <c r="AB63" i="19" l="1"/>
  <c r="T63" i="19"/>
  <c r="C64" i="19"/>
  <c r="N62" i="19"/>
  <c r="I62" i="19"/>
  <c r="T64" i="19" l="1"/>
  <c r="AB64" i="19"/>
  <c r="C65" i="19"/>
  <c r="N63" i="19"/>
  <c r="I63" i="19"/>
  <c r="T65" i="19" l="1"/>
  <c r="AB65" i="19"/>
  <c r="C66" i="19"/>
  <c r="N64" i="19"/>
  <c r="I64" i="19"/>
  <c r="AT23" i="19"/>
  <c r="AT22" i="19"/>
  <c r="AT13" i="19"/>
  <c r="AT12" i="19"/>
  <c r="N65" i="19" l="1"/>
  <c r="I65" i="19"/>
  <c r="T66" i="19"/>
  <c r="AB66" i="19"/>
  <c r="C67" i="19"/>
  <c r="AB67" i="19" l="1"/>
  <c r="T67" i="19"/>
  <c r="C68" i="19"/>
  <c r="N66" i="19"/>
  <c r="I66" i="19"/>
  <c r="C69" i="19" l="1"/>
  <c r="T68" i="19"/>
  <c r="AB68" i="19"/>
  <c r="N67" i="19"/>
  <c r="I67" i="19"/>
  <c r="C70" i="19" l="1"/>
  <c r="T69" i="19"/>
  <c r="AB69" i="19"/>
  <c r="N68" i="19"/>
  <c r="I68" i="19"/>
  <c r="N69" i="19" l="1"/>
  <c r="I69" i="19"/>
  <c r="C71" i="19"/>
  <c r="T70" i="19"/>
  <c r="AB70" i="19"/>
  <c r="C72" i="19" l="1"/>
  <c r="T71" i="19"/>
  <c r="AB71" i="19"/>
  <c r="N70" i="19"/>
  <c r="I70" i="19"/>
  <c r="N71" i="19" l="1"/>
  <c r="I71" i="19"/>
  <c r="C73" i="19"/>
  <c r="AB72" i="19"/>
  <c r="T72" i="19"/>
  <c r="AG15" i="19"/>
  <c r="AG27" i="19"/>
  <c r="N72" i="19" l="1"/>
  <c r="I72" i="19"/>
  <c r="T73" i="19"/>
  <c r="AB73" i="19"/>
  <c r="C74" i="19"/>
  <c r="N73" i="19" l="1"/>
  <c r="I73" i="19"/>
  <c r="T74" i="19"/>
  <c r="AB74" i="19"/>
  <c r="C75" i="19"/>
  <c r="N74" i="19" l="1"/>
  <c r="I74" i="19"/>
  <c r="C76" i="19"/>
  <c r="T75" i="19"/>
  <c r="AB75" i="19"/>
  <c r="N75" i="19" l="1"/>
  <c r="I75" i="19"/>
  <c r="T76" i="19"/>
  <c r="AB76" i="19"/>
  <c r="C77" i="19"/>
  <c r="N76" i="19" l="1"/>
  <c r="I76" i="19"/>
  <c r="T77" i="19"/>
  <c r="AB77" i="19"/>
  <c r="C78" i="19"/>
  <c r="N77" i="19" l="1"/>
  <c r="I77" i="19"/>
  <c r="T78" i="19"/>
  <c r="AB78" i="19"/>
  <c r="AG42" i="19"/>
  <c r="AG30" i="19"/>
  <c r="AG18" i="19"/>
  <c r="AG37" i="19" l="1" a="1"/>
  <c r="AG37" i="19" s="1"/>
  <c r="AG40" i="19" s="1"/>
  <c r="AG38" i="19" a="1"/>
  <c r="AG38" i="19" s="1"/>
  <c r="AT28" i="19" s="1"/>
  <c r="N78" i="19"/>
  <c r="I78" i="19"/>
  <c r="AG26" i="19" a="1"/>
  <c r="AG26" i="19" s="1"/>
  <c r="AT18" i="19" s="1"/>
  <c r="AG25" i="19" a="1"/>
  <c r="AG25" i="19" s="1"/>
  <c r="AG28" i="19" s="1"/>
  <c r="AD55" i="19" l="1"/>
  <c r="AD57" i="19"/>
  <c r="AC57" i="19"/>
  <c r="AC56" i="19"/>
  <c r="AD56" i="19"/>
  <c r="AC55" i="19"/>
  <c r="U57" i="19"/>
  <c r="V57" i="19"/>
  <c r="U56" i="19"/>
  <c r="V56" i="19"/>
  <c r="U55" i="19"/>
  <c r="V55" i="19"/>
  <c r="U54" i="19"/>
  <c r="V54" i="19"/>
  <c r="AC54" i="19"/>
  <c r="AD54" i="19"/>
  <c r="AD53" i="19"/>
  <c r="AC53" i="19"/>
  <c r="U53" i="19"/>
  <c r="V53" i="19"/>
  <c r="V52" i="19"/>
  <c r="V51" i="19"/>
  <c r="V48" i="19"/>
  <c r="V46" i="19"/>
  <c r="U29" i="19"/>
  <c r="U9" i="19"/>
  <c r="U12" i="19"/>
  <c r="U39" i="19"/>
  <c r="U22" i="19"/>
  <c r="U50" i="19"/>
  <c r="V9" i="19"/>
  <c r="U48" i="19"/>
  <c r="U19" i="19"/>
  <c r="U49" i="19"/>
  <c r="U47" i="19"/>
  <c r="V29" i="19"/>
  <c r="V50" i="19"/>
  <c r="V47" i="19"/>
  <c r="V22" i="19"/>
  <c r="U41" i="19"/>
  <c r="U33" i="19"/>
  <c r="U24" i="19"/>
  <c r="U16" i="19"/>
  <c r="U36" i="19"/>
  <c r="V13" i="19"/>
  <c r="U46" i="19"/>
  <c r="U25" i="19"/>
  <c r="V41" i="19"/>
  <c r="V14" i="19"/>
  <c r="U52" i="19"/>
  <c r="V21" i="19"/>
  <c r="U18" i="19"/>
  <c r="U40" i="19"/>
  <c r="V11" i="19"/>
  <c r="U30" i="19"/>
  <c r="U13" i="19"/>
  <c r="U27" i="19"/>
  <c r="V17" i="19"/>
  <c r="V49" i="19"/>
  <c r="V12" i="19"/>
  <c r="V35" i="19"/>
  <c r="U42" i="19"/>
  <c r="U21" i="19"/>
  <c r="V27" i="19"/>
  <c r="V18" i="19"/>
  <c r="V38" i="19"/>
  <c r="V43" i="19"/>
  <c r="V32" i="19"/>
  <c r="U45" i="19"/>
  <c r="V40" i="19"/>
  <c r="V30" i="19"/>
  <c r="V25" i="19"/>
  <c r="V19" i="19"/>
  <c r="V33" i="19"/>
  <c r="U31" i="19"/>
  <c r="U10" i="19"/>
  <c r="U37" i="19"/>
  <c r="V23" i="19"/>
  <c r="U43" i="19"/>
  <c r="V45" i="19"/>
  <c r="V42" i="19"/>
  <c r="V37" i="19"/>
  <c r="V36" i="19"/>
  <c r="U34" i="19"/>
  <c r="U17" i="19"/>
  <c r="U51" i="19"/>
  <c r="V15" i="19"/>
  <c r="V24" i="19"/>
  <c r="U15" i="19"/>
  <c r="V8" i="19"/>
  <c r="U11" i="19"/>
  <c r="U14" i="19"/>
  <c r="U35" i="19"/>
  <c r="V10" i="19"/>
  <c r="V16" i="19"/>
  <c r="V26" i="19"/>
  <c r="V34" i="19"/>
  <c r="V20" i="19"/>
  <c r="U8" i="19"/>
  <c r="U20" i="19"/>
  <c r="U23" i="19"/>
  <c r="U26" i="19"/>
  <c r="U32" i="19"/>
  <c r="V28" i="19"/>
  <c r="V39" i="19"/>
  <c r="V44" i="19"/>
  <c r="V31" i="19"/>
  <c r="U28" i="19"/>
  <c r="U38" i="19"/>
  <c r="U44" i="19"/>
  <c r="AG13" i="19" a="1"/>
  <c r="AG13" i="19" s="1"/>
  <c r="AG16" i="19" s="1"/>
  <c r="AG14" i="19" a="1"/>
  <c r="AG14" i="19" s="1"/>
  <c r="AT8" i="19" s="1"/>
  <c r="AC50" i="19"/>
  <c r="AD50" i="19"/>
  <c r="AD51" i="19"/>
  <c r="AC51" i="19"/>
  <c r="AC52" i="19"/>
  <c r="AD52" i="19"/>
  <c r="AC46" i="19"/>
  <c r="AC24" i="19"/>
  <c r="AD43" i="19"/>
  <c r="AC26" i="19"/>
  <c r="AD36" i="19"/>
  <c r="AC29" i="19"/>
  <c r="AC43" i="19"/>
  <c r="AD33" i="19"/>
  <c r="AC44" i="19"/>
  <c r="AD17" i="19"/>
  <c r="AC45" i="19"/>
  <c r="AC36" i="19"/>
  <c r="AD9" i="19"/>
  <c r="AD23" i="19"/>
  <c r="AD48" i="19"/>
  <c r="AC41" i="19"/>
  <c r="AD28" i="19"/>
  <c r="AD18" i="19"/>
  <c r="AC15" i="19"/>
  <c r="AD26" i="19"/>
  <c r="AC9" i="19"/>
  <c r="AD24" i="19"/>
  <c r="AC19" i="19"/>
  <c r="AC21" i="19"/>
  <c r="AC48" i="19"/>
  <c r="AD21" i="19"/>
  <c r="AD35" i="19"/>
  <c r="AC16" i="19"/>
  <c r="AD14" i="19"/>
  <c r="AC20" i="19"/>
  <c r="AD22" i="19"/>
  <c r="AC28" i="19"/>
  <c r="AC18" i="19"/>
  <c r="AC12" i="19"/>
  <c r="AD19" i="19"/>
  <c r="AC14" i="19"/>
  <c r="AD45" i="19"/>
  <c r="AC39" i="19"/>
  <c r="AD8" i="19"/>
  <c r="AD38" i="19"/>
  <c r="AD29" i="19"/>
  <c r="AC33" i="19"/>
  <c r="AD31" i="19"/>
  <c r="AC38" i="19"/>
  <c r="AC13" i="19"/>
  <c r="AC8" i="19"/>
  <c r="AC11" i="19"/>
  <c r="AD11" i="19"/>
  <c r="AC25" i="19"/>
  <c r="AD40" i="19"/>
  <c r="AC10" i="19"/>
  <c r="AC30" i="19"/>
  <c r="AC22" i="19"/>
  <c r="AC35" i="19"/>
  <c r="AC42" i="19"/>
  <c r="AC47" i="19"/>
  <c r="AD47" i="19"/>
  <c r="AC37" i="19"/>
  <c r="AD13" i="19"/>
  <c r="AC23" i="19"/>
  <c r="AC17" i="19"/>
  <c r="AC31" i="19"/>
  <c r="AD20" i="19"/>
  <c r="AC27" i="19"/>
  <c r="AC49" i="19"/>
  <c r="AC34" i="19"/>
  <c r="AD25" i="19"/>
  <c r="AD15" i="19"/>
  <c r="AD16" i="19"/>
  <c r="AD32" i="19"/>
  <c r="AC40" i="19"/>
  <c r="AD10" i="19"/>
  <c r="AD30" i="19"/>
  <c r="AD37" i="19"/>
  <c r="AD27" i="19"/>
  <c r="AD39" i="19"/>
  <c r="AD42" i="19"/>
  <c r="AD41" i="19"/>
  <c r="AD44" i="19"/>
  <c r="AC32" i="19"/>
  <c r="AD34" i="19"/>
  <c r="AD12" i="19"/>
  <c r="AD49" i="19"/>
  <c r="AD46" i="19"/>
  <c r="J57" i="19" l="1"/>
  <c r="K57" i="19"/>
  <c r="J56" i="19"/>
  <c r="K56" i="19"/>
  <c r="J55" i="19"/>
  <c r="K55" i="19"/>
  <c r="K54" i="19"/>
  <c r="J54" i="19"/>
  <c r="J53" i="19"/>
  <c r="K53" i="19"/>
  <c r="J52" i="19"/>
  <c r="J11" i="19"/>
  <c r="J35" i="19"/>
  <c r="K30" i="19"/>
  <c r="K32" i="19"/>
  <c r="J12" i="19"/>
  <c r="K38" i="19"/>
  <c r="J8" i="19"/>
  <c r="J21" i="19"/>
  <c r="K36" i="19"/>
  <c r="K29" i="19"/>
  <c r="J29" i="19"/>
  <c r="K37" i="19"/>
  <c r="J16" i="19"/>
  <c r="J24" i="19"/>
  <c r="K23" i="19"/>
  <c r="J39" i="19"/>
  <c r="J34" i="19"/>
  <c r="J23" i="19"/>
  <c r="K52" i="19"/>
  <c r="J47" i="19"/>
  <c r="K12" i="19"/>
  <c r="K43" i="19"/>
  <c r="K50" i="19"/>
  <c r="J33" i="19"/>
  <c r="J20" i="19"/>
  <c r="J26" i="19"/>
  <c r="K24" i="19"/>
  <c r="K22" i="19"/>
  <c r="K46" i="19"/>
  <c r="J27" i="19"/>
  <c r="K31" i="19"/>
  <c r="J38" i="19"/>
  <c r="K14" i="19"/>
  <c r="K47" i="19"/>
  <c r="K13" i="19"/>
  <c r="J31" i="19"/>
  <c r="K10" i="19"/>
  <c r="J48" i="19"/>
  <c r="K41" i="19"/>
  <c r="K26" i="19"/>
  <c r="K25" i="19"/>
  <c r="J19" i="19"/>
  <c r="J18" i="19"/>
  <c r="K45" i="19"/>
  <c r="J10" i="19"/>
  <c r="J17" i="19"/>
  <c r="K39" i="19"/>
  <c r="J46" i="19"/>
  <c r="K49" i="19"/>
  <c r="J30" i="19"/>
  <c r="K40" i="19"/>
  <c r="J28" i="19"/>
  <c r="J40" i="19"/>
  <c r="J42" i="19"/>
  <c r="J22" i="19"/>
  <c r="K8" i="19"/>
  <c r="K9" i="19"/>
  <c r="K34" i="19"/>
  <c r="K48" i="19"/>
  <c r="K16" i="19"/>
  <c r="J14" i="19"/>
  <c r="J50" i="19"/>
  <c r="J32" i="19"/>
  <c r="K20" i="19"/>
  <c r="K27" i="19"/>
  <c r="J49" i="19"/>
  <c r="K21" i="19"/>
  <c r="J9" i="19"/>
  <c r="K15" i="19"/>
  <c r="J41" i="19"/>
  <c r="K42" i="19"/>
  <c r="K33" i="19"/>
  <c r="K11" i="19"/>
  <c r="J45" i="19"/>
  <c r="K44" i="19"/>
  <c r="J13" i="19"/>
  <c r="J43" i="19"/>
  <c r="J15" i="19"/>
  <c r="K19" i="19"/>
  <c r="J25" i="19"/>
  <c r="K35" i="19"/>
  <c r="K18" i="19"/>
  <c r="K17" i="19"/>
  <c r="K28" i="19"/>
  <c r="J44" i="19"/>
  <c r="J36" i="19"/>
  <c r="J37" i="19"/>
  <c r="J51" i="19"/>
  <c r="K51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tc={9A58F8C8-EC4D-4204-BDBD-1ED773C791C2}</author>
    <author>tc={CC489CA4-0428-4260-9C71-F50F294E0276}</author>
    <author>tc={92ED0BA3-CD99-4B8E-BFDD-0EEF8E782638}</author>
    <author>tc={4409B014-A5A7-4F76-9492-F48BE71B769B}</author>
    <author>tc={81FAFA63-54C6-45CC-9070-46D07C730098}</author>
    <author>tc={4BF89DC0-3592-4FA2-8435-6F54BA02BC15}</author>
    <author>tc={98C3BF07-CEF3-412D-B8D1-2942AE2470B6}</author>
    <author>tc={21624EEB-6D22-429B-8E98-279137BB6058}</author>
    <author>tc={0E29A1A8-955C-48A8-BB66-F9B1A9E97908}</author>
    <author>tc={08774897-7F0B-4B4B-AF46-93FF194A769D}</author>
    <author>tc={85C09E34-A5EC-4346-8195-06EE393D72DF}</author>
    <author>tc={B76B2E5A-CC8C-4D5D-883C-4881C14D6A49}</author>
    <author>tc={422813AA-7B17-475A-BC56-7328C0D1FD19}</author>
    <author>tc={DF686F86-B428-4733-B393-4D0F0A4D84F3}</author>
    <author>tc={23B8A78F-4853-446A-8154-8529F1B769CC}</author>
    <author>tc={52BC14E3-58A2-47FD-AA97-3E562BB3003C}</author>
  </authors>
  <commentList>
    <comment ref="AH4" authorId="0" shapeId="0" xr:uid="{9A58F8C8-EC4D-4204-BDBD-1ED773C791C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H5" authorId="1" shapeId="0" xr:uid="{CC489CA4-0428-4260-9C71-F50F294E027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2" shapeId="0" xr:uid="{92ED0BA3-CD99-4B8E-BFDD-0EEF8E78263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3" shapeId="0" xr:uid="{4409B014-A5A7-4F76-9492-F48BE71B769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4" shapeId="0" xr:uid="{81FAFA63-54C6-45CC-9070-46D07C7300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5" shapeId="0" xr:uid="{4BF89DC0-3592-4FA2-8435-6F54BA02BC1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6" shapeId="0" xr:uid="{98C3BF07-CEF3-412D-B8D1-2942AE2470B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7" shapeId="0" xr:uid="{21624EEB-6D22-429B-8E98-279137BB605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8" shapeId="0" xr:uid="{0E29A1A8-955C-48A8-BB66-F9B1A9E9790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  <comment ref="B103" authorId="9" shapeId="0" xr:uid="{08774897-7F0B-4B4B-AF46-93FF194A769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09" authorId="10" shapeId="0" xr:uid="{85C09E34-A5EC-4346-8195-06EE393D72D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13" authorId="11" shapeId="0" xr:uid="{B76B2E5A-CC8C-4D5D-883C-4881C14D6A4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116" authorId="12" shapeId="0" xr:uid="{422813AA-7B17-475A-BC56-7328C0D1FD1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118" authorId="13" shapeId="0" xr:uid="{DF686F86-B428-4733-B393-4D0F0A4D84F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120" authorId="14" shapeId="0" xr:uid="{23B8A78F-4853-446A-8154-8529F1B769C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131" authorId="15" shapeId="0" xr:uid="{52BC14E3-58A2-47FD-AA97-3E562BB3003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tc={013D75A6-D219-4696-8A74-E71BD1DE8067}</author>
    <author>tc={74D534AB-025B-453A-B72C-53CD493EE2CD}</author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AH4" authorId="0" shapeId="0" xr:uid="{013D75A6-D219-4696-8A74-E71BD1DE806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H5" authorId="1" shapeId="0" xr:uid="{74D534AB-025B-453A-B72C-53CD493EE2C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2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3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4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5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6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7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8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FAE79B7-1CD3-4609-AF8E-8BF7D5A95FF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1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<sst xmlns="http://schemas.openxmlformats.org/spreadsheetml/2006/main" count="360" uniqueCount="115">
  <si>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</si>
  <si>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</si>
  <si>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</si>
  <si>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</si>
  <si>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</si>
  <si>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</si>
  <si>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</si>
  <si>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</si>
  <si>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</si>
  <si>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</si>
  <si>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</si>
  <si>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</si>
  <si>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</si>
  <si>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</si>
  <si>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</si>
  <si>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</si>
  <si>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</si>
  <si>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</si>
  <si>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</si>
  <si>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</si>
  <si>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</si>
  <si>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</si>
  <si>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</si>
  <si>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</si>
  <si>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</si>
  <si>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</si>
  <si>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</si>
  <si>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</si>
  <si>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</si>
  <si>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</si>
  <si>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</si>
  <si>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</si>
  <si>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</si>
  <si>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</si>
  <si>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</si>
  <si>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</si>
  <si>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</si>
  <si>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</si>
  <si>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</si>
  <si>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</si>
  <si>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</si>
  <si>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</si>
  <si>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</si>
  <si>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</si>
  <si>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</si>
  <si>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</si>
  <si>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</si>
  <si>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</si>
  <si>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</si>
  <si>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</si>
  <si>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</si>
  <si>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</si>
  <si>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</si>
  <si>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</si>
  <si>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</si>
  <si>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</si>
  <si>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</si>
  <si>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</si>
  <si>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</si>
  <si>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</si>
  <si>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C_Upper CI</t>
  </si>
  <si>
    <t>C_Lower CI</t>
  </si>
  <si>
    <t>Cum_deaths</t>
  </si>
  <si>
    <t>New deaths</t>
  </si>
  <si>
    <t>Cum_D_fit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</si>
  <si>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</si>
  <si>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</si>
  <si>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</si>
  <si>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</si>
  <si>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</si>
  <si>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</si>
  <si>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</si>
  <si>
    <t>SOLVER models</t>
  </si>
  <si>
    <t>Cum_recov</t>
  </si>
  <si>
    <t>Cum_R_fit</t>
  </si>
  <si>
    <t>NR_Upper CI</t>
  </si>
  <si>
    <t>NR_Lower CI</t>
  </si>
  <si>
    <t>Curr_positive</t>
  </si>
  <si>
    <t>New_positive</t>
  </si>
  <si>
    <t>Colonna1</t>
  </si>
  <si>
    <t>Colonna2</t>
  </si>
  <si>
    <t>Recovered</t>
  </si>
  <si>
    <t>Colonna3</t>
  </si>
  <si>
    <t>Colonna4</t>
  </si>
  <si>
    <t>Colonna5</t>
  </si>
  <si>
    <t>Colonna6</t>
  </si>
  <si>
    <r>
      <t>t</t>
    </r>
    <r>
      <rPr>
        <i/>
        <vertAlign val="subscript"/>
        <sz val="11"/>
        <color rgb="FFFF0000"/>
        <rFont val="Calibri"/>
        <family val="2"/>
        <scheme val="minor"/>
      </rPr>
      <t>0</t>
    </r>
    <r>
      <rPr>
        <i/>
        <sz val="11"/>
        <color rgb="FFFF0000"/>
        <rFont val="Calibri"/>
        <family val="2"/>
        <scheme val="minor"/>
      </rPr>
      <t>=</t>
    </r>
  </si>
  <si>
    <r>
      <t>R</t>
    </r>
    <r>
      <rPr>
        <vertAlign val="superscript"/>
        <sz val="11"/>
        <color rgb="FFFF0000"/>
        <rFont val="Calibri"/>
        <family val="2"/>
        <scheme val="minor"/>
      </rPr>
      <t>2</t>
    </r>
  </si>
  <si>
    <t>New_cases_fit</t>
  </si>
  <si>
    <t>New_positive_fit</t>
  </si>
  <si>
    <t>New_Recovered_fit</t>
  </si>
  <si>
    <t>New_Deaths_fit</t>
  </si>
  <si>
    <t>New recovered</t>
  </si>
  <si>
    <t>t0=</t>
  </si>
  <si>
    <t>New cases fit</t>
  </si>
  <si>
    <t>New recovered fit</t>
  </si>
  <si>
    <t>New deaths fit</t>
  </si>
  <si>
    <t>Recovered fit</t>
  </si>
  <si>
    <t>DO NOT EXECUTE</t>
  </si>
  <si>
    <t>Saturation val.</t>
  </si>
  <si>
    <t>R_Upper CI</t>
  </si>
  <si>
    <t>R_Lower CI</t>
  </si>
  <si>
    <t>D_Upper CI</t>
  </si>
  <si>
    <t>D_Lower CI</t>
  </si>
  <si>
    <r>
      <t>t</t>
    </r>
    <r>
      <rPr>
        <i/>
        <strike/>
        <vertAlign val="subscript"/>
        <sz val="11"/>
        <color theme="8"/>
        <rFont val="Calibri"/>
        <family val="2"/>
        <scheme val="minor"/>
      </rPr>
      <t>0</t>
    </r>
    <r>
      <rPr>
        <i/>
        <strike/>
        <sz val="11"/>
        <color theme="8"/>
        <rFont val="Calibri"/>
        <family val="2"/>
        <scheme val="minor"/>
      </rPr>
      <t>=</t>
    </r>
  </si>
  <si>
    <t>k=</t>
  </si>
  <si>
    <t>pd-IT-0011</t>
  </si>
  <si>
    <t>pd-EN-0011</t>
  </si>
  <si>
    <t>dc-IT-0003</t>
  </si>
  <si>
    <t>dc-EN-0003</t>
  </si>
  <si>
    <t>Solver method: GRG2 non linear engine - option: default</t>
  </si>
  <si>
    <r>
      <t>t</t>
    </r>
    <r>
      <rPr>
        <i/>
        <vertAlign val="subscript"/>
        <sz val="11"/>
        <color rgb="FF00B050"/>
        <rFont val="Calibri"/>
        <family val="2"/>
        <scheme val="minor"/>
      </rPr>
      <t>0</t>
    </r>
    <r>
      <rPr>
        <i/>
        <sz val="11"/>
        <color rgb="FF00B050"/>
        <rFont val="Calibri"/>
        <family val="2"/>
        <scheme val="minor"/>
      </rPr>
      <t>=</t>
    </r>
  </si>
  <si>
    <r>
      <t>R</t>
    </r>
    <r>
      <rPr>
        <vertAlign val="superscript"/>
        <sz val="11"/>
        <color theme="8"/>
        <rFont val="Calibri"/>
        <family val="2"/>
        <scheme val="minor"/>
      </rPr>
      <t>2</t>
    </r>
  </si>
  <si>
    <r>
      <t>R</t>
    </r>
    <r>
      <rPr>
        <vertAlign val="superscript"/>
        <sz val="11"/>
        <color rgb="FF00B050"/>
        <rFont val="Calibri"/>
        <family val="2"/>
        <scheme val="minor"/>
      </rPr>
      <t>2</t>
    </r>
  </si>
  <si>
    <r>
      <t>t</t>
    </r>
    <r>
      <rPr>
        <i/>
        <vertAlign val="subscript"/>
        <sz val="11"/>
        <color theme="8"/>
        <rFont val="Calibri"/>
        <family val="2"/>
        <scheme val="minor"/>
      </rPr>
      <t>0</t>
    </r>
    <r>
      <rPr>
        <i/>
        <sz val="11"/>
        <color theme="8"/>
        <rFont val="Calibri"/>
        <family val="2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</si>
</sst>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mmmm\ d\,\ yyyy;@"/>
  </numFmts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vertAlign val="subscript"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i/>
      <strike/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i/>
      <strike/>
      <vertAlign val="subscript"/>
      <sz val="11"/>
      <color theme="8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vertAlign val="subscript"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8"/>
      <name val="Calibri"/>
      <family val="2"/>
      <scheme val="minor"/>
    </font>
    <font>
      <vertAlign val="superscript"/>
      <sz val="11"/>
      <color rgb="FF00B050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vertAlign val="subscript"/>
      <sz val="11"/>
      <color theme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gray06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5" fillId="3" borderId="1" applyNumberFormat="0" applyFont="0" applyAlignment="0" applyProtection="0"/>
    <xf numFmtId="0" fontId="14" fillId="4" borderId="0" applyNumberFormat="0" applyBorder="0" applyAlignment="0" applyProtection="0"/>
    <xf numFmtId="0" fontId="5" fillId="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30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0" fontId="0" fillId="0" borderId="2" xfId="0" applyBorder="1" applyAlignment="1">
      <alignment wrapText="1"/>
    </xf>
    <xf numFmtId="164" fontId="12" fillId="0" borderId="3" xfId="0" applyNumberFormat="1" applyFont="1" applyBorder="1"/>
    <xf numFmtId="0" fontId="12" fillId="0" borderId="3" xfId="0" applyFont="1" applyBorder="1"/>
    <xf numFmtId="0" fontId="1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  <xf numFmtId="1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 wrapText="1"/>
    </xf>
    <xf numFmtId="0" fontId="17" fillId="0" borderId="0" xfId="0" applyFont="1" applyAlignment="1">
      <alignment horizontal="center"/>
    </xf>
    <xf numFmtId="1" fontId="14" fillId="4" borderId="0" xfId="2" applyNumberFormat="1" applyAlignment="1">
      <alignment horizontal="center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/>
    <xf numFmtId="1" fontId="5" fillId="5" borderId="0" xfId="3" applyNumberFormat="1" applyAlignment="1">
      <alignment horizontal="center"/>
    </xf>
    <xf numFmtId="0" fontId="13" fillId="5" borderId="0" xfId="3" applyFont="1" applyAlignment="1">
      <alignment horizontal="center"/>
    </xf>
    <xf numFmtId="0" fontId="13" fillId="5" borderId="0" xfId="3" applyFont="1" applyAlignment="1">
      <alignment horizontal="center" wrapText="1"/>
    </xf>
    <xf numFmtId="0" fontId="24" fillId="0" borderId="0" xfId="0" applyFont="1" applyAlignment="1">
      <alignment horizontal="center" wrapText="1"/>
    </xf>
    <xf numFmtId="1" fontId="5" fillId="7" borderId="0" xfId="9" applyNumberFormat="1" applyAlignment="1">
      <alignment horizontal="center"/>
    </xf>
    <xf numFmtId="0" fontId="13" fillId="7" borderId="0" xfId="9" applyFont="1" applyAlignment="1">
      <alignment horizontal="center"/>
    </xf>
    <xf numFmtId="0" fontId="13" fillId="7" borderId="0" xfId="9" applyFont="1" applyAlignment="1">
      <alignment horizontal="center" wrapText="1"/>
    </xf>
    <xf numFmtId="1" fontId="1" fillId="4" borderId="0" xfId="2" applyNumberFormat="1" applyFont="1" applyAlignment="1">
      <alignment horizontal="center"/>
    </xf>
    <xf numFmtId="0" fontId="5" fillId="6" borderId="0" xfId="8" applyAlignment="1">
      <alignment horizontal="center" wrapText="1"/>
    </xf>
    <xf numFmtId="1" fontId="5" fillId="6" borderId="0" xfId="8" applyNumberForma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6" fillId="0" borderId="0" xfId="0" applyFont="1" applyFill="1"/>
    <xf numFmtId="0" fontId="1" fillId="0" borderId="0" xfId="0" applyFont="1" applyAlignment="1">
      <alignment wrapText="1"/>
    </xf>
    <xf numFmtId="0" fontId="27" fillId="2" borderId="0" xfId="0" applyFont="1" applyFill="1"/>
    <xf numFmtId="2" fontId="1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3" fillId="0" borderId="10" xfId="7" applyAlignment="1">
      <alignment horizontal="left" vertical="center"/>
    </xf>
    <xf numFmtId="0" fontId="15" fillId="0" borderId="0" xfId="0" applyFont="1" applyAlignment="1">
      <alignment wrapText="1"/>
    </xf>
    <xf numFmtId="165" fontId="10" fillId="0" borderId="0" xfId="0" applyNumberFormat="1" applyFont="1"/>
    <xf numFmtId="165" fontId="11" fillId="0" borderId="0" xfId="0" applyNumberFormat="1" applyFont="1"/>
    <xf numFmtId="0" fontId="31" fillId="2" borderId="0" xfId="0" applyFont="1" applyFill="1"/>
    <xf numFmtId="2" fontId="32" fillId="2" borderId="0" xfId="0" applyNumberFormat="1" applyFont="1" applyFill="1"/>
    <xf numFmtId="0" fontId="0" fillId="8" borderId="2" xfId="0" applyFill="1" applyBorder="1" applyAlignment="1">
      <alignment wrapText="1"/>
    </xf>
    <xf numFmtId="164" fontId="1" fillId="8" borderId="3" xfId="0" applyNumberFormat="1" applyFont="1" applyFill="1" applyBorder="1"/>
    <xf numFmtId="0" fontId="1" fillId="8" borderId="3" xfId="0" applyFont="1" applyFill="1" applyBorder="1"/>
    <xf numFmtId="0" fontId="1" fillId="8" borderId="7" xfId="0" applyFont="1" applyFill="1" applyBorder="1"/>
    <xf numFmtId="0" fontId="13" fillId="6" borderId="0" xfId="8" applyFont="1" applyAlignment="1">
      <alignment horizontal="center" wrapText="1"/>
    </xf>
    <xf numFmtId="0" fontId="0" fillId="9" borderId="2" xfId="0" applyFill="1" applyBorder="1" applyAlignment="1">
      <alignment wrapText="1"/>
    </xf>
    <xf numFmtId="164" fontId="1" fillId="9" borderId="3" xfId="0" applyNumberFormat="1" applyFont="1" applyFill="1" applyBorder="1"/>
    <xf numFmtId="0" fontId="1" fillId="9" borderId="3" xfId="0" applyFont="1" applyFill="1" applyBorder="1"/>
    <xf numFmtId="0" fontId="1" fillId="9" borderId="7" xfId="0" applyFont="1" applyFill="1" applyBorder="1"/>
    <xf numFmtId="0" fontId="23" fillId="0" borderId="10" xfId="7" applyAlignment="1">
      <alignment horizontal="left" vertical="center"/>
    </xf>
    <xf numFmtId="0" fontId="35" fillId="2" borderId="0" xfId="0" applyFont="1" applyFill="1"/>
    <xf numFmtId="2" fontId="15" fillId="2" borderId="0" xfId="0" applyNumberFormat="1" applyFont="1" applyFill="1"/>
    <xf numFmtId="0" fontId="15" fillId="0" borderId="0" xfId="0" applyFont="1" applyFill="1"/>
    <xf numFmtId="165" fontId="24" fillId="0" borderId="0" xfId="0" applyNumberFormat="1" applyFont="1"/>
    <xf numFmtId="164" fontId="34" fillId="9" borderId="3" xfId="0" applyNumberFormat="1" applyFont="1" applyFill="1" applyBorder="1"/>
    <xf numFmtId="0" fontId="34" fillId="9" borderId="3" xfId="0" applyFont="1" applyFill="1" applyBorder="1"/>
    <xf numFmtId="0" fontId="34" fillId="9" borderId="4" xfId="0" applyFont="1" applyFill="1" applyBorder="1"/>
    <xf numFmtId="164" fontId="30" fillId="9" borderId="3" xfId="0" applyNumberFormat="1" applyFont="1" applyFill="1" applyBorder="1"/>
    <xf numFmtId="0" fontId="30" fillId="9" borderId="3" xfId="0" applyFont="1" applyFill="1" applyBorder="1"/>
    <xf numFmtId="0" fontId="30" fillId="9" borderId="7" xfId="0" applyFont="1" applyFill="1" applyBorder="1"/>
    <xf numFmtId="164" fontId="34" fillId="8" borderId="3" xfId="0" applyNumberFormat="1" applyFont="1" applyFill="1" applyBorder="1"/>
    <xf numFmtId="0" fontId="34" fillId="8" borderId="3" xfId="0" applyFont="1" applyFill="1" applyBorder="1"/>
    <xf numFmtId="0" fontId="34" fillId="8" borderId="4" xfId="0" applyFont="1" applyFill="1" applyBorder="1"/>
    <xf numFmtId="164" fontId="30" fillId="8" borderId="3" xfId="0" applyNumberFormat="1" applyFont="1" applyFill="1" applyBorder="1"/>
    <xf numFmtId="0" fontId="30" fillId="8" borderId="3" xfId="0" applyFont="1" applyFill="1" applyBorder="1"/>
    <xf numFmtId="0" fontId="30" fillId="8" borderId="7" xfId="0" applyFont="1" applyFill="1" applyBorder="1"/>
    <xf numFmtId="0" fontId="37" fillId="9" borderId="5" xfId="0" applyFont="1" applyFill="1" applyBorder="1" applyAlignment="1">
      <alignment horizontal="center" vertical="center" textRotation="180" wrapText="1"/>
    </xf>
    <xf numFmtId="0" fontId="37" fillId="9" borderId="3" xfId="0" applyFont="1" applyFill="1" applyBorder="1" applyAlignment="1">
      <alignment horizontal="center" vertical="center" textRotation="180" wrapText="1"/>
    </xf>
    <xf numFmtId="0" fontId="37" fillId="9" borderId="6" xfId="0" applyFont="1" applyFill="1" applyBorder="1" applyAlignment="1">
      <alignment horizontal="center" vertical="center" textRotation="180" wrapText="1"/>
    </xf>
    <xf numFmtId="0" fontId="0" fillId="9" borderId="5" xfId="0" applyFill="1" applyBorder="1" applyAlignment="1">
      <alignment horizontal="center" vertical="center" textRotation="180" wrapText="1"/>
    </xf>
    <xf numFmtId="0" fontId="0" fillId="9" borderId="3" xfId="0" applyFill="1" applyBorder="1" applyAlignment="1">
      <alignment horizontal="center" vertical="center" textRotation="180" wrapText="1"/>
    </xf>
    <xf numFmtId="0" fontId="0" fillId="9" borderId="6" xfId="0" applyFill="1" applyBorder="1" applyAlignment="1">
      <alignment horizontal="center" vertical="center" textRotation="180" wrapText="1"/>
    </xf>
    <xf numFmtId="0" fontId="20" fillId="0" borderId="0" xfId="4"/>
    <xf numFmtId="0" fontId="5" fillId="5" borderId="0" xfId="3" applyBorder="1"/>
    <xf numFmtId="0" fontId="21" fillId="0" borderId="8" xfId="5"/>
    <xf numFmtId="0" fontId="22" fillId="0" borderId="9" xfId="6"/>
    <xf numFmtId="0" fontId="23" fillId="0" borderId="10" xfId="7" applyAlignment="1">
      <alignment horizontal="left" vertical="center"/>
    </xf>
    <xf numFmtId="0" fontId="0" fillId="8" borderId="5" xfId="0" applyFill="1" applyBorder="1" applyAlignment="1">
      <alignment horizontal="center" vertical="center" textRotation="180" wrapText="1"/>
    </xf>
    <xf numFmtId="0" fontId="0" fillId="8" borderId="3" xfId="0" applyFill="1" applyBorder="1" applyAlignment="1">
      <alignment horizontal="center" vertical="center" textRotation="180" wrapText="1"/>
    </xf>
    <xf numFmtId="0" fontId="0" fillId="8" borderId="6" xfId="0" applyFill="1" applyBorder="1" applyAlignment="1">
      <alignment horizontal="center" vertical="center" textRotation="180" wrapText="1"/>
    </xf>
    <xf numFmtId="1" fontId="26" fillId="0" borderId="0" xfId="0" applyNumberFormat="1" applyFont="1"/>
    <xf numFmtId="2" fontId="26" fillId="0" borderId="0" xfId="0" applyNumberFormat="1" applyFont="1"/>
    <xf numFmtId="164" fontId="26" fillId="0" borderId="0" xfId="0" applyNumberFormat="1" applyFont="1"/>
    <xf numFmtId="0" fontId="15" fillId="0" borderId="0" xfId="0" applyFont="1"/>
    <xf numFmtId="1" fontId="15" fillId="0" borderId="0" xfId="0" applyNumberFormat="1" applyFont="1"/>
    <xf numFmtId="2" fontId="15" fillId="0" borderId="0" xfId="0" applyNumberFormat="1" applyFont="1"/>
    <xf numFmtId="164" fontId="15" fillId="0" borderId="0" xfId="0" applyNumberFormat="1" applyFont="1"/>
    <xf numFmtId="0" fontId="40" fillId="2" borderId="0" xfId="0" applyFont="1" applyFill="1"/>
    <xf numFmtId="2" fontId="26" fillId="2" borderId="0" xfId="0" applyNumberFormat="1" applyFont="1" applyFill="1"/>
  </cellXfs>
  <cellStyles count="10">
    <cellStyle name="20% - Colore 1" xfId="3" builtinId="30"/>
    <cellStyle name="20% - Colore 2" xfId="8" builtinId="34"/>
    <cellStyle name="20% - Colore 6" xfId="9" builtinId="50"/>
    <cellStyle name="Neutrale" xfId="2" builtinId="28"/>
    <cellStyle name="Normale" xfId="0" builtinId="0"/>
    <cellStyle name="Nota" xfId="1" builtinId="10"/>
    <cellStyle name="Titolo" xfId="4" builtinId="15"/>
    <cellStyle name="Titolo 1" xfId="5" builtinId="16"/>
    <cellStyle name="Titolo 2" xfId="6" builtinId="17"/>
    <cellStyle name="Titolo 3" xfId="7" builtinId="18"/>
  </cellStyles>
  <dxfs count="68"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ExpPwLaw'!$D$6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ExpPwLaw'!$D$7:$D$70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E-4886-887F-F71EDE298C94}"/>
            </c:ext>
          </c:extLst>
        </c:ser>
        <c:ser>
          <c:idx val="1"/>
          <c:order val="1"/>
          <c:tx>
            <c:strRef>
              <c:f>'Cumul_confirmed - ExpPwLaw'!$E$6</c:f>
              <c:strCache>
                <c:ptCount val="1"/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ExpPwLaw'!$E$7:$E$70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221</c:v>
                </c:pt>
                <c:pt idx="2">
                  <c:v>93</c:v>
                </c:pt>
                <c:pt idx="3">
                  <c:v>78</c:v>
                </c:pt>
                <c:pt idx="4">
                  <c:v>250</c:v>
                </c:pt>
                <c:pt idx="5">
                  <c:v>238</c:v>
                </c:pt>
                <c:pt idx="6">
                  <c:v>240</c:v>
                </c:pt>
                <c:pt idx="7">
                  <c:v>566</c:v>
                </c:pt>
                <c:pt idx="8">
                  <c:v>342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6153</c:v>
                </c:pt>
                <c:pt idx="33">
                  <c:v>5959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4805</c:v>
                </c:pt>
                <c:pt idx="42">
                  <c:v>4316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  <c:pt idx="47">
                  <c:v>3951</c:v>
                </c:pt>
                <c:pt idx="48">
                  <c:v>4694</c:v>
                </c:pt>
                <c:pt idx="49">
                  <c:v>4092</c:v>
                </c:pt>
                <c:pt idx="50">
                  <c:v>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E-4886-887F-F71EDE298C94}"/>
            </c:ext>
          </c:extLst>
        </c:ser>
        <c:ser>
          <c:idx val="2"/>
          <c:order val="2"/>
          <c:tx>
            <c:strRef>
              <c:f>'Cumul_confirmed - ExpPwLaw'!$F$6</c:f>
              <c:strCache>
                <c:ptCount val="1"/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ExpPwLaw'!$F$7:$F$70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E-4886-887F-F71EDE298C94}"/>
            </c:ext>
          </c:extLst>
        </c:ser>
        <c:ser>
          <c:idx val="3"/>
          <c:order val="3"/>
          <c:tx>
            <c:strRef>
              <c:f>'Cumul_confirmed - ExpPwLaw'!$G$6</c:f>
              <c:strCache>
                <c:ptCount val="1"/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ExpPwLaw'!$G$7:$G$70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2.6790828365744101E-2</c:v>
                </c:pt>
                <c:pt idx="3">
                  <c:v>0.95699010644626215</c:v>
                </c:pt>
                <c:pt idx="4">
                  <c:v>7.374321386941201</c:v>
                </c:pt>
                <c:pt idx="5">
                  <c:v>30.333597887774864</c:v>
                </c:pt>
                <c:pt idx="6">
                  <c:v>88.477460358257304</c:v>
                </c:pt>
                <c:pt idx="7">
                  <c:v>207.67319928891715</c:v>
                </c:pt>
                <c:pt idx="8">
                  <c:v>419.63520380497675</c:v>
                </c:pt>
                <c:pt idx="9">
                  <c:v>759.97807819054958</c:v>
                </c:pt>
                <c:pt idx="10">
                  <c:v>1266.0578410409928</c:v>
                </c:pt>
                <c:pt idx="11">
                  <c:v>1974.8613342616118</c:v>
                </c:pt>
                <c:pt idx="12">
                  <c:v>2921.1165074242931</c:v>
                </c:pt>
                <c:pt idx="13">
                  <c:v>4135.7247264594953</c:v>
                </c:pt>
                <c:pt idx="14">
                  <c:v>5644.5613464907883</c:v>
                </c:pt>
                <c:pt idx="15">
                  <c:v>7467.6508972314678</c:v>
                </c:pt>
                <c:pt idx="16">
                  <c:v>9618.6959608471316</c:v>
                </c:pt>
                <c:pt idx="17">
                  <c:v>12104.921655382574</c:v>
                </c:pt>
                <c:pt idx="18">
                  <c:v>14927.188236478683</c:v>
                </c:pt>
                <c:pt idx="19">
                  <c:v>18080.320674496241</c:v>
                </c:pt>
                <c:pt idx="20">
                  <c:v>21553.604478829315</c:v>
                </c:pt>
                <c:pt idx="21">
                  <c:v>25331.400185332339</c:v>
                </c:pt>
                <c:pt idx="22">
                  <c:v>29393.833754034298</c:v>
                </c:pt>
                <c:pt idx="23">
                  <c:v>33717.525855455606</c:v>
                </c:pt>
                <c:pt idx="24">
                  <c:v>38276.329078842056</c:v>
                </c:pt>
                <c:pt idx="25">
                  <c:v>43042.048068744916</c:v>
                </c:pt>
                <c:pt idx="26">
                  <c:v>47985.123215984298</c:v>
                </c:pt>
                <c:pt idx="27">
                  <c:v>53075.263626824664</c:v>
                </c:pt>
                <c:pt idx="28">
                  <c:v>58282.019579486412</c:v>
                </c:pt>
                <c:pt idx="29">
                  <c:v>63575.288516031142</c:v>
                </c:pt>
                <c:pt idx="30">
                  <c:v>68925.751816432428</c:v>
                </c:pt>
                <c:pt idx="31">
                  <c:v>74305.242193620506</c:v>
                </c:pt>
                <c:pt idx="32">
                  <c:v>79687.04358386551</c:v>
                </c:pt>
                <c:pt idx="33">
                  <c:v>85046.126945972501</c:v>
                </c:pt>
                <c:pt idx="34">
                  <c:v>90359.326489296829</c:v>
                </c:pt>
                <c:pt idx="35">
                  <c:v>95605.461588477483</c:v>
                </c:pt>
                <c:pt idx="36">
                  <c:v>100765.4100732755</c:v>
                </c:pt>
                <c:pt idx="37">
                  <c:v>105822.13876180045</c:v>
                </c:pt>
                <c:pt idx="38">
                  <c:v>110760.69708609102</c:v>
                </c:pt>
                <c:pt idx="39">
                  <c:v>115568.17948590679</c:v>
                </c:pt>
                <c:pt idx="40">
                  <c:v>120233.66195910878</c:v>
                </c:pt>
                <c:pt idx="41">
                  <c:v>124748.11778870685</c:v>
                </c:pt>
                <c:pt idx="42">
                  <c:v>129104.31704559058</c:v>
                </c:pt>
                <c:pt idx="43">
                  <c:v>133296.71401515396</c:v>
                </c:pt>
                <c:pt idx="44">
                  <c:v>137321.32623397795</c:v>
                </c:pt>
                <c:pt idx="45">
                  <c:v>141175.60836396867</c:v>
                </c:pt>
                <c:pt idx="46">
                  <c:v>144858.32368694126</c:v>
                </c:pt>
                <c:pt idx="47">
                  <c:v>148369.41558074084</c:v>
                </c:pt>
                <c:pt idx="48">
                  <c:v>151709.88094428022</c:v>
                </c:pt>
                <c:pt idx="49">
                  <c:v>154881.64717699765</c:v>
                </c:pt>
                <c:pt idx="50">
                  <c:v>157887.45399020263</c:v>
                </c:pt>
                <c:pt idx="51">
                  <c:v>160730.74103426683</c:v>
                </c:pt>
                <c:pt idx="52">
                  <c:v>163415.54206629383</c:v>
                </c:pt>
                <c:pt idx="53">
                  <c:v>165946.38615666609</c:v>
                </c:pt>
                <c:pt idx="54">
                  <c:v>168328.2062380412</c:v>
                </c:pt>
                <c:pt idx="55">
                  <c:v>170566.25513489638</c:v>
                </c:pt>
                <c:pt idx="56">
                  <c:v>172666.02907329728</c:v>
                </c:pt>
                <c:pt idx="57">
                  <c:v>174633.1985567438</c:v>
                </c:pt>
                <c:pt idx="58">
                  <c:v>176473.54640225641</c:v>
                </c:pt>
                <c:pt idx="59">
                  <c:v>178192.91265884382</c:v>
                </c:pt>
                <c:pt idx="60">
                  <c:v>179797.14607577593</c:v>
                </c:pt>
                <c:pt idx="61">
                  <c:v>181292.06174841727</c:v>
                </c:pt>
                <c:pt idx="62">
                  <c:v>182683.40454264599</c:v>
                </c:pt>
                <c:pt idx="63">
                  <c:v>183976.81788315435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DE-4886-887F-F71EDE298C94}"/>
            </c:ext>
          </c:extLst>
        </c:ser>
        <c:ser>
          <c:idx val="4"/>
          <c:order val="4"/>
          <c:tx>
            <c:strRef>
              <c:f>'Cumul_confirmed - ExpPwLaw'!$H$6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ExpPwLaw'!$H$7:$H$70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0.13963206978005366</c:v>
                </c:pt>
                <c:pt idx="3">
                  <c:v>2.4364074163428819</c:v>
                </c:pt>
                <c:pt idx="4">
                  <c:v>12.222933046851352</c:v>
                </c:pt>
                <c:pt idx="5">
                  <c:v>36.809964285572086</c:v>
                </c:pt>
                <c:pt idx="6">
                  <c:v>83.813014359412065</c:v>
                </c:pt>
                <c:pt idx="7">
                  <c:v>159.89749581571292</c:v>
                </c:pt>
                <c:pt idx="8">
                  <c:v>269.99887525156538</c:v>
                </c:pt>
                <c:pt idx="9">
                  <c:v>416.9484575737261</c:v>
                </c:pt>
                <c:pt idx="10">
                  <c:v>601.40727113756213</c:v>
                </c:pt>
                <c:pt idx="11">
                  <c:v>822.01393917406051</c:v>
                </c:pt>
                <c:pt idx="12">
                  <c:v>1075.6666353608193</c:v>
                </c:pt>
                <c:pt idx="13">
                  <c:v>1357.8760550042825</c:v>
                </c:pt>
                <c:pt idx="14">
                  <c:v>1663.1423649716255</c:v>
                </c:pt>
                <c:pt idx="15">
                  <c:v>1985.3229768279293</c:v>
                </c:pt>
                <c:pt idx="16">
                  <c:v>2317.9693366893043</c:v>
                </c:pt>
                <c:pt idx="17">
                  <c:v>2654.6198135266723</c:v>
                </c:pt>
                <c:pt idx="18">
                  <c:v>2989.0424660406079</c:v>
                </c:pt>
                <c:pt idx="19">
                  <c:v>3315.4263179687323</c:v>
                </c:pt>
                <c:pt idx="20">
                  <c:v>3628.5231184481031</c:v>
                </c:pt>
                <c:pt idx="21">
                  <c:v>3923.7437261026857</c:v>
                </c:pt>
                <c:pt idx="22">
                  <c:v>4197.2145102232498</c:v>
                </c:pt>
                <c:pt idx="23">
                  <c:v>4445.7997426347474</c:v>
                </c:pt>
                <c:pt idx="24">
                  <c:v>4667.096049636838</c:v>
                </c:pt>
                <c:pt idx="25">
                  <c:v>4859.404756100399</c:v>
                </c:pt>
                <c:pt idx="26">
                  <c:v>5021.6875012318742</c:v>
                </c:pt>
                <c:pt idx="27">
                  <c:v>5153.5099273076185</c:v>
                </c:pt>
                <c:pt idx="28">
                  <c:v>5254.9776052959041</c:v>
                </c:pt>
                <c:pt idx="29">
                  <c:v>5326.6677125317165</c:v>
                </c:pt>
                <c:pt idx="30">
                  <c:v>5369.5593505518118</c:v>
                </c:pt>
                <c:pt idx="31">
                  <c:v>5384.9648074574961</c:v>
                </c:pt>
                <c:pt idx="32">
                  <c:v>5374.4635416735646</c:v>
                </c:pt>
                <c:pt idx="33">
                  <c:v>5339.8401991635728</c:v>
                </c:pt>
                <c:pt idx="34">
                  <c:v>5283.0275758115986</c:v>
                </c:pt>
                <c:pt idx="35">
                  <c:v>5206.05509927617</c:v>
                </c:pt>
                <c:pt idx="36">
                  <c:v>5111.0031264706431</c:v>
                </c:pt>
                <c:pt idx="37">
                  <c:v>4999.9631288836272</c:v>
                </c:pt>
                <c:pt idx="38">
                  <c:v>4875.0036624576296</c:v>
                </c:pt>
                <c:pt idx="39">
                  <c:v>4738.1418856615019</c:v>
                </c:pt>
                <c:pt idx="40">
                  <c:v>4591.3202927461007</c:v>
                </c:pt>
                <c:pt idx="41">
                  <c:v>4436.3882632629438</c:v>
                </c:pt>
                <c:pt idx="42">
                  <c:v>4275.0879884705</c:v>
                </c:pt>
                <c:pt idx="43">
                  <c:v>4109.0443154677478</c:v>
                </c:pt>
                <c:pt idx="44">
                  <c:v>3939.758046531877</c:v>
                </c:pt>
                <c:pt idx="45">
                  <c:v>3768.6022404883138</c:v>
                </c:pt>
                <c:pt idx="46">
                  <c:v>3596.8210818228235</c:v>
                </c:pt>
                <c:pt idx="47">
                  <c:v>3425.5309089653151</c:v>
                </c:pt>
                <c:pt idx="48">
                  <c:v>3255.7230234932158</c:v>
                </c:pt>
                <c:pt idx="49">
                  <c:v>3088.2679350855069</c:v>
                </c:pt>
                <c:pt idx="50">
                  <c:v>2923.9207314327823</c:v>
                </c:pt>
                <c:pt idx="51">
                  <c:v>2763.3272968148772</c:v>
                </c:pt>
                <c:pt idx="52">
                  <c:v>2607.0311368042981</c:v>
                </c:pt>
                <c:pt idx="53">
                  <c:v>2455.4805988802568</c:v>
                </c:pt>
                <c:pt idx="54">
                  <c:v>2309.03630917275</c:v>
                </c:pt>
                <c:pt idx="55">
                  <c:v>2167.9786737865888</c:v>
                </c:pt>
                <c:pt idx="56">
                  <c:v>2032.5153189953214</c:v>
                </c:pt>
                <c:pt idx="57">
                  <c:v>1902.7883679622119</c:v>
                </c:pt>
                <c:pt idx="58">
                  <c:v>1778.8814725351508</c:v>
                </c:pt>
                <c:pt idx="59">
                  <c:v>1660.8265371330574</c:v>
                </c:pt>
                <c:pt idx="60">
                  <c:v>1548.6100878939328</c:v>
                </c:pt>
                <c:pt idx="61">
                  <c:v>1442.1792542242154</c:v>
                </c:pt>
                <c:pt idx="62">
                  <c:v>1341.4473418298132</c:v>
                </c:pt>
                <c:pt idx="63">
                  <c:v>1246.2989863885998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ExpPwLaw'!$I$6</c:f>
              <c:strCache>
                <c:ptCount val="1"/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ExpPwLaw'!$I$7:$I$70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2.6790828365744101E-2</c:v>
                </c:pt>
                <c:pt idx="3">
                  <c:v>0.95699010644626215</c:v>
                </c:pt>
                <c:pt idx="4">
                  <c:v>7.374321386941201</c:v>
                </c:pt>
                <c:pt idx="5">
                  <c:v>30.333597887774864</c:v>
                </c:pt>
                <c:pt idx="6">
                  <c:v>88.477460358257304</c:v>
                </c:pt>
                <c:pt idx="7">
                  <c:v>207.67319928891715</c:v>
                </c:pt>
                <c:pt idx="8">
                  <c:v>419.63520380497675</c:v>
                </c:pt>
                <c:pt idx="9">
                  <c:v>759.97807819054958</c:v>
                </c:pt>
                <c:pt idx="10">
                  <c:v>1266.0578410409928</c:v>
                </c:pt>
                <c:pt idx="11">
                  <c:v>1974.8613342616118</c:v>
                </c:pt>
                <c:pt idx="12">
                  <c:v>2921.1165074242931</c:v>
                </c:pt>
                <c:pt idx="13">
                  <c:v>4135.7247264594953</c:v>
                </c:pt>
                <c:pt idx="14">
                  <c:v>5644.5613464907883</c:v>
                </c:pt>
                <c:pt idx="15">
                  <c:v>7467.6508972314678</c:v>
                </c:pt>
                <c:pt idx="16">
                  <c:v>9618.6959608471316</c:v>
                </c:pt>
                <c:pt idx="17">
                  <c:v>12104.921655382574</c:v>
                </c:pt>
                <c:pt idx="18">
                  <c:v>14927.188236478683</c:v>
                </c:pt>
                <c:pt idx="19">
                  <c:v>18080.320674496241</c:v>
                </c:pt>
                <c:pt idx="20">
                  <c:v>21553.604478829315</c:v>
                </c:pt>
                <c:pt idx="21">
                  <c:v>25331.400185332339</c:v>
                </c:pt>
                <c:pt idx="22">
                  <c:v>29393.833754034298</c:v>
                </c:pt>
                <c:pt idx="23">
                  <c:v>33717.525855455606</c:v>
                </c:pt>
                <c:pt idx="24">
                  <c:v>38276.329078842056</c:v>
                </c:pt>
                <c:pt idx="25">
                  <c:v>43042.048068744916</c:v>
                </c:pt>
                <c:pt idx="26">
                  <c:v>47985.123215984298</c:v>
                </c:pt>
                <c:pt idx="27">
                  <c:v>53075.263626824664</c:v>
                </c:pt>
                <c:pt idx="28">
                  <c:v>58282.019579486412</c:v>
                </c:pt>
                <c:pt idx="29">
                  <c:v>63575.288516031142</c:v>
                </c:pt>
                <c:pt idx="30">
                  <c:v>68925.751816432428</c:v>
                </c:pt>
                <c:pt idx="31">
                  <c:v>74305.242193620506</c:v>
                </c:pt>
                <c:pt idx="32">
                  <c:v>79687.04358386551</c:v>
                </c:pt>
                <c:pt idx="33">
                  <c:v>85046.126945972501</c:v>
                </c:pt>
                <c:pt idx="34">
                  <c:v>90359.326489296829</c:v>
                </c:pt>
                <c:pt idx="35">
                  <c:v>95605.461588477483</c:v>
                </c:pt>
                <c:pt idx="36">
                  <c:v>100765.4100732755</c:v>
                </c:pt>
                <c:pt idx="37">
                  <c:v>105822.13876180045</c:v>
                </c:pt>
                <c:pt idx="38">
                  <c:v>110760.69708609102</c:v>
                </c:pt>
                <c:pt idx="39">
                  <c:v>115568.17948590679</c:v>
                </c:pt>
                <c:pt idx="40">
                  <c:v>120233.66195910878</c:v>
                </c:pt>
                <c:pt idx="41">
                  <c:v>124748.11778870685</c:v>
                </c:pt>
                <c:pt idx="42">
                  <c:v>129104.31704559058</c:v>
                </c:pt>
                <c:pt idx="43">
                  <c:v>133296.71401515396</c:v>
                </c:pt>
                <c:pt idx="44">
                  <c:v>137321.32623397795</c:v>
                </c:pt>
                <c:pt idx="45">
                  <c:v>141175.60836396867</c:v>
                </c:pt>
                <c:pt idx="46">
                  <c:v>144858.32368694126</c:v>
                </c:pt>
                <c:pt idx="47">
                  <c:v>148369.41558074084</c:v>
                </c:pt>
                <c:pt idx="48">
                  <c:v>151709.88094428022</c:v>
                </c:pt>
                <c:pt idx="49">
                  <c:v>154881.64717699765</c:v>
                </c:pt>
                <c:pt idx="50">
                  <c:v>157887.45399020263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DE-4886-887F-F71EDE298C94}"/>
            </c:ext>
          </c:extLst>
        </c:ser>
        <c:ser>
          <c:idx val="6"/>
          <c:order val="6"/>
          <c:tx>
            <c:strRef>
              <c:f>'Cumul_confirmed - ExpPwLaw'!$J$6</c:f>
              <c:strCache>
                <c:ptCount val="1"/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ExpPwLaw'!$J$7:$J$70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2571.0436265733724</c:v>
                </c:pt>
                <c:pt idx="2">
                  <c:v>2571.0704174017383</c:v>
                </c:pt>
                <c:pt idx="3">
                  <c:v>2572.0006166798189</c:v>
                </c:pt>
                <c:pt idx="4">
                  <c:v>2578.4179479603135</c:v>
                </c:pt>
                <c:pt idx="5">
                  <c:v>2601.3772244611473</c:v>
                </c:pt>
                <c:pt idx="6">
                  <c:v>2659.5210869316297</c:v>
                </c:pt>
                <c:pt idx="7">
                  <c:v>2778.7168258622896</c:v>
                </c:pt>
                <c:pt idx="8">
                  <c:v>2990.6788303783492</c:v>
                </c:pt>
                <c:pt idx="9">
                  <c:v>3331.0217047639221</c:v>
                </c:pt>
                <c:pt idx="10">
                  <c:v>3837.101467614365</c:v>
                </c:pt>
                <c:pt idx="11">
                  <c:v>4545.9049608349842</c:v>
                </c:pt>
                <c:pt idx="12">
                  <c:v>5492.160133997666</c:v>
                </c:pt>
                <c:pt idx="13">
                  <c:v>6706.7683530328677</c:v>
                </c:pt>
                <c:pt idx="14">
                  <c:v>8215.6049730641607</c:v>
                </c:pt>
                <c:pt idx="15">
                  <c:v>10038.694523804839</c:v>
                </c:pt>
                <c:pt idx="16">
                  <c:v>12189.739587420503</c:v>
                </c:pt>
                <c:pt idx="17">
                  <c:v>14675.965281955945</c:v>
                </c:pt>
                <c:pt idx="18">
                  <c:v>17498.231863052057</c:v>
                </c:pt>
                <c:pt idx="19">
                  <c:v>20651.364301069614</c:v>
                </c:pt>
                <c:pt idx="20">
                  <c:v>24124.648105402688</c:v>
                </c:pt>
                <c:pt idx="21">
                  <c:v>27902.443811905712</c:v>
                </c:pt>
                <c:pt idx="22">
                  <c:v>31964.877380607672</c:v>
                </c:pt>
                <c:pt idx="23">
                  <c:v>36288.569482028979</c:v>
                </c:pt>
                <c:pt idx="24">
                  <c:v>40847.37270541543</c:v>
                </c:pt>
                <c:pt idx="25">
                  <c:v>45613.09169531829</c:v>
                </c:pt>
                <c:pt idx="26">
                  <c:v>50556.166842557672</c:v>
                </c:pt>
                <c:pt idx="27">
                  <c:v>55646.307253398038</c:v>
                </c:pt>
                <c:pt idx="28">
                  <c:v>60853.063206059785</c:v>
                </c:pt>
                <c:pt idx="29">
                  <c:v>66146.332142604515</c:v>
                </c:pt>
                <c:pt idx="30">
                  <c:v>71496.795443005802</c:v>
                </c:pt>
                <c:pt idx="31">
                  <c:v>76876.28582019388</c:v>
                </c:pt>
                <c:pt idx="32">
                  <c:v>82258.087210438884</c:v>
                </c:pt>
                <c:pt idx="33">
                  <c:v>87617.170572545874</c:v>
                </c:pt>
                <c:pt idx="34">
                  <c:v>92930.370115870202</c:v>
                </c:pt>
                <c:pt idx="35">
                  <c:v>98176.505215050856</c:v>
                </c:pt>
                <c:pt idx="36">
                  <c:v>103336.45369984888</c:v>
                </c:pt>
                <c:pt idx="37">
                  <c:v>108393.18238837383</c:v>
                </c:pt>
                <c:pt idx="38">
                  <c:v>113331.7407126644</c:v>
                </c:pt>
                <c:pt idx="39">
                  <c:v>118139.22311248016</c:v>
                </c:pt>
                <c:pt idx="40">
                  <c:v>122804.70558568215</c:v>
                </c:pt>
                <c:pt idx="41">
                  <c:v>127319.16141528022</c:v>
                </c:pt>
                <c:pt idx="42">
                  <c:v>131675.36067216395</c:v>
                </c:pt>
                <c:pt idx="43">
                  <c:v>135867.75764172734</c:v>
                </c:pt>
                <c:pt idx="44">
                  <c:v>139892.36986055132</c:v>
                </c:pt>
                <c:pt idx="45">
                  <c:v>143746.65199054204</c:v>
                </c:pt>
                <c:pt idx="46">
                  <c:v>147429.36731351464</c:v>
                </c:pt>
                <c:pt idx="47">
                  <c:v>150940.45920731421</c:v>
                </c:pt>
                <c:pt idx="48">
                  <c:v>154280.92457085359</c:v>
                </c:pt>
                <c:pt idx="49">
                  <c:v>157452.69080357102</c:v>
                </c:pt>
                <c:pt idx="50">
                  <c:v>160458.497616776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DE-4886-887F-F71EDE298C94}"/>
            </c:ext>
          </c:extLst>
        </c:ser>
        <c:ser>
          <c:idx val="7"/>
          <c:order val="7"/>
          <c:tx>
            <c:strRef>
              <c:f>'Cumul_confirmed - ExpPwLaw'!$K$6</c:f>
              <c:strCache>
                <c:ptCount val="1"/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ExpPwLaw'!$K$7:$K$70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350.07288085092068</c:v>
                </c:pt>
                <c:pt idx="13">
                  <c:v>1564.6810998861229</c:v>
                </c:pt>
                <c:pt idx="14">
                  <c:v>3073.5177199174159</c:v>
                </c:pt>
                <c:pt idx="15">
                  <c:v>4896.6072706580953</c:v>
                </c:pt>
                <c:pt idx="16">
                  <c:v>7047.6523342737592</c:v>
                </c:pt>
                <c:pt idx="17">
                  <c:v>9533.8780288092021</c:v>
                </c:pt>
                <c:pt idx="18">
                  <c:v>12356.14460990531</c:v>
                </c:pt>
                <c:pt idx="19">
                  <c:v>15509.277047922867</c:v>
                </c:pt>
                <c:pt idx="20">
                  <c:v>18982.560852255941</c:v>
                </c:pt>
                <c:pt idx="21">
                  <c:v>22760.356558758966</c:v>
                </c:pt>
                <c:pt idx="22">
                  <c:v>26822.790127460925</c:v>
                </c:pt>
                <c:pt idx="23">
                  <c:v>31146.482228882232</c:v>
                </c:pt>
                <c:pt idx="24">
                  <c:v>35705.285452268683</c:v>
                </c:pt>
                <c:pt idx="25">
                  <c:v>40471.004442171543</c:v>
                </c:pt>
                <c:pt idx="26">
                  <c:v>45414.079589410925</c:v>
                </c:pt>
                <c:pt idx="27">
                  <c:v>50504.220000251291</c:v>
                </c:pt>
                <c:pt idx="28">
                  <c:v>55710.975952913039</c:v>
                </c:pt>
                <c:pt idx="29">
                  <c:v>61004.244889457768</c:v>
                </c:pt>
                <c:pt idx="30">
                  <c:v>66354.708189859055</c:v>
                </c:pt>
                <c:pt idx="31">
                  <c:v>71734.198567047133</c:v>
                </c:pt>
                <c:pt idx="32">
                  <c:v>77115.999957292137</c:v>
                </c:pt>
                <c:pt idx="33">
                  <c:v>82475.083319399128</c:v>
                </c:pt>
                <c:pt idx="34">
                  <c:v>87788.282862723456</c:v>
                </c:pt>
                <c:pt idx="35">
                  <c:v>93034.41796190411</c:v>
                </c:pt>
                <c:pt idx="36">
                  <c:v>98194.36644670213</c:v>
                </c:pt>
                <c:pt idx="37">
                  <c:v>103251.09513522708</c:v>
                </c:pt>
                <c:pt idx="38">
                  <c:v>108189.65345951765</c:v>
                </c:pt>
                <c:pt idx="39">
                  <c:v>112997.13585933342</c:v>
                </c:pt>
                <c:pt idx="40">
                  <c:v>117662.61833253541</c:v>
                </c:pt>
                <c:pt idx="41">
                  <c:v>122177.07416213347</c:v>
                </c:pt>
                <c:pt idx="42">
                  <c:v>126533.27341901721</c:v>
                </c:pt>
                <c:pt idx="43">
                  <c:v>130725.67038858059</c:v>
                </c:pt>
                <c:pt idx="44">
                  <c:v>134750.28260740457</c:v>
                </c:pt>
                <c:pt idx="45">
                  <c:v>138604.5647373953</c:v>
                </c:pt>
                <c:pt idx="46">
                  <c:v>142287.28006036789</c:v>
                </c:pt>
                <c:pt idx="47">
                  <c:v>145798.37195416747</c:v>
                </c:pt>
                <c:pt idx="48">
                  <c:v>149138.83731770684</c:v>
                </c:pt>
                <c:pt idx="49">
                  <c:v>152310.60355042428</c:v>
                </c:pt>
                <c:pt idx="50">
                  <c:v>155316.41036362926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Cases, Recovered and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4"/>
          <c:order val="12"/>
          <c:tx>
            <c:strRef>
              <c:f>'Cumul_confirmed - ExpPwLaw'!$D$7</c:f>
              <c:strCache>
                <c:ptCount val="1"/>
                <c:pt idx="0">
                  <c:v>Cum_confirmed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ExpPwLaw'!$D$8:$D$78</c:f>
              <c:numCache>
                <c:formatCode>0</c:formatCode>
                <c:ptCount val="71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80-4003-A92A-241054E60060}"/>
            </c:ext>
          </c:extLst>
        </c:ser>
        <c:ser>
          <c:idx val="16"/>
          <c:order val="16"/>
          <c:tx>
            <c:strRef>
              <c:f>'Cumul_confirmed - ExpPwLaw'!$O$7</c:f>
              <c:strCache>
                <c:ptCount val="1"/>
                <c:pt idx="0">
                  <c:v>Cum_recov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ExpPwLaw'!$O$8:$O$78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  <c:pt idx="47">
                  <c:v>32534</c:v>
                </c:pt>
                <c:pt idx="48">
                  <c:v>34211</c:v>
                </c:pt>
                <c:pt idx="49">
                  <c:v>35435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80-4003-A92A-241054E60060}"/>
            </c:ext>
          </c:extLst>
        </c:ser>
        <c:ser>
          <c:idx val="17"/>
          <c:order val="17"/>
          <c:tx>
            <c:strRef>
              <c:f>'Cumul_confirmed - ExpPwLaw'!$W$7</c:f>
              <c:strCache>
                <c:ptCount val="1"/>
                <c:pt idx="0">
                  <c:v>Cum_deaths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ExpPwLaw'!$W$8:$W$78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80-4003-A92A-241054E60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'Cumul_confirmed - ExpPwLaw'!$E$7</c15:sqref>
                        </c15:formulaRef>
                      </c:ext>
                    </c:extLst>
                    <c:strCache>
                      <c:ptCount val="1"/>
                      <c:pt idx="0">
                        <c:v>New cases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'Cumul_confirmed - ExpPwLaw'!$E$8:$E$78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221</c:v>
                      </c:pt>
                      <c:pt idx="1">
                        <c:v>93</c:v>
                      </c:pt>
                      <c:pt idx="2">
                        <c:v>78</c:v>
                      </c:pt>
                      <c:pt idx="3">
                        <c:v>250</c:v>
                      </c:pt>
                      <c:pt idx="4">
                        <c:v>238</c:v>
                      </c:pt>
                      <c:pt idx="5">
                        <c:v>240</c:v>
                      </c:pt>
                      <c:pt idx="6">
                        <c:v>566</c:v>
                      </c:pt>
                      <c:pt idx="7">
                        <c:v>342</c:v>
                      </c:pt>
                      <c:pt idx="8">
                        <c:v>466</c:v>
                      </c:pt>
                      <c:pt idx="9">
                        <c:v>587</c:v>
                      </c:pt>
                      <c:pt idx="10">
                        <c:v>769</c:v>
                      </c:pt>
                      <c:pt idx="11">
                        <c:v>778</c:v>
                      </c:pt>
                      <c:pt idx="12">
                        <c:v>1247</c:v>
                      </c:pt>
                      <c:pt idx="13">
                        <c:v>1492</c:v>
                      </c:pt>
                      <c:pt idx="14">
                        <c:v>1797</c:v>
                      </c:pt>
                      <c:pt idx="15">
                        <c:v>977</c:v>
                      </c:pt>
                      <c:pt idx="16">
                        <c:v>2313</c:v>
                      </c:pt>
                      <c:pt idx="17">
                        <c:v>2651</c:v>
                      </c:pt>
                      <c:pt idx="18">
                        <c:v>2547</c:v>
                      </c:pt>
                      <c:pt idx="19">
                        <c:v>3497</c:v>
                      </c:pt>
                      <c:pt idx="20">
                        <c:v>3590</c:v>
                      </c:pt>
                      <c:pt idx="21">
                        <c:v>3233</c:v>
                      </c:pt>
                      <c:pt idx="22">
                        <c:v>3526</c:v>
                      </c:pt>
                      <c:pt idx="23">
                        <c:v>4207</c:v>
                      </c:pt>
                      <c:pt idx="24">
                        <c:v>5322</c:v>
                      </c:pt>
                      <c:pt idx="25">
                        <c:v>5986</c:v>
                      </c:pt>
                      <c:pt idx="26">
                        <c:v>6557</c:v>
                      </c:pt>
                      <c:pt idx="27">
                        <c:v>5560</c:v>
                      </c:pt>
                      <c:pt idx="28">
                        <c:v>4789</c:v>
                      </c:pt>
                      <c:pt idx="29">
                        <c:v>5249</c:v>
                      </c:pt>
                      <c:pt idx="30">
                        <c:v>5210</c:v>
                      </c:pt>
                      <c:pt idx="31">
                        <c:v>6153</c:v>
                      </c:pt>
                      <c:pt idx="32">
                        <c:v>5959</c:v>
                      </c:pt>
                      <c:pt idx="33">
                        <c:v>5974</c:v>
                      </c:pt>
                      <c:pt idx="34">
                        <c:v>5217</c:v>
                      </c:pt>
                      <c:pt idx="35">
                        <c:v>4050</c:v>
                      </c:pt>
                      <c:pt idx="36">
                        <c:v>4053</c:v>
                      </c:pt>
                      <c:pt idx="37">
                        <c:v>4782</c:v>
                      </c:pt>
                      <c:pt idx="38">
                        <c:v>4668</c:v>
                      </c:pt>
                      <c:pt idx="39">
                        <c:v>4585</c:v>
                      </c:pt>
                      <c:pt idx="40">
                        <c:v>4805</c:v>
                      </c:pt>
                      <c:pt idx="41">
                        <c:v>4316</c:v>
                      </c:pt>
                      <c:pt idx="42">
                        <c:v>3599</c:v>
                      </c:pt>
                      <c:pt idx="43">
                        <c:v>3039</c:v>
                      </c:pt>
                      <c:pt idx="44">
                        <c:v>3836</c:v>
                      </c:pt>
                      <c:pt idx="45">
                        <c:v>4204</c:v>
                      </c:pt>
                      <c:pt idx="46">
                        <c:v>3951</c:v>
                      </c:pt>
                      <c:pt idx="47">
                        <c:v>4694</c:v>
                      </c:pt>
                      <c:pt idx="48">
                        <c:v>4092</c:v>
                      </c:pt>
                      <c:pt idx="49">
                        <c:v>3153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480-4003-A92A-241054E6006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ExpPwLaw'!$M$7</c15:sqref>
                        </c15:formulaRef>
                      </c:ext>
                    </c:extLst>
                    <c:strCache>
                      <c:ptCount val="1"/>
                      <c:pt idx="0">
                        <c:v>New_positive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90</c:v>
                      </c:pt>
                      <c:pt idx="2">
                        <c:v>74</c:v>
                      </c:pt>
                      <c:pt idx="3">
                        <c:v>203</c:v>
                      </c:pt>
                      <c:pt idx="4">
                        <c:v>233</c:v>
                      </c:pt>
                      <c:pt idx="5">
                        <c:v>228</c:v>
                      </c:pt>
                      <c:pt idx="6">
                        <c:v>528</c:v>
                      </c:pt>
                      <c:pt idx="7">
                        <c:v>258</c:v>
                      </c:pt>
                      <c:pt idx="8">
                        <c:v>428</c:v>
                      </c:pt>
                      <c:pt idx="9">
                        <c:v>443</c:v>
                      </c:pt>
                      <c:pt idx="10">
                        <c:v>590</c:v>
                      </c:pt>
                      <c:pt idx="11">
                        <c:v>620</c:v>
                      </c:pt>
                      <c:pt idx="12">
                        <c:v>1145</c:v>
                      </c:pt>
                      <c:pt idx="13">
                        <c:v>1326</c:v>
                      </c:pt>
                      <c:pt idx="14">
                        <c:v>1598</c:v>
                      </c:pt>
                      <c:pt idx="15">
                        <c:v>529</c:v>
                      </c:pt>
                      <c:pt idx="16">
                        <c:v>2076</c:v>
                      </c:pt>
                      <c:pt idx="17">
                        <c:v>2249</c:v>
                      </c:pt>
                      <c:pt idx="18">
                        <c:v>2116</c:v>
                      </c:pt>
                      <c:pt idx="19">
                        <c:v>2795</c:v>
                      </c:pt>
                      <c:pt idx="20">
                        <c:v>2853</c:v>
                      </c:pt>
                      <c:pt idx="21">
                        <c:v>2470</c:v>
                      </c:pt>
                      <c:pt idx="22">
                        <c:v>2989</c:v>
                      </c:pt>
                      <c:pt idx="23">
                        <c:v>2648</c:v>
                      </c:pt>
                      <c:pt idx="24">
                        <c:v>4480</c:v>
                      </c:pt>
                      <c:pt idx="25">
                        <c:v>4670</c:v>
                      </c:pt>
                      <c:pt idx="26">
                        <c:v>4821</c:v>
                      </c:pt>
                      <c:pt idx="27">
                        <c:v>3957</c:v>
                      </c:pt>
                      <c:pt idx="28">
                        <c:v>3780</c:v>
                      </c:pt>
                      <c:pt idx="29">
                        <c:v>3612</c:v>
                      </c:pt>
                      <c:pt idx="30">
                        <c:v>3491</c:v>
                      </c:pt>
                      <c:pt idx="31">
                        <c:v>4492</c:v>
                      </c:pt>
                      <c:pt idx="32">
                        <c:v>4401</c:v>
                      </c:pt>
                      <c:pt idx="33">
                        <c:v>3651</c:v>
                      </c:pt>
                      <c:pt idx="34">
                        <c:v>3815</c:v>
                      </c:pt>
                      <c:pt idx="35">
                        <c:v>1648</c:v>
                      </c:pt>
                      <c:pt idx="36">
                        <c:v>2107</c:v>
                      </c:pt>
                      <c:pt idx="37">
                        <c:v>2937</c:v>
                      </c:pt>
                      <c:pt idx="38">
                        <c:v>2477</c:v>
                      </c:pt>
                      <c:pt idx="39">
                        <c:v>2339</c:v>
                      </c:pt>
                      <c:pt idx="40">
                        <c:v>2886</c:v>
                      </c:pt>
                      <c:pt idx="41">
                        <c:v>2972</c:v>
                      </c:pt>
                      <c:pt idx="42">
                        <c:v>1941</c:v>
                      </c:pt>
                      <c:pt idx="43">
                        <c:v>880</c:v>
                      </c:pt>
                      <c:pt idx="44">
                        <c:v>1195</c:v>
                      </c:pt>
                      <c:pt idx="45">
                        <c:v>1615</c:v>
                      </c:pt>
                      <c:pt idx="46">
                        <c:v>1396</c:v>
                      </c:pt>
                      <c:pt idx="47">
                        <c:v>1996</c:v>
                      </c:pt>
                      <c:pt idx="48">
                        <c:v>1984</c:v>
                      </c:pt>
                      <c:pt idx="49">
                        <c:v>1363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480-4003-A92A-241054E6006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ExpPwLaw'!$P$7</c15:sqref>
                        </c15:formulaRef>
                      </c:ext>
                    </c:extLst>
                    <c:strCache>
                      <c:ptCount val="1"/>
                      <c:pt idx="0">
                        <c:v>New recovered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B05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0</c:v>
                      </c:pt>
                      <c:pt idx="2">
                        <c:v>2</c:v>
                      </c:pt>
                      <c:pt idx="3">
                        <c:v>42</c:v>
                      </c:pt>
                      <c:pt idx="4">
                        <c:v>1</c:v>
                      </c:pt>
                      <c:pt idx="5">
                        <c:v>4</c:v>
                      </c:pt>
                      <c:pt idx="6">
                        <c:v>33</c:v>
                      </c:pt>
                      <c:pt idx="7">
                        <c:v>66</c:v>
                      </c:pt>
                      <c:pt idx="8">
                        <c:v>11</c:v>
                      </c:pt>
                      <c:pt idx="9">
                        <c:v>116</c:v>
                      </c:pt>
                      <c:pt idx="10">
                        <c:v>138</c:v>
                      </c:pt>
                      <c:pt idx="11">
                        <c:v>109</c:v>
                      </c:pt>
                      <c:pt idx="12">
                        <c:v>66</c:v>
                      </c:pt>
                      <c:pt idx="13">
                        <c:v>33</c:v>
                      </c:pt>
                      <c:pt idx="14">
                        <c:v>102</c:v>
                      </c:pt>
                      <c:pt idx="15">
                        <c:v>280</c:v>
                      </c:pt>
                      <c:pt idx="16">
                        <c:v>41</c:v>
                      </c:pt>
                      <c:pt idx="17">
                        <c:v>213</c:v>
                      </c:pt>
                      <c:pt idx="18">
                        <c:v>181</c:v>
                      </c:pt>
                      <c:pt idx="19">
                        <c:v>527</c:v>
                      </c:pt>
                      <c:pt idx="20">
                        <c:v>369</c:v>
                      </c:pt>
                      <c:pt idx="21">
                        <c:v>414</c:v>
                      </c:pt>
                      <c:pt idx="22">
                        <c:v>192</c:v>
                      </c:pt>
                      <c:pt idx="23">
                        <c:v>1084</c:v>
                      </c:pt>
                      <c:pt idx="24">
                        <c:v>415</c:v>
                      </c:pt>
                      <c:pt idx="25">
                        <c:v>689</c:v>
                      </c:pt>
                      <c:pt idx="26">
                        <c:v>943</c:v>
                      </c:pt>
                      <c:pt idx="27">
                        <c:v>952</c:v>
                      </c:pt>
                      <c:pt idx="28">
                        <c:v>408</c:v>
                      </c:pt>
                      <c:pt idx="29">
                        <c:v>894</c:v>
                      </c:pt>
                      <c:pt idx="30">
                        <c:v>1036</c:v>
                      </c:pt>
                      <c:pt idx="31">
                        <c:v>999</c:v>
                      </c:pt>
                      <c:pt idx="32">
                        <c:v>589</c:v>
                      </c:pt>
                      <c:pt idx="33">
                        <c:v>1434</c:v>
                      </c:pt>
                      <c:pt idx="34">
                        <c:v>646</c:v>
                      </c:pt>
                      <c:pt idx="35">
                        <c:v>1590</c:v>
                      </c:pt>
                      <c:pt idx="36">
                        <c:v>1109</c:v>
                      </c:pt>
                      <c:pt idx="37">
                        <c:v>1118</c:v>
                      </c:pt>
                      <c:pt idx="38">
                        <c:v>1431</c:v>
                      </c:pt>
                      <c:pt idx="39">
                        <c:v>1480</c:v>
                      </c:pt>
                      <c:pt idx="40">
                        <c:v>1238</c:v>
                      </c:pt>
                      <c:pt idx="41">
                        <c:v>819</c:v>
                      </c:pt>
                      <c:pt idx="42">
                        <c:v>1022</c:v>
                      </c:pt>
                      <c:pt idx="43">
                        <c:v>1555</c:v>
                      </c:pt>
                      <c:pt idx="44">
                        <c:v>2099</c:v>
                      </c:pt>
                      <c:pt idx="45">
                        <c:v>1979</c:v>
                      </c:pt>
                      <c:pt idx="46">
                        <c:v>1985</c:v>
                      </c:pt>
                      <c:pt idx="47">
                        <c:v>2079</c:v>
                      </c:pt>
                      <c:pt idx="48">
                        <c:v>1677</c:v>
                      </c:pt>
                      <c:pt idx="49">
                        <c:v>1224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80-4003-A92A-241054E60060}"/>
                  </c:ext>
                </c:extLst>
              </c15:ser>
            </c15:filteredScatterSeries>
            <c15:filteredScatterSeries>
              <c15:ser>
                <c:idx val="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ExpPwLaw'!$X$7</c15:sqref>
                        </c15:formulaRef>
                      </c:ext>
                    </c:extLst>
                    <c:strCache>
                      <c:ptCount val="1"/>
                      <c:pt idx="0">
                        <c:v>New deaths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FF000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ExpPwLaw'!$X$8:$X$78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  <c:pt idx="4">
                        <c:v>4</c:v>
                      </c:pt>
                      <c:pt idx="5">
                        <c:v>8</c:v>
                      </c:pt>
                      <c:pt idx="6">
                        <c:v>5</c:v>
                      </c:pt>
                      <c:pt idx="7">
                        <c:v>18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41</c:v>
                      </c:pt>
                      <c:pt idx="11">
                        <c:v>49</c:v>
                      </c:pt>
                      <c:pt idx="12">
                        <c:v>36</c:v>
                      </c:pt>
                      <c:pt idx="13">
                        <c:v>133</c:v>
                      </c:pt>
                      <c:pt idx="14">
                        <c:v>97</c:v>
                      </c:pt>
                      <c:pt idx="15">
                        <c:v>168</c:v>
                      </c:pt>
                      <c:pt idx="16">
                        <c:v>196</c:v>
                      </c:pt>
                      <c:pt idx="17">
                        <c:v>189</c:v>
                      </c:pt>
                      <c:pt idx="18">
                        <c:v>250</c:v>
                      </c:pt>
                      <c:pt idx="19">
                        <c:v>175</c:v>
                      </c:pt>
                      <c:pt idx="20">
                        <c:v>368</c:v>
                      </c:pt>
                      <c:pt idx="21">
                        <c:v>349</c:v>
                      </c:pt>
                      <c:pt idx="22">
                        <c:v>345</c:v>
                      </c:pt>
                      <c:pt idx="23">
                        <c:v>475</c:v>
                      </c:pt>
                      <c:pt idx="24">
                        <c:v>427</c:v>
                      </c:pt>
                      <c:pt idx="25">
                        <c:v>627</c:v>
                      </c:pt>
                      <c:pt idx="26">
                        <c:v>793</c:v>
                      </c:pt>
                      <c:pt idx="27">
                        <c:v>651</c:v>
                      </c:pt>
                      <c:pt idx="28">
                        <c:v>601</c:v>
                      </c:pt>
                      <c:pt idx="29">
                        <c:v>743</c:v>
                      </c:pt>
                      <c:pt idx="30">
                        <c:v>683</c:v>
                      </c:pt>
                      <c:pt idx="31">
                        <c:v>662</c:v>
                      </c:pt>
                      <c:pt idx="32">
                        <c:v>969</c:v>
                      </c:pt>
                      <c:pt idx="33">
                        <c:v>889</c:v>
                      </c:pt>
                      <c:pt idx="34">
                        <c:v>756</c:v>
                      </c:pt>
                      <c:pt idx="35">
                        <c:v>812</c:v>
                      </c:pt>
                      <c:pt idx="36">
                        <c:v>837</c:v>
                      </c:pt>
                      <c:pt idx="37">
                        <c:v>727</c:v>
                      </c:pt>
                      <c:pt idx="38">
                        <c:v>760</c:v>
                      </c:pt>
                      <c:pt idx="39">
                        <c:v>766</c:v>
                      </c:pt>
                      <c:pt idx="40">
                        <c:v>681</c:v>
                      </c:pt>
                      <c:pt idx="41">
                        <c:v>525</c:v>
                      </c:pt>
                      <c:pt idx="42">
                        <c:v>636</c:v>
                      </c:pt>
                      <c:pt idx="43">
                        <c:v>604</c:v>
                      </c:pt>
                      <c:pt idx="44">
                        <c:v>542</c:v>
                      </c:pt>
                      <c:pt idx="45">
                        <c:v>610</c:v>
                      </c:pt>
                      <c:pt idx="46">
                        <c:v>570</c:v>
                      </c:pt>
                      <c:pt idx="47">
                        <c:v>619</c:v>
                      </c:pt>
                      <c:pt idx="48">
                        <c:v>431</c:v>
                      </c:pt>
                      <c:pt idx="49">
                        <c:v>566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80-4003-A92A-241054E60060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5"/>
          <c:order val="15"/>
          <c:tx>
            <c:strRef>
              <c:f>'Cumul_confirmed - ExpPwLaw'!$G$7</c:f>
              <c:strCache>
                <c:ptCount val="1"/>
                <c:pt idx="0">
                  <c:v>Cum_fit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ExpPwLaw'!$G$8:$G$78</c:f>
              <c:numCache>
                <c:formatCode>0</c:formatCode>
                <c:ptCount val="71"/>
                <c:pt idx="0">
                  <c:v>0</c:v>
                </c:pt>
                <c:pt idx="1">
                  <c:v>2.6790828365744101E-2</c:v>
                </c:pt>
                <c:pt idx="2">
                  <c:v>0.95699010644626215</c:v>
                </c:pt>
                <c:pt idx="3">
                  <c:v>7.374321386941201</c:v>
                </c:pt>
                <c:pt idx="4">
                  <c:v>30.333597887774864</c:v>
                </c:pt>
                <c:pt idx="5">
                  <c:v>88.477460358257304</c:v>
                </c:pt>
                <c:pt idx="6">
                  <c:v>207.67319928891715</c:v>
                </c:pt>
                <c:pt idx="7">
                  <c:v>419.63520380497675</c:v>
                </c:pt>
                <c:pt idx="8">
                  <c:v>759.97807819054958</c:v>
                </c:pt>
                <c:pt idx="9">
                  <c:v>1266.0578410409928</c:v>
                </c:pt>
                <c:pt idx="10">
                  <c:v>1974.8613342616118</c:v>
                </c:pt>
                <c:pt idx="11">
                  <c:v>2921.1165074242931</c:v>
                </c:pt>
                <c:pt idx="12">
                  <c:v>4135.7247264594953</c:v>
                </c:pt>
                <c:pt idx="13">
                  <c:v>5644.5613464907883</c:v>
                </c:pt>
                <c:pt idx="14">
                  <c:v>7467.6508972314678</c:v>
                </c:pt>
                <c:pt idx="15">
                  <c:v>9618.6959608471316</c:v>
                </c:pt>
                <c:pt idx="16">
                  <c:v>12104.921655382574</c:v>
                </c:pt>
                <c:pt idx="17">
                  <c:v>14927.188236478683</c:v>
                </c:pt>
                <c:pt idx="18">
                  <c:v>18080.320674496241</c:v>
                </c:pt>
                <c:pt idx="19">
                  <c:v>21553.604478829315</c:v>
                </c:pt>
                <c:pt idx="20">
                  <c:v>25331.400185332339</c:v>
                </c:pt>
                <c:pt idx="21">
                  <c:v>29393.833754034298</c:v>
                </c:pt>
                <c:pt idx="22">
                  <c:v>33717.525855455606</c:v>
                </c:pt>
                <c:pt idx="23">
                  <c:v>38276.329078842056</c:v>
                </c:pt>
                <c:pt idx="24">
                  <c:v>43042.048068744916</c:v>
                </c:pt>
                <c:pt idx="25">
                  <c:v>47985.123215984298</c:v>
                </c:pt>
                <c:pt idx="26">
                  <c:v>53075.263626824664</c:v>
                </c:pt>
                <c:pt idx="27">
                  <c:v>58282.019579486412</c:v>
                </c:pt>
                <c:pt idx="28">
                  <c:v>63575.288516031142</c:v>
                </c:pt>
                <c:pt idx="29">
                  <c:v>68925.751816432428</c:v>
                </c:pt>
                <c:pt idx="30">
                  <c:v>74305.242193620506</c:v>
                </c:pt>
                <c:pt idx="31">
                  <c:v>79687.04358386551</c:v>
                </c:pt>
                <c:pt idx="32">
                  <c:v>85046.126945972501</c:v>
                </c:pt>
                <c:pt idx="33">
                  <c:v>90359.326489296829</c:v>
                </c:pt>
                <c:pt idx="34">
                  <c:v>95605.461588477483</c:v>
                </c:pt>
                <c:pt idx="35">
                  <c:v>100765.4100732755</c:v>
                </c:pt>
                <c:pt idx="36">
                  <c:v>105822.13876180045</c:v>
                </c:pt>
                <c:pt idx="37">
                  <c:v>110760.69708609102</c:v>
                </c:pt>
                <c:pt idx="38">
                  <c:v>115568.17948590679</c:v>
                </c:pt>
                <c:pt idx="39">
                  <c:v>120233.66195910878</c:v>
                </c:pt>
                <c:pt idx="40">
                  <c:v>124748.11778870685</c:v>
                </c:pt>
                <c:pt idx="41">
                  <c:v>129104.31704559058</c:v>
                </c:pt>
                <c:pt idx="42">
                  <c:v>133296.71401515396</c:v>
                </c:pt>
                <c:pt idx="43">
                  <c:v>137321.32623397795</c:v>
                </c:pt>
                <c:pt idx="44">
                  <c:v>141175.60836396867</c:v>
                </c:pt>
                <c:pt idx="45">
                  <c:v>144858.32368694126</c:v>
                </c:pt>
                <c:pt idx="46">
                  <c:v>148369.41558074084</c:v>
                </c:pt>
                <c:pt idx="47">
                  <c:v>151709.88094428022</c:v>
                </c:pt>
                <c:pt idx="48">
                  <c:v>154881.64717699765</c:v>
                </c:pt>
                <c:pt idx="49">
                  <c:v>157887.45399020263</c:v>
                </c:pt>
                <c:pt idx="50">
                  <c:v>160730.74103426683</c:v>
                </c:pt>
                <c:pt idx="51">
                  <c:v>163415.54206629383</c:v>
                </c:pt>
                <c:pt idx="52">
                  <c:v>165946.38615666609</c:v>
                </c:pt>
                <c:pt idx="53">
                  <c:v>168328.2062380412</c:v>
                </c:pt>
                <c:pt idx="54">
                  <c:v>170566.25513489638</c:v>
                </c:pt>
                <c:pt idx="55">
                  <c:v>172666.02907329728</c:v>
                </c:pt>
                <c:pt idx="56">
                  <c:v>174633.1985567438</c:v>
                </c:pt>
                <c:pt idx="57">
                  <c:v>176473.54640225641</c:v>
                </c:pt>
                <c:pt idx="58">
                  <c:v>178192.91265884382</c:v>
                </c:pt>
                <c:pt idx="59">
                  <c:v>179797.14607577593</c:v>
                </c:pt>
                <c:pt idx="60">
                  <c:v>181292.06174841727</c:v>
                </c:pt>
                <c:pt idx="61">
                  <c:v>182683.40454264599</c:v>
                </c:pt>
                <c:pt idx="62">
                  <c:v>183976.81788315435</c:v>
                </c:pt>
                <c:pt idx="63">
                  <c:v>185177.81748441342</c:v>
                </c:pt>
                <c:pt idx="64">
                  <c:v>186291.76960419156</c:v>
                </c:pt>
                <c:pt idx="65">
                  <c:v>187323.87340681083</c:v>
                </c:pt>
                <c:pt idx="66">
                  <c:v>188279.14703553676</c:v>
                </c:pt>
                <c:pt idx="67">
                  <c:v>189162.4170095241</c:v>
                </c:pt>
                <c:pt idx="68">
                  <c:v>189978.31057961009</c:v>
                </c:pt>
                <c:pt idx="69">
                  <c:v>190731.25069814461</c:v>
                </c:pt>
                <c:pt idx="70">
                  <c:v>191425.45328025502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480-4003-A92A-241054E60060}"/>
            </c:ext>
          </c:extLst>
        </c:ser>
        <c:ser>
          <c:idx val="18"/>
          <c:order val="18"/>
          <c:tx>
            <c:strRef>
              <c:f>'Cumul_confirmed - ExpPwLaw'!$Z$7</c:f>
              <c:strCache>
                <c:ptCount val="1"/>
                <c:pt idx="0">
                  <c:v>Cum_D_fit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ExpPwLaw'!$Z$8:$Z$78</c:f>
              <c:numCache>
                <c:formatCode>0</c:formatCode>
                <c:ptCount val="71"/>
                <c:pt idx="0">
                  <c:v>0</c:v>
                </c:pt>
                <c:pt idx="1">
                  <c:v>4.8168092625323027E-6</c:v>
                </c:pt>
                <c:pt idx="2">
                  <c:v>8.1594445980717517E-4</c:v>
                </c:pt>
                <c:pt idx="3">
                  <c:v>1.5274554569157533E-2</c:v>
                </c:pt>
                <c:pt idx="4">
                  <c:v>0.11607737638277885</c:v>
                </c:pt>
                <c:pt idx="5">
                  <c:v>0.53837736528505087</c:v>
                </c:pt>
                <c:pt idx="6">
                  <c:v>1.8275524127773504</c:v>
                </c:pt>
                <c:pt idx="7">
                  <c:v>5.0024031867590679</c:v>
                </c:pt>
                <c:pt idx="8">
                  <c:v>11.698636308628711</c:v>
                </c:pt>
                <c:pt idx="9">
                  <c:v>24.263089379382691</c:v>
                </c:pt>
                <c:pt idx="10">
                  <c:v>45.78037316419384</c:v>
                </c:pt>
                <c:pt idx="11">
                  <c:v>80.02606831143062</c:v>
                </c:pt>
                <c:pt idx="12">
                  <c:v>131.35152143874689</c:v>
                </c:pt>
                <c:pt idx="13">
                  <c:v>204.51324838514489</c:v>
                </c:pt>
                <c:pt idx="14">
                  <c:v>304.46460741422607</c:v>
                </c:pt>
                <c:pt idx="15">
                  <c:v>436.1290315539116</c:v>
                </c:pt>
                <c:pt idx="16">
                  <c:v>604.17331952961706</c:v>
                </c:pt>
                <c:pt idx="17">
                  <c:v>812.79700408447763</c:v>
                </c:pt>
                <c:pt idx="18">
                  <c:v>1065.5503428413692</c:v>
                </c:pt>
                <c:pt idx="19">
                  <c:v>1365.189603904184</c:v>
                </c:pt>
                <c:pt idx="20">
                  <c:v>1713.574503183816</c:v>
                </c:pt>
                <c:pt idx="21">
                  <c:v>2111.6092103268288</c:v>
                </c:pt>
                <c:pt idx="22">
                  <c:v>2559.225466730119</c:v>
                </c:pt>
                <c:pt idx="23">
                  <c:v>3055.4041405950684</c:v>
                </c:pt>
                <c:pt idx="24">
                  <c:v>3598.2299898000206</c:v>
                </c:pt>
                <c:pt idx="25">
                  <c:v>4184.973468064336</c:v>
                </c:pt>
                <c:pt idx="26">
                  <c:v>4812.1930135948587</c:v>
                </c:pt>
                <c:pt idx="27">
                  <c:v>5475.8513046403714</c:v>
                </c:pt>
                <c:pt idx="28">
                  <c:v>6171.4393506477199</c:v>
                </c:pt>
                <c:pt idx="29">
                  <c:v>6894.1029125236855</c:v>
                </c:pt>
                <c:pt idx="30">
                  <c:v>7638.7665221683283</c:v>
                </c:pt>
                <c:pt idx="31">
                  <c:v>8400.2512243200163</c:v>
                </c:pt>
                <c:pt idx="32">
                  <c:v>9173.3830315638043</c:v>
                </c:pt>
                <c:pt idx="33">
                  <c:v>9953.08991910228</c:v>
                </c:pt>
                <c:pt idx="34">
                  <c:v>10734.485955825689</c:v>
                </c:pt>
                <c:pt idx="35">
                  <c:v>11512.941850277233</c:v>
                </c:pt>
                <c:pt idx="36">
                  <c:v>12284.141772045245</c:v>
                </c:pt>
                <c:pt idx="37">
                  <c:v>13044.126786593126</c:v>
                </c:pt>
                <c:pt idx="38">
                  <c:v>13789.325616299981</c:v>
                </c:pt>
                <c:pt idx="39">
                  <c:v>14516.573718680251</c:v>
                </c:pt>
                <c:pt idx="40">
                  <c:v>15223.121863492852</c:v>
                </c:pt>
                <c:pt idx="41">
                  <c:v>15906.635504613081</c:v>
                </c:pt>
                <c:pt idx="42">
                  <c:v>16565.186291789378</c:v>
                </c:pt>
                <c:pt idx="43">
                  <c:v>17197.237063454428</c:v>
                </c:pt>
                <c:pt idx="44">
                  <c:v>17801.621615823795</c:v>
                </c:pt>
                <c:pt idx="45">
                  <c:v>18377.52046593307</c:v>
                </c:pt>
                <c:pt idx="46">
                  <c:v>18924.433726277333</c:v>
                </c:pt>
                <c:pt idx="47">
                  <c:v>19442.152094325742</c:v>
                </c:pt>
                <c:pt idx="48">
                  <c:v>19930.72683814236</c:v>
                </c:pt>
                <c:pt idx="49">
                  <c:v>20390.439535164809</c:v>
                </c:pt>
                <c:pt idx="50">
                  <c:v>20821.772199245297</c:v>
                </c:pt>
                <c:pt idx="51">
                  <c:v>21225.378314662048</c:v>
                </c:pt>
                <c:pt idx="52">
                  <c:v>21602.05518736365</c:v>
                </c:pt>
                <c:pt idx="53">
                  <c:v>21952.717924817371</c:v>
                </c:pt>
                <c:pt idx="54">
                  <c:v>22278.375267436826</c:v>
                </c:pt>
                <c:pt idx="55">
                  <c:v>22580.107417062172</c:v>
                </c:pt>
                <c:pt idx="56">
                  <c:v>22859.045941325192</c:v>
                </c:pt>
                <c:pt idx="57">
                  <c:v>23116.3557765931</c:v>
                </c:pt>
                <c:pt idx="58">
                  <c:v>23353.219305947332</c:v>
                </c:pt>
                <c:pt idx="59">
                  <c:v>23570.822451552318</c:v>
                </c:pt>
                <c:pt idx="60">
                  <c:v>23770.342691935672</c:v>
                </c:pt>
                <c:pt idx="61">
                  <c:v>23952.938893217681</c:v>
                </c:pt>
                <c:pt idx="62">
                  <c:v>24119.742828263308</c:v>
                </c:pt>
                <c:pt idx="63">
                  <c:v>24271.852248176892</c:v>
                </c:pt>
                <c:pt idx="64">
                  <c:v>24410.32536565022</c:v>
                </c:pt>
                <c:pt idx="65">
                  <c:v>24536.176608604354</c:v>
                </c:pt>
                <c:pt idx="66">
                  <c:v>24650.373504595598</c:v>
                </c:pt>
                <c:pt idx="67">
                  <c:v>24753.834560926036</c:v>
                </c:pt>
                <c:pt idx="68">
                  <c:v>24847.428011723707</c:v>
                </c:pt>
                <c:pt idx="69">
                  <c:v>24931.971310929242</c:v>
                </c:pt>
                <c:pt idx="70">
                  <c:v>25008.2312587091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480-4003-A92A-241054E60060}"/>
            </c:ext>
          </c:extLst>
        </c:ser>
        <c:ser>
          <c:idx val="19"/>
          <c:order val="19"/>
          <c:tx>
            <c:strRef>
              <c:f>'Cumul_confirmed - ExpPwLaw'!$R$7</c:f>
              <c:strCache>
                <c:ptCount val="1"/>
                <c:pt idx="0">
                  <c:v>Cum_R_fit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ExpPwLaw'!$R$8:$R$78</c:f>
              <c:numCache>
                <c:formatCode>0</c:formatCode>
                <c:ptCount val="71"/>
                <c:pt idx="0">
                  <c:v>0</c:v>
                </c:pt>
                <c:pt idx="1">
                  <c:v>1.5456292143939933E-2</c:v>
                </c:pt>
                <c:pt idx="2">
                  <c:v>0.28225388959298614</c:v>
                </c:pt>
                <c:pt idx="3">
                  <c:v>1.517605733487702</c:v>
                </c:pt>
                <c:pt idx="4">
                  <c:v>4.9463664671311118</c:v>
                </c:pt>
                <c:pt idx="5">
                  <c:v>12.254862082806575</c:v>
                </c:pt>
                <c:pt idx="6">
                  <c:v>25.527303630058565</c:v>
                </c:pt>
                <c:pt idx="7">
                  <c:v>47.176890461844998</c:v>
                </c:pt>
                <c:pt idx="8">
                  <c:v>79.876969475922266</c:v>
                </c:pt>
                <c:pt idx="9">
                  <c:v>126.49502761202503</c:v>
                </c:pt>
                <c:pt idx="10">
                  <c:v>190.03101783768352</c:v>
                </c:pt>
                <c:pt idx="11">
                  <c:v>273.56080473933156</c:v>
                </c:pt>
                <c:pt idx="12">
                  <c:v>380.18508622850095</c:v>
                </c:pt>
                <c:pt idx="13">
                  <c:v>512.98387812547651</c:v>
                </c:pt>
                <c:pt idx="14">
                  <c:v>674.97647530628683</c:v>
                </c:pt>
                <c:pt idx="15">
                  <c:v>869.0866916491774</c:v>
                </c:pt>
                <c:pt idx="16">
                  <c:v>1098.1131103877392</c:v>
                </c:pt>
                <c:pt idx="17">
                  <c:v>1364.7040336427783</c:v>
                </c:pt>
                <c:pt idx="18">
                  <c:v>1671.3367963564588</c:v>
                </c:pt>
                <c:pt idx="19">
                  <c:v>2020.3010998433842</c:v>
                </c:pt>
                <c:pt idx="20">
                  <c:v>2413.6860197157239</c:v>
                </c:pt>
                <c:pt idx="21">
                  <c:v>2853.3703492043487</c:v>
                </c:pt>
                <c:pt idx="22">
                  <c:v>3341.0159498440453</c:v>
                </c:pt>
                <c:pt idx="23">
                  <c:v>3878.0637956262854</c:v>
                </c:pt>
                <c:pt idx="24">
                  <c:v>4465.732412945973</c:v>
                </c:pt>
                <c:pt idx="25">
                  <c:v>5105.0184361609572</c:v>
                </c:pt>
                <c:pt idx="26">
                  <c:v>5796.699016735196</c:v>
                </c:pt>
                <c:pt idx="27">
                  <c:v>6541.3358422935798</c:v>
                </c:pt>
                <c:pt idx="28">
                  <c:v>7339.2805401421174</c:v>
                </c:pt>
                <c:pt idx="29">
                  <c:v>8190.6812576529128</c:v>
                </c:pt>
                <c:pt idx="30">
                  <c:v>9095.4902292000461</c:v>
                </c:pt>
                <c:pt idx="31">
                  <c:v>10053.472155932479</c:v>
                </c:pt>
                <c:pt idx="32">
                  <c:v>11064.213240497631</c:v>
                </c:pt>
                <c:pt idx="33">
                  <c:v>12127.13073382836</c:v>
                </c:pt>
                <c:pt idx="34">
                  <c:v>13241.482865246777</c:v>
                </c:pt>
                <c:pt idx="35">
                  <c:v>14406.379040407779</c:v>
                </c:pt>
                <c:pt idx="36">
                  <c:v>15620.790204005842</c:v>
                </c:pt>
                <c:pt idx="37">
                  <c:v>16883.559275714437</c:v>
                </c:pt>
                <c:pt idx="38">
                  <c:v>18193.411578537696</c:v>
                </c:pt>
                <c:pt idx="39">
                  <c:v>19548.965188658924</c:v>
                </c:pt>
                <c:pt idx="40">
                  <c:v>20948.741144999265</c:v>
                </c:pt>
                <c:pt idx="41">
                  <c:v>22391.173465089149</c:v>
                </c:pt>
                <c:pt idx="42">
                  <c:v>23874.618921539644</c:v>
                </c:pt>
                <c:pt idx="43">
                  <c:v>25397.366540421186</c:v>
                </c:pt>
                <c:pt idx="44">
                  <c:v>26957.646789247196</c:v>
                </c:pt>
                <c:pt idx="45">
                  <c:v>28553.640428062365</c:v>
                </c:pt>
                <c:pt idx="46">
                  <c:v>30183.487002384336</c:v>
                </c:pt>
                <c:pt idx="47">
                  <c:v>31845.292961478644</c:v>
                </c:pt>
                <c:pt idx="48">
                  <c:v>33537.139389701362</c:v>
                </c:pt>
                <c:pt idx="49">
                  <c:v>35257.089342446692</c:v>
                </c:pt>
                <c:pt idx="50">
                  <c:v>37003.194781630707</c:v>
                </c:pt>
                <c:pt idx="51">
                  <c:v>38773.503108649849</c:v>
                </c:pt>
                <c:pt idx="52">
                  <c:v>40566.063295410422</c:v>
                </c:pt>
                <c:pt idx="53">
                  <c:v>42378.931616355956</c:v>
                </c:pt>
                <c:pt idx="54">
                  <c:v>44210.176986453313</c:v>
                </c:pt>
                <c:pt idx="55">
                  <c:v>46057.885911858582</c:v>
                </c:pt>
                <c:pt idx="56">
                  <c:v>47920.167061495522</c:v>
                </c:pt>
                <c:pt idx="57">
                  <c:v>49795.155469061319</c:v>
                </c:pt>
                <c:pt idx="58">
                  <c:v>51681.016376053201</c:v>
                </c:pt>
                <c:pt idx="59">
                  <c:v>53575.94872729652</c:v>
                </c:pt>
                <c:pt idx="60">
                  <c:v>55478.188331176338</c:v>
                </c:pt>
                <c:pt idx="61">
                  <c:v>57386.010697339749</c:v>
                </c:pt>
                <c:pt idx="62">
                  <c:v>59297.733565066177</c:v>
                </c:pt>
                <c:pt idx="63">
                  <c:v>61211.719135807827</c:v>
                </c:pt>
                <c:pt idx="64">
                  <c:v>63126.376023599427</c:v>
                </c:pt>
                <c:pt idx="65">
                  <c:v>65040.160937133871</c:v>
                </c:pt>
                <c:pt idx="66">
                  <c:v>66951.580107311311</c:v>
                </c:pt>
                <c:pt idx="67">
                  <c:v>68859.190474006362</c:v>
                </c:pt>
                <c:pt idx="68">
                  <c:v>70761.600645664104</c:v>
                </c:pt>
                <c:pt idx="69">
                  <c:v>72657.471645148849</c:v>
                </c:pt>
                <c:pt idx="70">
                  <c:v>74545.517455026406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0A-43B7-AE34-095837C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'Cumul_confirmed - ExpPwLaw'!$H$7</c15:sqref>
                        </c15:formulaRef>
                      </c:ext>
                    </c:extLst>
                    <c:strCache>
                      <c:ptCount val="1"/>
                      <c:pt idx="0">
                        <c:v>New_cases_fit</c:v>
                      </c:pt>
                    </c:strCache>
                  </c:strRef>
                </c:tx>
                <c:spPr>
                  <a:ln w="9525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'Cumul_confirmed - ExpPwLaw'!$H$8:$H$78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0.13963206978005366</c:v>
                      </c:pt>
                      <c:pt idx="2">
                        <c:v>2.4364074163428819</c:v>
                      </c:pt>
                      <c:pt idx="3">
                        <c:v>12.222933046851352</c:v>
                      </c:pt>
                      <c:pt idx="4">
                        <c:v>36.809964285572086</c:v>
                      </c:pt>
                      <c:pt idx="5">
                        <c:v>83.813014359412065</c:v>
                      </c:pt>
                      <c:pt idx="6">
                        <c:v>159.89749581571292</c:v>
                      </c:pt>
                      <c:pt idx="7">
                        <c:v>269.99887525156538</c:v>
                      </c:pt>
                      <c:pt idx="8">
                        <c:v>416.9484575737261</c:v>
                      </c:pt>
                      <c:pt idx="9">
                        <c:v>601.40727113756213</c:v>
                      </c:pt>
                      <c:pt idx="10">
                        <c:v>822.01393917406051</c:v>
                      </c:pt>
                      <c:pt idx="11">
                        <c:v>1075.6666353608193</c:v>
                      </c:pt>
                      <c:pt idx="12">
                        <c:v>1357.8760550042825</c:v>
                      </c:pt>
                      <c:pt idx="13">
                        <c:v>1663.1423649716255</c:v>
                      </c:pt>
                      <c:pt idx="14">
                        <c:v>1985.3229768279293</c:v>
                      </c:pt>
                      <c:pt idx="15">
                        <c:v>2317.9693366893043</c:v>
                      </c:pt>
                      <c:pt idx="16">
                        <c:v>2654.6198135266723</c:v>
                      </c:pt>
                      <c:pt idx="17">
                        <c:v>2989.0424660406079</c:v>
                      </c:pt>
                      <c:pt idx="18">
                        <c:v>3315.4263179687323</c:v>
                      </c:pt>
                      <c:pt idx="19">
                        <c:v>3628.5231184481031</c:v>
                      </c:pt>
                      <c:pt idx="20">
                        <c:v>3923.7437261026857</c:v>
                      </c:pt>
                      <c:pt idx="21">
                        <c:v>4197.2145102232498</c:v>
                      </c:pt>
                      <c:pt idx="22">
                        <c:v>4445.7997426347474</c:v>
                      </c:pt>
                      <c:pt idx="23">
                        <c:v>4667.096049636838</c:v>
                      </c:pt>
                      <c:pt idx="24">
                        <c:v>4859.404756100399</c:v>
                      </c:pt>
                      <c:pt idx="25">
                        <c:v>5021.6875012318742</c:v>
                      </c:pt>
                      <c:pt idx="26">
                        <c:v>5153.5099273076185</c:v>
                      </c:pt>
                      <c:pt idx="27">
                        <c:v>5254.9776052959041</c:v>
                      </c:pt>
                      <c:pt idx="28">
                        <c:v>5326.6677125317165</c:v>
                      </c:pt>
                      <c:pt idx="29">
                        <c:v>5369.5593505518118</c:v>
                      </c:pt>
                      <c:pt idx="30">
                        <c:v>5384.9648074574961</c:v>
                      </c:pt>
                      <c:pt idx="31">
                        <c:v>5374.4635416735646</c:v>
                      </c:pt>
                      <c:pt idx="32">
                        <c:v>5339.8401991635728</c:v>
                      </c:pt>
                      <c:pt idx="33">
                        <c:v>5283.0275758115986</c:v>
                      </c:pt>
                      <c:pt idx="34">
                        <c:v>5206.05509927617</c:v>
                      </c:pt>
                      <c:pt idx="35">
                        <c:v>5111.0031264706431</c:v>
                      </c:pt>
                      <c:pt idx="36">
                        <c:v>4999.9631288836272</c:v>
                      </c:pt>
                      <c:pt idx="37">
                        <c:v>4875.0036624576296</c:v>
                      </c:pt>
                      <c:pt idx="38">
                        <c:v>4738.1418856615019</c:v>
                      </c:pt>
                      <c:pt idx="39">
                        <c:v>4591.3202927461007</c:v>
                      </c:pt>
                      <c:pt idx="40">
                        <c:v>4436.3882632629438</c:v>
                      </c:pt>
                      <c:pt idx="41">
                        <c:v>4275.0879884705</c:v>
                      </c:pt>
                      <c:pt idx="42">
                        <c:v>4109.0443154677478</c:v>
                      </c:pt>
                      <c:pt idx="43">
                        <c:v>3939.758046531877</c:v>
                      </c:pt>
                      <c:pt idx="44">
                        <c:v>3768.6022404883138</c:v>
                      </c:pt>
                      <c:pt idx="45">
                        <c:v>3596.8210818228235</c:v>
                      </c:pt>
                      <c:pt idx="46">
                        <c:v>3425.5309089653151</c:v>
                      </c:pt>
                      <c:pt idx="47">
                        <c:v>3255.7230234932158</c:v>
                      </c:pt>
                      <c:pt idx="48">
                        <c:v>3088.2679350855069</c:v>
                      </c:pt>
                      <c:pt idx="49">
                        <c:v>2923.9207314327823</c:v>
                      </c:pt>
                      <c:pt idx="50">
                        <c:v>2763.3272968148772</c:v>
                      </c:pt>
                      <c:pt idx="51">
                        <c:v>2607.0311368042981</c:v>
                      </c:pt>
                      <c:pt idx="52">
                        <c:v>2455.4805988802568</c:v>
                      </c:pt>
                      <c:pt idx="53">
                        <c:v>2309.03630917275</c:v>
                      </c:pt>
                      <c:pt idx="54">
                        <c:v>2167.9786737865888</c:v>
                      </c:pt>
                      <c:pt idx="55">
                        <c:v>2032.5153189953214</c:v>
                      </c:pt>
                      <c:pt idx="56">
                        <c:v>1902.7883679622119</c:v>
                      </c:pt>
                      <c:pt idx="57">
                        <c:v>1778.8814725351508</c:v>
                      </c:pt>
                      <c:pt idx="58">
                        <c:v>1660.8265371330574</c:v>
                      </c:pt>
                      <c:pt idx="59">
                        <c:v>1548.6100878939328</c:v>
                      </c:pt>
                      <c:pt idx="60">
                        <c:v>1442.1792542242154</c:v>
                      </c:pt>
                      <c:pt idx="61">
                        <c:v>1341.4473418298132</c:v>
                      </c:pt>
                      <c:pt idx="62">
                        <c:v>1246.2989863885998</c:v>
                      </c:pt>
                      <c:pt idx="63">
                        <c:v>1156.5948854146247</c:v>
                      </c:pt>
                      <c:pt idx="64">
                        <c:v>1072.176112738754</c:v>
                      </c:pt>
                      <c:pt idx="65">
                        <c:v>992.86802555676297</c:v>
                      </c:pt>
                      <c:pt idx="66">
                        <c:v>918.48377833621487</c:v>
                      </c:pt>
                      <c:pt idx="67">
                        <c:v>848.82746117904333</c:v>
                      </c:pt>
                      <c:pt idx="68">
                        <c:v>783.69688264996466</c:v>
                      </c:pt>
                      <c:pt idx="69">
                        <c:v>722.88601873137986</c:v>
                      </c:pt>
                      <c:pt idx="70">
                        <c:v>666.18715057173608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480-4003-A92A-241054E6006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ExpPwLaw'!$N$7</c15:sqref>
                        </c15:formulaRef>
                      </c:ext>
                    </c:extLst>
                    <c:strCache>
                      <c:ptCount val="1"/>
                      <c:pt idx="0">
                        <c:v>New_positive_fit</c:v>
                      </c:pt>
                    </c:strCache>
                  </c:strRef>
                </c:tx>
                <c:spPr>
                  <a:ln w="9525" cap="rnd">
                    <a:solidFill>
                      <a:schemeClr val="tx2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ExpPwLaw'!$N$8:$N$78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7.4540240641621763E-2</c:v>
                      </c:pt>
                      <c:pt idx="2">
                        <c:v>1.8452478559595078</c:v>
                      </c:pt>
                      <c:pt idx="3">
                        <c:v>10.099115956115318</c:v>
                      </c:pt>
                      <c:pt idx="4">
                        <c:v>31.555863850253974</c:v>
                      </c:pt>
                      <c:pt idx="5">
                        <c:v>73.168906926745663</c:v>
                      </c:pt>
                      <c:pt idx="6">
                        <c:v>140.84768039026989</c:v>
                      </c:pt>
                      <c:pt idx="7">
                        <c:v>238.68215079869563</c:v>
                      </c:pt>
                      <c:pt idx="8">
                        <c:v>368.60293127082775</c:v>
                      </c:pt>
                      <c:pt idx="9">
                        <c:v>530.37194440020494</c:v>
                      </c:pt>
                      <c:pt idx="10">
                        <c:v>721.79800648233117</c:v>
                      </c:pt>
                      <c:pt idx="11">
                        <c:v>939.08595161406902</c:v>
                      </c:pt>
                      <c:pt idx="12">
                        <c:v>1177.2469950748136</c:v>
                      </c:pt>
                      <c:pt idx="13">
                        <c:v>1430.5172088311033</c:v>
                      </c:pt>
                      <c:pt idx="14">
                        <c:v>1692.7480339750111</c:v>
                      </c:pt>
                      <c:pt idx="15">
                        <c:v>1957.7468109994825</c:v>
                      </c:pt>
                      <c:pt idx="16">
                        <c:v>2219.5562219336662</c:v>
                      </c:pt>
                      <c:pt idx="17">
                        <c:v>2472.6695429905812</c:v>
                      </c:pt>
                      <c:pt idx="18">
                        <c:v>2712.1841149298198</c:v>
                      </c:pt>
                      <c:pt idx="19">
                        <c:v>2933.89892080354</c:v>
                      </c:pt>
                      <c:pt idx="20">
                        <c:v>3134.3640758745778</c:v>
                      </c:pt>
                      <c:pt idx="21">
                        <c:v>3310.8907934273552</c:v>
                      </c:pt>
                      <c:pt idx="22">
                        <c:v>3461.53034058609</c:v>
                      </c:pt>
                      <c:pt idx="23">
                        <c:v>3585.0299207947328</c:v>
                      </c:pt>
                      <c:pt idx="24">
                        <c:v>3680.7725317377794</c:v>
                      </c:pt>
                      <c:pt idx="25">
                        <c:v>3748.7068108306012</c:v>
                      </c:pt>
                      <c:pt idx="26">
                        <c:v>3789.2718097624202</c:v>
                      </c:pt>
                      <c:pt idx="27">
                        <c:v>3803.320611928832</c:v>
                      </c:pt>
                      <c:pt idx="28">
                        <c:v>3792.0457695640607</c:v>
                      </c:pt>
                      <c:pt idx="29">
                        <c:v>3756.9087165870897</c:v>
                      </c:pt>
                      <c:pt idx="30">
                        <c:v>3699.5746183739789</c:v>
                      </c:pt>
                      <c:pt idx="31">
                        <c:v>3621.8535497549174</c:v>
                      </c:pt>
                      <c:pt idx="32">
                        <c:v>3525.6484394132704</c:v>
                      </c:pt>
                      <c:pt idx="33">
                        <c:v>3412.9098703885179</c:v>
                      </c:pt>
                      <c:pt idx="34">
                        <c:v>3285.5975684892901</c:v>
                      </c:pt>
                      <c:pt idx="35">
                        <c:v>3145.6482286212927</c:v>
                      </c:pt>
                      <c:pt idx="36">
                        <c:v>2994.9492094088073</c:v>
                      </c:pt>
                      <c:pt idx="37">
                        <c:v>2835.3175562928732</c:v>
                      </c:pt>
                      <c:pt idx="38">
                        <c:v>2668.4837812765677</c:v>
                      </c:pt>
                      <c:pt idx="39">
                        <c:v>2496.0798240286085</c:v>
                      </c:pt>
                      <c:pt idx="40">
                        <c:v>2319.6306361260813</c:v>
                      </c:pt>
                      <c:pt idx="41">
                        <c:v>2140.5488612940208</c:v>
                      </c:pt>
                      <c:pt idx="42">
                        <c:v>1960.1321244130631</c:v>
                      </c:pt>
                      <c:pt idx="43">
                        <c:v>1779.5624868242976</c:v>
                      </c:pt>
                      <c:pt idx="44">
                        <c:v>1599.9076720656099</c:v>
                      </c:pt>
                      <c:pt idx="45">
                        <c:v>1422.1237124543909</c:v>
                      </c:pt>
                      <c:pt idx="46">
                        <c:v>1247.0587113800207</c:v>
                      </c:pt>
                      <c:pt idx="47">
                        <c:v>1075.4574578038541</c:v>
                      </c:pt>
                      <c:pt idx="48">
                        <c:v>907.96666770594425</c:v>
                      </c:pt>
                      <c:pt idx="49">
                        <c:v>745.14066179035717</c:v>
                      </c:pt>
                      <c:pt idx="50">
                        <c:v>587.44731960952095</c:v>
                      </c:pt>
                      <c:pt idx="51">
                        <c:v>435.27417748819619</c:v>
                      </c:pt>
                      <c:pt idx="52">
                        <c:v>288.93456141895143</c:v>
                      </c:pt>
                      <c:pt idx="53">
                        <c:v>148.6736667213612</c:v>
                      </c:pt>
                      <c:pt idx="54">
                        <c:v>14.674513997919519</c:v>
                      </c:pt>
                      <c:pt idx="55">
                        <c:v>-112.93627391961479</c:v>
                      </c:pt>
                      <c:pt idx="56">
                        <c:v>-234.08291646312858</c:v>
                      </c:pt>
                      <c:pt idx="57">
                        <c:v>-348.73517281825093</c:v>
                      </c:pt>
                      <c:pt idx="58">
                        <c:v>-456.90331484255785</c:v>
                      </c:pt>
                      <c:pt idx="59">
                        <c:v>-558.63339022615435</c:v>
                      </c:pt>
                      <c:pt idx="60">
                        <c:v>-654.00278439208489</c:v>
                      </c:pt>
                      <c:pt idx="61">
                        <c:v>-743.11608443152954</c:v>
                      </c:pt>
                      <c:pt idx="62">
                        <c:v>-826.10124411889922</c:v>
                      </c:pt>
                      <c:pt idx="63">
                        <c:v>-903.10604561384287</c:v>
                      </c:pt>
                      <c:pt idx="64">
                        <c:v>-974.29485070952251</c:v>
                      </c:pt>
                      <c:pt idx="65">
                        <c:v>-1039.845632325608</c:v>
                      </c:pt>
                      <c:pt idx="66">
                        <c:v>-1099.9472752803654</c:v>
                      </c:pt>
                      <c:pt idx="67">
                        <c:v>-1154.7971341336493</c:v>
                      </c:pt>
                      <c:pt idx="68">
                        <c:v>-1204.5988350053681</c:v>
                      </c:pt>
                      <c:pt idx="69">
                        <c:v>-1249.560307686939</c:v>
                      </c:pt>
                      <c:pt idx="70">
                        <c:v>-1289.8920340283596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480-4003-A92A-241054E60060}"/>
                  </c:ext>
                </c:extLst>
              </c15:ser>
            </c15:filteredScatterSeries>
            <c15:filteredScatter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ExpPwLaw'!$S$7</c15:sqref>
                        </c15:formulaRef>
                      </c:ext>
                    </c:extLst>
                    <c:strCache>
                      <c:ptCount val="1"/>
                      <c:pt idx="0">
                        <c:v>New_Recovered_fit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ExpPwLaw'!$S$8:$S$78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6.5055790205405861E-2</c:v>
                      </c:pt>
                      <c:pt idx="2">
                        <c:v>0.58817865021644655</c:v>
                      </c:pt>
                      <c:pt idx="3">
                        <c:v>2.0875028115052596</c:v>
                      </c:pt>
                      <c:pt idx="4">
                        <c:v>5.0521569305887777</c:v>
                      </c:pt>
                      <c:pt idx="5">
                        <c:v>9.913362703867481</c:v>
                      </c:pt>
                      <c:pt idx="6">
                        <c:v>17.034873808826184</c:v>
                      </c:pt>
                      <c:pt idx="7">
                        <c:v>26.710961169753737</c:v>
                      </c:pt>
                      <c:pt idx="8">
                        <c:v>39.168141016440359</c:v>
                      </c:pt>
                      <c:pt idx="9">
                        <c:v>54.568910779721364</c:v>
                      </c:pt>
                      <c:pt idx="10">
                        <c:v>73.01656524426086</c:v>
                      </c:pt>
                      <c:pt idx="11">
                        <c:v>94.560549905537925</c:v>
                      </c:pt>
                      <c:pt idx="12">
                        <c:v>119.20201587052298</c:v>
                      </c:pt>
                      <c:pt idx="13">
                        <c:v>146.89936242057252</c:v>
                      </c:pt>
                      <c:pt idx="14">
                        <c:v>177.57362933305379</c:v>
                      </c:pt>
                      <c:pt idx="15">
                        <c:v>211.11365059712406</c:v>
                      </c:pt>
                      <c:pt idx="16">
                        <c:v>247.38091450993758</c:v>
                      </c:pt>
                      <c:pt idx="17">
                        <c:v>286.21409810669695</c:v>
                      </c:pt>
                      <c:pt idx="18">
                        <c:v>327.43325993210323</c:v>
                      </c:pt>
                      <c:pt idx="19">
                        <c:v>370.84368647282338</c:v>
                      </c:pt>
                      <c:pt idx="20">
                        <c:v>416.239395550734</c:v>
                      </c:pt>
                      <c:pt idx="21">
                        <c:v>463.40630557052936</c:v>
                      </c:pt>
                      <c:pt idx="22">
                        <c:v>512.12508337431257</c:v>
                      </c:pt>
                      <c:pt idx="23">
                        <c:v>562.17368603937575</c:v>
                      </c:pt>
                      <c:pt idx="24">
                        <c:v>613.3296135938059</c:v>
                      </c:pt>
                      <c:pt idx="25">
                        <c:v>665.37189055928604</c:v>
                      </c:pt>
                      <c:pt idx="26">
                        <c:v>718.08279464060502</c:v>
                      </c:pt>
                      <c:pt idx="27">
                        <c:v>771.24935090122483</c:v>
                      </c:pt>
                      <c:pt idx="28">
                        <c:v>824.66460949563918</c:v>
                      </c:pt>
                      <c:pt idx="29">
                        <c:v>878.12872454983449</c:v>
                      </c:pt>
                      <c:pt idx="30">
                        <c:v>931.44985115066925</c:v>
                      </c:pt>
                      <c:pt idx="31">
                        <c:v>984.44487666945417</c:v>
                      </c:pt>
                      <c:pt idx="32">
                        <c:v>1036.9400018399824</c:v>
                      </c:pt>
                      <c:pt idx="33">
                        <c:v>1088.7711861643479</c:v>
                      </c:pt>
                      <c:pt idx="34">
                        <c:v>1139.7844713522668</c:v>
                      </c:pt>
                      <c:pt idx="35">
                        <c:v>1189.836195627709</c:v>
                      </c:pt>
                      <c:pt idx="36">
                        <c:v>1238.7931108729374</c:v>
                      </c:pt>
                      <c:pt idx="37">
                        <c:v>1286.5324137339849</c:v>
                      </c:pt>
                      <c:pt idx="38">
                        <c:v>1332.941700990239</c:v>
                      </c:pt>
                      <c:pt idx="39">
                        <c:v>1377.9188586992861</c:v>
                      </c:pt>
                      <c:pt idx="40">
                        <c:v>1421.371893870072</c:v>
                      </c:pt>
                      <c:pt idx="41">
                        <c:v>1463.2187166952021</c:v>
                      </c:pt>
                      <c:pt idx="42">
                        <c:v>1503.3868806882756</c:v>
                      </c:pt>
                      <c:pt idx="43">
                        <c:v>1541.8132874251824</c:v>
                      </c:pt>
                      <c:pt idx="44">
                        <c:v>1578.4438619794103</c:v>
                      </c:pt>
                      <c:pt idx="45">
                        <c:v>1613.2332045702838</c:v>
                      </c:pt>
                      <c:pt idx="46">
                        <c:v>1646.1442234088624</c:v>
                      </c:pt>
                      <c:pt idx="47">
                        <c:v>1677.1477532280694</c:v>
                      </c:pt>
                      <c:pt idx="48">
                        <c:v>1706.2221635202382</c:v>
                      </c:pt>
                      <c:pt idx="49">
                        <c:v>1733.3529600753577</c:v>
                      </c:pt>
                      <c:pt idx="50">
                        <c:v>1758.5323830153279</c:v>
                      </c:pt>
                      <c:pt idx="51">
                        <c:v>1781.7590041521296</c:v>
                      </c:pt>
                      <c:pt idx="52">
                        <c:v>1803.0373261592865</c:v>
                      </c:pt>
                      <c:pt idx="53">
                        <c:v>1822.3773857348588</c:v>
                      </c:pt>
                      <c:pt idx="54">
                        <c:v>1839.7943626489243</c:v>
                      </c:pt>
                      <c:pt idx="55">
                        <c:v>1855.3081963074437</c:v>
                      </c:pt>
                      <c:pt idx="56">
                        <c:v>1868.9432112262427</c:v>
                      </c:pt>
                      <c:pt idx="57">
                        <c:v>1880.7277525918864</c:v>
                      </c:pt>
                      <c:pt idx="58">
                        <c:v>1890.6938328893398</c:v>
                      </c:pt>
                      <c:pt idx="59">
                        <c:v>1898.8767903978678</c:v>
                      </c:pt>
                      <c:pt idx="60">
                        <c:v>1905.3149601956077</c:v>
                      </c:pt>
                      <c:pt idx="61">
                        <c:v>1910.049358168123</c:v>
                      </c:pt>
                      <c:pt idx="62">
                        <c:v>1913.1233783861435</c:v>
                      </c:pt>
                      <c:pt idx="63">
                        <c:v>1914.582504101232</c:v>
                      </c:pt>
                      <c:pt idx="64">
                        <c:v>1914.4740325044143</c:v>
                      </c:pt>
                      <c:pt idx="65">
                        <c:v>1912.8468133007971</c:v>
                      </c:pt>
                      <c:pt idx="66">
                        <c:v>1909.7510010719213</c:v>
                      </c:pt>
                      <c:pt idx="67">
                        <c:v>1905.2378213262748</c:v>
                      </c:pt>
                      <c:pt idx="68">
                        <c:v>1899.3593500760242</c:v>
                      </c:pt>
                      <c:pt idx="69">
                        <c:v>1892.1683067240476</c:v>
                      </c:pt>
                      <c:pt idx="70">
                        <c:v>1883.7178599988679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80-4003-A92A-241054E60060}"/>
                  </c:ext>
                </c:extLst>
              </c15:ser>
            </c15:filteredScatterSeries>
            <c15:filteredScatterSeries>
              <c15:ser>
                <c:idx val="1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ExpPwLaw'!$U$7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650.99881895541046</c:v>
                      </c:pt>
                      <c:pt idx="1">
                        <c:v>651.01427524755445</c:v>
                      </c:pt>
                      <c:pt idx="2">
                        <c:v>651.28107284500345</c:v>
                      </c:pt>
                      <c:pt idx="3">
                        <c:v>652.51642468889816</c:v>
                      </c:pt>
                      <c:pt idx="4">
                        <c:v>655.94518542254161</c:v>
                      </c:pt>
                      <c:pt idx="5">
                        <c:v>663.253681038217</c:v>
                      </c:pt>
                      <c:pt idx="6">
                        <c:v>676.52612258546901</c:v>
                      </c:pt>
                      <c:pt idx="7">
                        <c:v>698.17570941725546</c:v>
                      </c:pt>
                      <c:pt idx="8">
                        <c:v>730.87578843133269</c:v>
                      </c:pt>
                      <c:pt idx="9">
                        <c:v>777.49384656743553</c:v>
                      </c:pt>
                      <c:pt idx="10">
                        <c:v>841.02983679309398</c:v>
                      </c:pt>
                      <c:pt idx="11">
                        <c:v>924.55962369474196</c:v>
                      </c:pt>
                      <c:pt idx="12">
                        <c:v>1031.1839051839115</c:v>
                      </c:pt>
                      <c:pt idx="13">
                        <c:v>1163.982697080887</c:v>
                      </c:pt>
                      <c:pt idx="14">
                        <c:v>1325.9752942616974</c:v>
                      </c:pt>
                      <c:pt idx="15">
                        <c:v>1520.0855106045879</c:v>
                      </c:pt>
                      <c:pt idx="16">
                        <c:v>1749.1119293431498</c:v>
                      </c:pt>
                      <c:pt idx="17">
                        <c:v>2015.7028525981887</c:v>
                      </c:pt>
                      <c:pt idx="18">
                        <c:v>2322.3356153118693</c:v>
                      </c:pt>
                      <c:pt idx="19">
                        <c:v>2671.2999187987948</c:v>
                      </c:pt>
                      <c:pt idx="20">
                        <c:v>3064.6848386711345</c:v>
                      </c:pt>
                      <c:pt idx="21">
                        <c:v>3504.3691681597593</c:v>
                      </c:pt>
                      <c:pt idx="22">
                        <c:v>3992.0147687994559</c:v>
                      </c:pt>
                      <c:pt idx="23">
                        <c:v>4529.0626145816959</c:v>
                      </c:pt>
                      <c:pt idx="24">
                        <c:v>5116.7312319013836</c:v>
                      </c:pt>
                      <c:pt idx="25">
                        <c:v>5756.0172551163678</c:v>
                      </c:pt>
                      <c:pt idx="26">
                        <c:v>6447.6978356906066</c:v>
                      </c:pt>
                      <c:pt idx="27">
                        <c:v>7192.3346612489904</c:v>
                      </c:pt>
                      <c:pt idx="28">
                        <c:v>7990.279359097528</c:v>
                      </c:pt>
                      <c:pt idx="29">
                        <c:v>8841.6800766083234</c:v>
                      </c:pt>
                      <c:pt idx="30">
                        <c:v>9746.4890481554557</c:v>
                      </c:pt>
                      <c:pt idx="31">
                        <c:v>10704.470974887889</c:v>
                      </c:pt>
                      <c:pt idx="32">
                        <c:v>11715.212059453041</c:v>
                      </c:pt>
                      <c:pt idx="33">
                        <c:v>12778.12955278377</c:v>
                      </c:pt>
                      <c:pt idx="34">
                        <c:v>13892.481684202186</c:v>
                      </c:pt>
                      <c:pt idx="35">
                        <c:v>15057.377859363189</c:v>
                      </c:pt>
                      <c:pt idx="36">
                        <c:v>16271.789022961251</c:v>
                      </c:pt>
                      <c:pt idx="37">
                        <c:v>17534.558094669846</c:v>
                      </c:pt>
                      <c:pt idx="38">
                        <c:v>18844.410397493106</c:v>
                      </c:pt>
                      <c:pt idx="39">
                        <c:v>20199.964007614333</c:v>
                      </c:pt>
                      <c:pt idx="40">
                        <c:v>21599.739963954675</c:v>
                      </c:pt>
                      <c:pt idx="41">
                        <c:v>23042.172284044558</c:v>
                      </c:pt>
                      <c:pt idx="42">
                        <c:v>24525.617740495054</c:v>
                      </c:pt>
                      <c:pt idx="43">
                        <c:v>26048.365359376596</c:v>
                      </c:pt>
                      <c:pt idx="44">
                        <c:v>27608.645608202605</c:v>
                      </c:pt>
                      <c:pt idx="45">
                        <c:v>29204.639247017774</c:v>
                      </c:pt>
                      <c:pt idx="46">
                        <c:v>30834.485821339746</c:v>
                      </c:pt>
                      <c:pt idx="47">
                        <c:v>32496.291780434054</c:v>
                      </c:pt>
                      <c:pt idx="48">
                        <c:v>34188.138208656776</c:v>
                      </c:pt>
                      <c:pt idx="49">
                        <c:v>35908.088161402105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480-4003-A92A-241054E60060}"/>
                  </c:ext>
                </c:extLst>
              </c15:ser>
            </c15:filteredScatterSeries>
            <c15:filteredScatterSeries>
              <c15:ser>
                <c:idx val="1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ExpPwLaw'!$V$7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23.977656350876373</c:v>
                      </c:pt>
                      <c:pt idx="15">
                        <c:v>218.08787269376694</c:v>
                      </c:pt>
                      <c:pt idx="16">
                        <c:v>447.11429143232874</c:v>
                      </c:pt>
                      <c:pt idx="17">
                        <c:v>713.70521468736786</c:v>
                      </c:pt>
                      <c:pt idx="18">
                        <c:v>1020.3379774010483</c:v>
                      </c:pt>
                      <c:pt idx="19">
                        <c:v>1369.3022808879737</c:v>
                      </c:pt>
                      <c:pt idx="20">
                        <c:v>1762.6872007603133</c:v>
                      </c:pt>
                      <c:pt idx="21">
                        <c:v>2202.3715302489381</c:v>
                      </c:pt>
                      <c:pt idx="22">
                        <c:v>2690.0171308886347</c:v>
                      </c:pt>
                      <c:pt idx="23">
                        <c:v>3227.0649766708748</c:v>
                      </c:pt>
                      <c:pt idx="24">
                        <c:v>3814.7335939905624</c:v>
                      </c:pt>
                      <c:pt idx="25">
                        <c:v>4454.0196172055466</c:v>
                      </c:pt>
                      <c:pt idx="26">
                        <c:v>5145.7001977797854</c:v>
                      </c:pt>
                      <c:pt idx="27">
                        <c:v>5890.3370233381693</c:v>
                      </c:pt>
                      <c:pt idx="28">
                        <c:v>6688.2817211867068</c:v>
                      </c:pt>
                      <c:pt idx="29">
                        <c:v>7539.6824386975022</c:v>
                      </c:pt>
                      <c:pt idx="30">
                        <c:v>8444.4914102446364</c:v>
                      </c:pt>
                      <c:pt idx="31">
                        <c:v>9402.4733369770693</c:v>
                      </c:pt>
                      <c:pt idx="32">
                        <c:v>10413.214421542221</c:v>
                      </c:pt>
                      <c:pt idx="33">
                        <c:v>11476.131914872951</c:v>
                      </c:pt>
                      <c:pt idx="34">
                        <c:v>12590.484046291367</c:v>
                      </c:pt>
                      <c:pt idx="35">
                        <c:v>13755.380221452369</c:v>
                      </c:pt>
                      <c:pt idx="36">
                        <c:v>14969.791385050432</c:v>
                      </c:pt>
                      <c:pt idx="37">
                        <c:v>16232.560456759027</c:v>
                      </c:pt>
                      <c:pt idx="38">
                        <c:v>17542.412759582287</c:v>
                      </c:pt>
                      <c:pt idx="39">
                        <c:v>18897.966369703514</c:v>
                      </c:pt>
                      <c:pt idx="40">
                        <c:v>20297.742326043855</c:v>
                      </c:pt>
                      <c:pt idx="41">
                        <c:v>21740.174646133739</c:v>
                      </c:pt>
                      <c:pt idx="42">
                        <c:v>23223.620102584235</c:v>
                      </c:pt>
                      <c:pt idx="43">
                        <c:v>24746.367721465776</c:v>
                      </c:pt>
                      <c:pt idx="44">
                        <c:v>26306.647970291786</c:v>
                      </c:pt>
                      <c:pt idx="45">
                        <c:v>27902.641609106955</c:v>
                      </c:pt>
                      <c:pt idx="46">
                        <c:v>29532.488183428926</c:v>
                      </c:pt>
                      <c:pt idx="47">
                        <c:v>31194.294142523235</c:v>
                      </c:pt>
                      <c:pt idx="48">
                        <c:v>32886.140570745949</c:v>
                      </c:pt>
                      <c:pt idx="49">
                        <c:v>34606.090523491279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480-4003-A92A-241054E60060}"/>
                  </c:ext>
                </c:extLst>
              </c15:ser>
            </c15:filteredScatterSeries>
            <c15:filteredScatterSeries>
              <c15:ser>
                <c:idx val="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ExpPwLaw'!$AA$7</c15:sqref>
                        </c15:formulaRef>
                      </c:ext>
                    </c:extLst>
                    <c:strCache>
                      <c:ptCount val="1"/>
                      <c:pt idx="0">
                        <c:v>New_Deaths_fit</c:v>
                      </c:pt>
                    </c:strCache>
                  </c:strRef>
                </c:tx>
                <c:spPr>
                  <a:ln w="952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ExpPwLaw'!$AA$8:$AA$78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3.6038933026031066E-5</c:v>
                      </c:pt>
                      <c:pt idx="2">
                        <c:v>2.9809101669276772E-3</c:v>
                      </c:pt>
                      <c:pt idx="3">
                        <c:v>3.6314279230775195E-2</c:v>
                      </c:pt>
                      <c:pt idx="4">
                        <c:v>0.20194350472933142</c:v>
                      </c:pt>
                      <c:pt idx="5">
                        <c:v>0.73074472879892316</c:v>
                      </c:pt>
                      <c:pt idx="6">
                        <c:v>2.0149416166168534</c:v>
                      </c:pt>
                      <c:pt idx="7">
                        <c:v>4.6057632831160014</c:v>
                      </c:pt>
                      <c:pt idx="8">
                        <c:v>9.1773852864579926</c:v>
                      </c:pt>
                      <c:pt idx="9">
                        <c:v>16.466415957635853</c:v>
                      </c:pt>
                      <c:pt idx="10">
                        <c:v>27.199367447468546</c:v>
                      </c:pt>
                      <c:pt idx="11">
                        <c:v>42.020133841212385</c:v>
                      </c:pt>
                      <c:pt idx="12">
                        <c:v>61.427044058946052</c:v>
                      </c:pt>
                      <c:pt idx="13">
                        <c:v>85.725793719949607</c:v>
                      </c:pt>
                      <c:pt idx="14">
                        <c:v>115.00131351986445</c:v>
                      </c:pt>
                      <c:pt idx="15">
                        <c:v>149.10887509269799</c:v>
                      </c:pt>
                      <c:pt idx="16">
                        <c:v>187.68267708306851</c:v>
                      </c:pt>
                      <c:pt idx="17">
                        <c:v>230.15882494332973</c:v>
                      </c:pt>
                      <c:pt idx="18">
                        <c:v>275.80894310680929</c:v>
                      </c:pt>
                      <c:pt idx="19">
                        <c:v>323.78051117173976</c:v>
                      </c:pt>
                      <c:pt idx="20">
                        <c:v>373.14025467737366</c:v>
                      </c:pt>
                      <c:pt idx="21">
                        <c:v>422.91741122536547</c:v>
                      </c:pt>
                      <c:pt idx="22">
                        <c:v>472.14431867434485</c:v>
                      </c:pt>
                      <c:pt idx="23">
                        <c:v>519.89244280272931</c:v>
                      </c:pt>
                      <c:pt idx="24">
                        <c:v>565.30261076881345</c:v>
                      </c:pt>
                      <c:pt idx="25">
                        <c:v>607.60879984198721</c:v>
                      </c:pt>
                      <c:pt idx="26">
                        <c:v>646.15532290459316</c:v>
                      </c:pt>
                      <c:pt idx="27">
                        <c:v>680.40764246584752</c:v>
                      </c:pt>
                      <c:pt idx="28">
                        <c:v>709.95733347201599</c:v>
                      </c:pt>
                      <c:pt idx="29">
                        <c:v>734.521909414888</c:v>
                      </c:pt>
                      <c:pt idx="30">
                        <c:v>753.94033793284837</c:v>
                      </c:pt>
                      <c:pt idx="31">
                        <c:v>768.16511524919326</c:v>
                      </c:pt>
                      <c:pt idx="32">
                        <c:v>777.25175791031961</c:v>
                      </c:pt>
                      <c:pt idx="33">
                        <c:v>781.34651925873322</c:v>
                      </c:pt>
                      <c:pt idx="34">
                        <c:v>780.67305943461292</c:v>
                      </c:pt>
                      <c:pt idx="35">
                        <c:v>775.51870222164143</c:v>
                      </c:pt>
                      <c:pt idx="36">
                        <c:v>766.2208086018826</c:v>
                      </c:pt>
                      <c:pt idx="37">
                        <c:v>753.15369243077168</c:v>
                      </c:pt>
                      <c:pt idx="38">
                        <c:v>736.71640339469513</c:v>
                      </c:pt>
                      <c:pt idx="39">
                        <c:v>717.32161001820612</c:v>
                      </c:pt>
                      <c:pt idx="40">
                        <c:v>695.38573326679045</c:v>
                      </c:pt>
                      <c:pt idx="41">
                        <c:v>671.32041048127701</c:v>
                      </c:pt>
                      <c:pt idx="42">
                        <c:v>645.52531036640892</c:v>
                      </c:pt>
                      <c:pt idx="43">
                        <c:v>618.38227228239714</c:v>
                      </c:pt>
                      <c:pt idx="44">
                        <c:v>590.25070644329355</c:v>
                      </c:pt>
                      <c:pt idx="45">
                        <c:v>561.46416479814889</c:v>
                      </c:pt>
                      <c:pt idx="46">
                        <c:v>532.32797417643189</c:v>
                      </c:pt>
                      <c:pt idx="47">
                        <c:v>503.11781246129215</c:v>
                      </c:pt>
                      <c:pt idx="48">
                        <c:v>474.0791038593245</c:v>
                      </c:pt>
                      <c:pt idx="49">
                        <c:v>445.42710956706748</c:v>
                      </c:pt>
                      <c:pt idx="50">
                        <c:v>417.3475941900283</c:v>
                      </c:pt>
                      <c:pt idx="51">
                        <c:v>389.99795516397228</c:v>
                      </c:pt>
                      <c:pt idx="52">
                        <c:v>363.50871130201887</c:v>
                      </c:pt>
                      <c:pt idx="53">
                        <c:v>337.98525671652999</c:v>
                      </c:pt>
                      <c:pt idx="54">
                        <c:v>313.50979713974499</c:v>
                      </c:pt>
                      <c:pt idx="55">
                        <c:v>290.14339660749249</c:v>
                      </c:pt>
                      <c:pt idx="56">
                        <c:v>267.9280731990977</c:v>
                      </c:pt>
                      <c:pt idx="57">
                        <c:v>246.88889276151531</c:v>
                      </c:pt>
                      <c:pt idx="58">
                        <c:v>227.03601908627545</c:v>
                      </c:pt>
                      <c:pt idx="59">
                        <c:v>208.36668772221935</c:v>
                      </c:pt>
                      <c:pt idx="60">
                        <c:v>190.86707842069254</c:v>
                      </c:pt>
                      <c:pt idx="61">
                        <c:v>174.51406809321972</c:v>
                      </c:pt>
                      <c:pt idx="62">
                        <c:v>159.27685212135557</c:v>
                      </c:pt>
                      <c:pt idx="63">
                        <c:v>145.11842692723565</c:v>
                      </c:pt>
                      <c:pt idx="64">
                        <c:v>131.99693094386228</c:v>
                      </c:pt>
                      <c:pt idx="65">
                        <c:v>119.86684458157391</c:v>
                      </c:pt>
                      <c:pt idx="66">
                        <c:v>108.68005254465882</c:v>
                      </c:pt>
                      <c:pt idx="67">
                        <c:v>98.386773986417779</c:v>
                      </c:pt>
                      <c:pt idx="68">
                        <c:v>88.936367579308637</c:v>
                      </c:pt>
                      <c:pt idx="69">
                        <c:v>80.278019694271237</c:v>
                      </c:pt>
                      <c:pt idx="70">
                        <c:v>72.361324601227906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80-4003-A92A-241054E60060}"/>
                  </c:ext>
                </c:extLst>
              </c15:ser>
            </c15:filteredScatterSeries>
            <c15:filteredScatterSeries>
              <c15:ser>
                <c:idx val="6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ExpPwLaw'!$AC$7</c15:sqref>
                        </c15:formulaRef>
                      </c:ext>
                    </c:extLst>
                    <c:strCache>
                      <c:ptCount val="1"/>
                      <c:pt idx="0">
                        <c:v>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227.94311246820683</c:v>
                      </c:pt>
                      <c:pt idx="1">
                        <c:v>227.94311728501609</c:v>
                      </c:pt>
                      <c:pt idx="2">
                        <c:v>227.94392841266665</c:v>
                      </c:pt>
                      <c:pt idx="3">
                        <c:v>227.95838702277598</c:v>
                      </c:pt>
                      <c:pt idx="4">
                        <c:v>228.05918984458961</c:v>
                      </c:pt>
                      <c:pt idx="5">
                        <c:v>228.48148983349188</c:v>
                      </c:pt>
                      <c:pt idx="6">
                        <c:v>229.77066488098419</c:v>
                      </c:pt>
                      <c:pt idx="7">
                        <c:v>232.9455156549659</c:v>
                      </c:pt>
                      <c:pt idx="8">
                        <c:v>239.64174877683556</c:v>
                      </c:pt>
                      <c:pt idx="9">
                        <c:v>252.20620184758951</c:v>
                      </c:pt>
                      <c:pt idx="10">
                        <c:v>273.7234856324007</c:v>
                      </c:pt>
                      <c:pt idx="11">
                        <c:v>307.96918077963744</c:v>
                      </c:pt>
                      <c:pt idx="12">
                        <c:v>359.29463390695372</c:v>
                      </c:pt>
                      <c:pt idx="13">
                        <c:v>432.45636085335173</c:v>
                      </c:pt>
                      <c:pt idx="14">
                        <c:v>532.40771988243296</c:v>
                      </c:pt>
                      <c:pt idx="15">
                        <c:v>664.07214402211844</c:v>
                      </c:pt>
                      <c:pt idx="16">
                        <c:v>832.11643199782384</c:v>
                      </c:pt>
                      <c:pt idx="17">
                        <c:v>1040.7401165526844</c:v>
                      </c:pt>
                      <c:pt idx="18">
                        <c:v>1293.4934553095761</c:v>
                      </c:pt>
                      <c:pt idx="19">
                        <c:v>1593.1327163723909</c:v>
                      </c:pt>
                      <c:pt idx="20">
                        <c:v>1941.5176156520229</c:v>
                      </c:pt>
                      <c:pt idx="21">
                        <c:v>2339.5523227950357</c:v>
                      </c:pt>
                      <c:pt idx="22">
                        <c:v>2787.1685791983259</c:v>
                      </c:pt>
                      <c:pt idx="23">
                        <c:v>3283.3472530632753</c:v>
                      </c:pt>
                      <c:pt idx="24">
                        <c:v>3826.1731022682275</c:v>
                      </c:pt>
                      <c:pt idx="25">
                        <c:v>4412.9165805325429</c:v>
                      </c:pt>
                      <c:pt idx="26">
                        <c:v>5040.1361260630656</c:v>
                      </c:pt>
                      <c:pt idx="27">
                        <c:v>5703.7944171085783</c:v>
                      </c:pt>
                      <c:pt idx="28">
                        <c:v>6399.3824631159268</c:v>
                      </c:pt>
                      <c:pt idx="29">
                        <c:v>7122.0460249918924</c:v>
                      </c:pt>
                      <c:pt idx="30">
                        <c:v>7866.7096346365352</c:v>
                      </c:pt>
                      <c:pt idx="31">
                        <c:v>8628.1943367882232</c:v>
                      </c:pt>
                      <c:pt idx="32">
                        <c:v>9401.3261440320111</c:v>
                      </c:pt>
                      <c:pt idx="33">
                        <c:v>10181.033031570487</c:v>
                      </c:pt>
                      <c:pt idx="34">
                        <c:v>10962.429068293895</c:v>
                      </c:pt>
                      <c:pt idx="35">
                        <c:v>11740.88496274544</c:v>
                      </c:pt>
                      <c:pt idx="36">
                        <c:v>12512.084884513451</c:v>
                      </c:pt>
                      <c:pt idx="37">
                        <c:v>13272.069899061333</c:v>
                      </c:pt>
                      <c:pt idx="38">
                        <c:v>14017.268728768187</c:v>
                      </c:pt>
                      <c:pt idx="39">
                        <c:v>14744.516831148458</c:v>
                      </c:pt>
                      <c:pt idx="40">
                        <c:v>15451.064975961059</c:v>
                      </c:pt>
                      <c:pt idx="41">
                        <c:v>16134.578617081288</c:v>
                      </c:pt>
                      <c:pt idx="42">
                        <c:v>16793.129404257583</c:v>
                      </c:pt>
                      <c:pt idx="43">
                        <c:v>17425.180175922633</c:v>
                      </c:pt>
                      <c:pt idx="44">
                        <c:v>18029.564728292</c:v>
                      </c:pt>
                      <c:pt idx="45">
                        <c:v>18605.463578401275</c:v>
                      </c:pt>
                      <c:pt idx="46">
                        <c:v>19152.376838745538</c:v>
                      </c:pt>
                      <c:pt idx="47">
                        <c:v>19670.095206793947</c:v>
                      </c:pt>
                      <c:pt idx="48">
                        <c:v>20158.669950610565</c:v>
                      </c:pt>
                      <c:pt idx="49">
                        <c:v>20618.382647633014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480-4003-A92A-241054E60060}"/>
                  </c:ext>
                </c:extLst>
              </c15:ser>
            </c15:filteredScatterSeries>
            <c15:filteredScatterSeries>
              <c15:ser>
                <c:idx val="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ExpPwLaw'!$AD$7</c15:sqref>
                        </c15:formulaRef>
                      </c:ext>
                    </c:extLst>
                    <c:strCache>
                      <c:ptCount val="1"/>
                      <c:pt idx="0">
                        <c:v>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76.521494946019232</c:v>
                      </c:pt>
                      <c:pt idx="15">
                        <c:v>208.18591908570477</c:v>
                      </c:pt>
                      <c:pt idx="16">
                        <c:v>376.23020706141023</c:v>
                      </c:pt>
                      <c:pt idx="17">
                        <c:v>584.85389161627086</c:v>
                      </c:pt>
                      <c:pt idx="18">
                        <c:v>837.60723037316234</c:v>
                      </c:pt>
                      <c:pt idx="19">
                        <c:v>1137.2464914359771</c:v>
                      </c:pt>
                      <c:pt idx="20">
                        <c:v>1485.6313907156091</c:v>
                      </c:pt>
                      <c:pt idx="21">
                        <c:v>1883.6660978586219</c:v>
                      </c:pt>
                      <c:pt idx="22">
                        <c:v>2331.2823542619121</c:v>
                      </c:pt>
                      <c:pt idx="23">
                        <c:v>2827.4610281268615</c:v>
                      </c:pt>
                      <c:pt idx="24">
                        <c:v>3370.2868773318137</c:v>
                      </c:pt>
                      <c:pt idx="25">
                        <c:v>3957.0303555961291</c:v>
                      </c:pt>
                      <c:pt idx="26">
                        <c:v>4584.2499011266518</c:v>
                      </c:pt>
                      <c:pt idx="27">
                        <c:v>5247.9081921721645</c:v>
                      </c:pt>
                      <c:pt idx="28">
                        <c:v>5943.4962381795131</c:v>
                      </c:pt>
                      <c:pt idx="29">
                        <c:v>6666.1598000554786</c:v>
                      </c:pt>
                      <c:pt idx="30">
                        <c:v>7410.8234097001214</c:v>
                      </c:pt>
                      <c:pt idx="31">
                        <c:v>8172.3081118518094</c:v>
                      </c:pt>
                      <c:pt idx="32">
                        <c:v>8945.4399190955974</c:v>
                      </c:pt>
                      <c:pt idx="33">
                        <c:v>9725.1468066340731</c:v>
                      </c:pt>
                      <c:pt idx="34">
                        <c:v>10506.542843357482</c:v>
                      </c:pt>
                      <c:pt idx="35">
                        <c:v>11284.998737809026</c:v>
                      </c:pt>
                      <c:pt idx="36">
                        <c:v>12056.198659577038</c:v>
                      </c:pt>
                      <c:pt idx="37">
                        <c:v>12816.183674124919</c:v>
                      </c:pt>
                      <c:pt idx="38">
                        <c:v>13561.382503831774</c:v>
                      </c:pt>
                      <c:pt idx="39">
                        <c:v>14288.630606212044</c:v>
                      </c:pt>
                      <c:pt idx="40">
                        <c:v>14995.178751024645</c:v>
                      </c:pt>
                      <c:pt idx="41">
                        <c:v>15678.692392144874</c:v>
                      </c:pt>
                      <c:pt idx="42">
                        <c:v>16337.243179321171</c:v>
                      </c:pt>
                      <c:pt idx="43">
                        <c:v>16969.293950986223</c:v>
                      </c:pt>
                      <c:pt idx="44">
                        <c:v>17573.67850335559</c:v>
                      </c:pt>
                      <c:pt idx="45">
                        <c:v>18149.577353464865</c:v>
                      </c:pt>
                      <c:pt idx="46">
                        <c:v>18696.490613809128</c:v>
                      </c:pt>
                      <c:pt idx="47">
                        <c:v>19214.208981857537</c:v>
                      </c:pt>
                      <c:pt idx="48">
                        <c:v>19702.783725674155</c:v>
                      </c:pt>
                      <c:pt idx="49">
                        <c:v>20162.496422696604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480-4003-A92A-241054E60060}"/>
                  </c:ext>
                </c:extLst>
              </c15:ser>
            </c15:filteredScatterSeries>
            <c15:filteredScatterSeries>
              <c15:ser>
                <c:idx val="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2571.0436265733724</c:v>
                      </c:pt>
                      <c:pt idx="1">
                        <c:v>2571.0704174017383</c:v>
                      </c:pt>
                      <c:pt idx="2">
                        <c:v>2572.0006166798189</c:v>
                      </c:pt>
                      <c:pt idx="3">
                        <c:v>2578.4179479603135</c:v>
                      </c:pt>
                      <c:pt idx="4">
                        <c:v>2601.3772244611473</c:v>
                      </c:pt>
                      <c:pt idx="5">
                        <c:v>2659.5210869316297</c:v>
                      </c:pt>
                      <c:pt idx="6">
                        <c:v>2778.7168258622896</c:v>
                      </c:pt>
                      <c:pt idx="7">
                        <c:v>2990.6788303783492</c:v>
                      </c:pt>
                      <c:pt idx="8">
                        <c:v>3331.0217047639221</c:v>
                      </c:pt>
                      <c:pt idx="9">
                        <c:v>3837.101467614365</c:v>
                      </c:pt>
                      <c:pt idx="10">
                        <c:v>4545.9049608349842</c:v>
                      </c:pt>
                      <c:pt idx="11">
                        <c:v>5492.160133997666</c:v>
                      </c:pt>
                      <c:pt idx="12">
                        <c:v>6706.7683530328677</c:v>
                      </c:pt>
                      <c:pt idx="13">
                        <c:v>8215.6049730641607</c:v>
                      </c:pt>
                      <c:pt idx="14">
                        <c:v>10038.694523804839</c:v>
                      </c:pt>
                      <c:pt idx="15">
                        <c:v>12189.739587420503</c:v>
                      </c:pt>
                      <c:pt idx="16">
                        <c:v>14675.965281955945</c:v>
                      </c:pt>
                      <c:pt idx="17">
                        <c:v>17498.231863052057</c:v>
                      </c:pt>
                      <c:pt idx="18">
                        <c:v>20651.364301069614</c:v>
                      </c:pt>
                      <c:pt idx="19">
                        <c:v>24124.648105402688</c:v>
                      </c:pt>
                      <c:pt idx="20">
                        <c:v>27902.443811905712</c:v>
                      </c:pt>
                      <c:pt idx="21">
                        <c:v>31964.877380607672</c:v>
                      </c:pt>
                      <c:pt idx="22">
                        <c:v>36288.569482028979</c:v>
                      </c:pt>
                      <c:pt idx="23">
                        <c:v>40847.37270541543</c:v>
                      </c:pt>
                      <c:pt idx="24">
                        <c:v>45613.09169531829</c:v>
                      </c:pt>
                      <c:pt idx="25">
                        <c:v>50556.166842557672</c:v>
                      </c:pt>
                      <c:pt idx="26">
                        <c:v>55646.307253398038</c:v>
                      </c:pt>
                      <c:pt idx="27">
                        <c:v>60853.063206059785</c:v>
                      </c:pt>
                      <c:pt idx="28">
                        <c:v>66146.332142604515</c:v>
                      </c:pt>
                      <c:pt idx="29">
                        <c:v>71496.795443005802</c:v>
                      </c:pt>
                      <c:pt idx="30">
                        <c:v>76876.28582019388</c:v>
                      </c:pt>
                      <c:pt idx="31">
                        <c:v>82258.087210438884</c:v>
                      </c:pt>
                      <c:pt idx="32">
                        <c:v>87617.170572545874</c:v>
                      </c:pt>
                      <c:pt idx="33">
                        <c:v>92930.370115870202</c:v>
                      </c:pt>
                      <c:pt idx="34">
                        <c:v>98176.505215050856</c:v>
                      </c:pt>
                      <c:pt idx="35">
                        <c:v>103336.45369984888</c:v>
                      </c:pt>
                      <c:pt idx="36">
                        <c:v>108393.18238837383</c:v>
                      </c:pt>
                      <c:pt idx="37">
                        <c:v>113331.7407126644</c:v>
                      </c:pt>
                      <c:pt idx="38">
                        <c:v>118139.22311248016</c:v>
                      </c:pt>
                      <c:pt idx="39">
                        <c:v>122804.70558568215</c:v>
                      </c:pt>
                      <c:pt idx="40">
                        <c:v>127319.16141528022</c:v>
                      </c:pt>
                      <c:pt idx="41">
                        <c:v>131675.36067216395</c:v>
                      </c:pt>
                      <c:pt idx="42">
                        <c:v>135867.75764172734</c:v>
                      </c:pt>
                      <c:pt idx="43">
                        <c:v>139892.36986055132</c:v>
                      </c:pt>
                      <c:pt idx="44">
                        <c:v>143746.65199054204</c:v>
                      </c:pt>
                      <c:pt idx="45">
                        <c:v>147429.36731351464</c:v>
                      </c:pt>
                      <c:pt idx="46">
                        <c:v>150940.45920731421</c:v>
                      </c:pt>
                      <c:pt idx="47">
                        <c:v>154280.92457085359</c:v>
                      </c:pt>
                      <c:pt idx="48">
                        <c:v>157452.69080357102</c:v>
                      </c:pt>
                      <c:pt idx="49">
                        <c:v>160458.497616776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480-4003-A92A-241054E60060}"/>
                  </c:ext>
                </c:extLst>
              </c15:ser>
            </c15:filteredScatterSeries>
            <c15:filteredScatterSeries>
              <c15:ser>
                <c:idx val="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350.07288085092068</c:v>
                      </c:pt>
                      <c:pt idx="12">
                        <c:v>1564.6810998861229</c:v>
                      </c:pt>
                      <c:pt idx="13">
                        <c:v>3073.5177199174159</c:v>
                      </c:pt>
                      <c:pt idx="14">
                        <c:v>4896.6072706580953</c:v>
                      </c:pt>
                      <c:pt idx="15">
                        <c:v>7047.6523342737592</c:v>
                      </c:pt>
                      <c:pt idx="16">
                        <c:v>9533.8780288092021</c:v>
                      </c:pt>
                      <c:pt idx="17">
                        <c:v>12356.14460990531</c:v>
                      </c:pt>
                      <c:pt idx="18">
                        <c:v>15509.277047922867</c:v>
                      </c:pt>
                      <c:pt idx="19">
                        <c:v>18982.560852255941</c:v>
                      </c:pt>
                      <c:pt idx="20">
                        <c:v>22760.356558758966</c:v>
                      </c:pt>
                      <c:pt idx="21">
                        <c:v>26822.790127460925</c:v>
                      </c:pt>
                      <c:pt idx="22">
                        <c:v>31146.482228882232</c:v>
                      </c:pt>
                      <c:pt idx="23">
                        <c:v>35705.285452268683</c:v>
                      </c:pt>
                      <c:pt idx="24">
                        <c:v>40471.004442171543</c:v>
                      </c:pt>
                      <c:pt idx="25">
                        <c:v>45414.079589410925</c:v>
                      </c:pt>
                      <c:pt idx="26">
                        <c:v>50504.220000251291</c:v>
                      </c:pt>
                      <c:pt idx="27">
                        <c:v>55710.975952913039</c:v>
                      </c:pt>
                      <c:pt idx="28">
                        <c:v>61004.244889457768</c:v>
                      </c:pt>
                      <c:pt idx="29">
                        <c:v>66354.708189859055</c:v>
                      </c:pt>
                      <c:pt idx="30">
                        <c:v>71734.198567047133</c:v>
                      </c:pt>
                      <c:pt idx="31">
                        <c:v>77115.999957292137</c:v>
                      </c:pt>
                      <c:pt idx="32">
                        <c:v>82475.083319399128</c:v>
                      </c:pt>
                      <c:pt idx="33">
                        <c:v>87788.282862723456</c:v>
                      </c:pt>
                      <c:pt idx="34">
                        <c:v>93034.41796190411</c:v>
                      </c:pt>
                      <c:pt idx="35">
                        <c:v>98194.36644670213</c:v>
                      </c:pt>
                      <c:pt idx="36">
                        <c:v>103251.09513522708</c:v>
                      </c:pt>
                      <c:pt idx="37">
                        <c:v>108189.65345951765</c:v>
                      </c:pt>
                      <c:pt idx="38">
                        <c:v>112997.13585933342</c:v>
                      </c:pt>
                      <c:pt idx="39">
                        <c:v>117662.61833253541</c:v>
                      </c:pt>
                      <c:pt idx="40">
                        <c:v>122177.07416213347</c:v>
                      </c:pt>
                      <c:pt idx="41">
                        <c:v>126533.27341901721</c:v>
                      </c:pt>
                      <c:pt idx="42">
                        <c:v>130725.67038858059</c:v>
                      </c:pt>
                      <c:pt idx="43">
                        <c:v>134750.28260740457</c:v>
                      </c:pt>
                      <c:pt idx="44">
                        <c:v>138604.5647373953</c:v>
                      </c:pt>
                      <c:pt idx="45">
                        <c:v>142287.28006036789</c:v>
                      </c:pt>
                      <c:pt idx="46">
                        <c:v>145798.37195416747</c:v>
                      </c:pt>
                      <c:pt idx="47">
                        <c:v>149138.83731770684</c:v>
                      </c:pt>
                      <c:pt idx="48">
                        <c:v>152310.60355042428</c:v>
                      </c:pt>
                      <c:pt idx="49">
                        <c:v>155316.41036362926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480-4003-A92A-241054E60060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ExpPwLaw'!$AF$31</c:f>
              <c:strCache>
                <c:ptCount val="1"/>
                <c:pt idx="0">
                  <c:v>Deaths</c:v>
                </c:pt>
              </c:strCache>
            </c:strRef>
          </c:cat>
          <c:val>
            <c:numRef>
              <c:f>'Cumul_confirmed - ExpPwLaw'!$AG$38</c:f>
              <c:numCache>
                <c:formatCode>0.0000</c:formatCode>
                <c:ptCount val="1"/>
                <c:pt idx="0">
                  <c:v>0.99982322112815314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5-45B8-B127-BD941090783B}"/>
            </c:ext>
          </c:extLst>
        </c:ser>
        <c:ser>
          <c:idx val="1"/>
          <c:order val="1"/>
          <c:tx>
            <c:strRef>
              <c:f>'Cumul_confirmed - ExpPwLaw'!$AF$40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ExpPwLaw'!$AG$40</c:f>
              <c:numCache>
                <c:formatCode>0</c:formatCode>
                <c:ptCount val="1"/>
                <c:pt idx="0">
                  <c:v>227.94311246820683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4-4ED5-A028-64FF1F9E9F9D}"/>
            </c:ext>
          </c:extLst>
        </c:ser>
        <c:ser>
          <c:idx val="2"/>
          <c:order val="2"/>
          <c:tx>
            <c:strRef>
              <c:f>'Cumul_confirmed - ExpPwLaw'!$AF$41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ExpPwLaw'!$AG$41</c:f>
              <c:numCache>
                <c:formatCode>0</c:formatCode>
                <c:ptCount val="1"/>
                <c:pt idx="0">
                  <c:v>25644.083179051395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4-4ED5-A028-64FF1F9E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ExpPwLaw'!$AF$19</c:f>
              <c:strCache>
                <c:ptCount val="1"/>
                <c:pt idx="0">
                  <c:v>Recovered</c:v>
                </c:pt>
              </c:strCache>
            </c:strRef>
          </c:cat>
          <c:val>
            <c:numRef>
              <c:f>'Cumul_confirmed - ExpPwLaw'!$AG$26</c:f>
              <c:numCache>
                <c:formatCode>0.0000</c:formatCode>
                <c:ptCount val="1"/>
                <c:pt idx="0">
                  <c:v>0.99936085357465376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4-46E1-B41A-8365D5B6ADB2}"/>
            </c:ext>
          </c:extLst>
        </c:ser>
        <c:ser>
          <c:idx val="1"/>
          <c:order val="1"/>
          <c:tx>
            <c:strRef>
              <c:f>'Cumul_confirmed - ExpPwLaw'!$AF$28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ExpPwLaw'!$AG$28</c:f>
              <c:numCache>
                <c:formatCode>0</c:formatCode>
                <c:ptCount val="1"/>
                <c:pt idx="0">
                  <c:v>650.99881895541046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F-49DE-A4D6-700CB0C04F71}"/>
            </c:ext>
          </c:extLst>
        </c:ser>
        <c:ser>
          <c:idx val="2"/>
          <c:order val="2"/>
          <c:tx>
            <c:strRef>
              <c:f>'Cumul_confirmed - ExpPwLaw'!$AF$29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ExpPwLaw'!$AG$29</c:f>
              <c:numCache>
                <c:formatCode>0</c:formatCode>
                <c:ptCount val="1"/>
                <c:pt idx="0">
                  <c:v>173224.71382270989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F-49DE-A4D6-700CB0C0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noFill/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ExpPwLaw'!$AF$7</c:f>
              <c:strCache>
                <c:ptCount val="1"/>
                <c:pt idx="0">
                  <c:v>Confirmed</c:v>
                </c:pt>
              </c:strCache>
            </c:strRef>
          </c:cat>
          <c:val>
            <c:numRef>
              <c:f>'Cumul_confirmed - ExpPwLaw'!$AG$14</c:f>
              <c:numCache>
                <c:formatCode>0.0000</c:formatCode>
                <c:ptCount val="1"/>
                <c:pt idx="0">
                  <c:v>0.99965629112793208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8-4A43-A86B-11A7BEE81EBD}"/>
            </c:ext>
          </c:extLst>
        </c:ser>
        <c:ser>
          <c:idx val="1"/>
          <c:order val="1"/>
          <c:tx>
            <c:strRef>
              <c:f>'Cumul_confirmed - ExpPwLaw'!$AF$16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ExpPwLaw'!$AG$16</c:f>
              <c:numCache>
                <c:formatCode>0</c:formatCode>
                <c:ptCount val="1"/>
                <c:pt idx="0">
                  <c:v>2571.0436265733724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A-4902-BFCA-FD5EB3CA0030}"/>
            </c:ext>
          </c:extLst>
        </c:ser>
        <c:ser>
          <c:idx val="2"/>
          <c:order val="2"/>
          <c:tx>
            <c:strRef>
              <c:f>'Cumul_confirmed - ExpPwLaw'!$AF$17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ExpPwLaw'!$AG$17</c:f>
              <c:numCache>
                <c:formatCode>0</c:formatCode>
                <c:ptCount val="1"/>
                <c:pt idx="0">
                  <c:v>198868.80666380809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A-4902-BFCA-FD5EB3CA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solidFill>
            <a:srgbClr val="0070C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Cases, Recovered and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'New_confirmed - ExpPwLaw'!$H$7</c:f>
              <c:strCache>
                <c:ptCount val="1"/>
                <c:pt idx="0">
                  <c:v>New_cases_fit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0.13963206978005366</c:v>
                </c:pt>
                <c:pt idx="2">
                  <c:v>2.4364074163428819</c:v>
                </c:pt>
                <c:pt idx="3">
                  <c:v>12.222933046851352</c:v>
                </c:pt>
                <c:pt idx="4">
                  <c:v>36.809964285572086</c:v>
                </c:pt>
                <c:pt idx="5">
                  <c:v>83.813014359412065</c:v>
                </c:pt>
                <c:pt idx="6">
                  <c:v>159.89749581571292</c:v>
                </c:pt>
                <c:pt idx="7">
                  <c:v>269.99887525156538</c:v>
                </c:pt>
                <c:pt idx="8">
                  <c:v>416.9484575737261</c:v>
                </c:pt>
                <c:pt idx="9">
                  <c:v>601.40727113756213</c:v>
                </c:pt>
                <c:pt idx="10">
                  <c:v>822.01393917406051</c:v>
                </c:pt>
                <c:pt idx="11">
                  <c:v>1075.6666353608193</c:v>
                </c:pt>
                <c:pt idx="12">
                  <c:v>1357.8760550042825</c:v>
                </c:pt>
                <c:pt idx="13">
                  <c:v>1663.1423649716255</c:v>
                </c:pt>
                <c:pt idx="14">
                  <c:v>1985.3229768279293</c:v>
                </c:pt>
                <c:pt idx="15">
                  <c:v>2317.9693366893043</c:v>
                </c:pt>
                <c:pt idx="16">
                  <c:v>2654.6198135266723</c:v>
                </c:pt>
                <c:pt idx="17">
                  <c:v>2989.0424660406079</c:v>
                </c:pt>
                <c:pt idx="18">
                  <c:v>3315.4263179687323</c:v>
                </c:pt>
                <c:pt idx="19">
                  <c:v>3628.5231184481031</c:v>
                </c:pt>
                <c:pt idx="20">
                  <c:v>3923.7437261026857</c:v>
                </c:pt>
                <c:pt idx="21">
                  <c:v>4197.2145102232498</c:v>
                </c:pt>
                <c:pt idx="22">
                  <c:v>4445.7997426347474</c:v>
                </c:pt>
                <c:pt idx="23">
                  <c:v>4667.096049636838</c:v>
                </c:pt>
                <c:pt idx="24">
                  <c:v>4859.404756100399</c:v>
                </c:pt>
                <c:pt idx="25">
                  <c:v>5021.6875012318742</c:v>
                </c:pt>
                <c:pt idx="26">
                  <c:v>5153.5099273076185</c:v>
                </c:pt>
                <c:pt idx="27">
                  <c:v>5254.9776052959041</c:v>
                </c:pt>
                <c:pt idx="28">
                  <c:v>5326.6677125317165</c:v>
                </c:pt>
                <c:pt idx="29">
                  <c:v>5369.5593505518118</c:v>
                </c:pt>
                <c:pt idx="30">
                  <c:v>5384.9648074574961</c:v>
                </c:pt>
                <c:pt idx="31">
                  <c:v>5374.4635416735646</c:v>
                </c:pt>
                <c:pt idx="32">
                  <c:v>5339.8401991635728</c:v>
                </c:pt>
                <c:pt idx="33">
                  <c:v>5283.0275758115986</c:v>
                </c:pt>
                <c:pt idx="34">
                  <c:v>5206.05509927617</c:v>
                </c:pt>
                <c:pt idx="35">
                  <c:v>5111.0031264706431</c:v>
                </c:pt>
                <c:pt idx="36">
                  <c:v>4999.9631288836272</c:v>
                </c:pt>
                <c:pt idx="37">
                  <c:v>4875.0036624576296</c:v>
                </c:pt>
                <c:pt idx="38">
                  <c:v>4738.1418856615019</c:v>
                </c:pt>
                <c:pt idx="39">
                  <c:v>4591.3202927461007</c:v>
                </c:pt>
                <c:pt idx="40">
                  <c:v>4436.3882632629438</c:v>
                </c:pt>
                <c:pt idx="41">
                  <c:v>4275.0879884705</c:v>
                </c:pt>
                <c:pt idx="42">
                  <c:v>4109.0443154677478</c:v>
                </c:pt>
                <c:pt idx="43">
                  <c:v>3939.758046531877</c:v>
                </c:pt>
                <c:pt idx="44">
                  <c:v>3768.6022404883138</c:v>
                </c:pt>
                <c:pt idx="45">
                  <c:v>3596.8210818228235</c:v>
                </c:pt>
                <c:pt idx="46">
                  <c:v>3425.5309089653151</c:v>
                </c:pt>
                <c:pt idx="47">
                  <c:v>3255.7230234932158</c:v>
                </c:pt>
                <c:pt idx="48">
                  <c:v>3088.2679350855069</c:v>
                </c:pt>
                <c:pt idx="49">
                  <c:v>2923.9207314327823</c:v>
                </c:pt>
                <c:pt idx="50">
                  <c:v>2763.3272968148772</c:v>
                </c:pt>
                <c:pt idx="51">
                  <c:v>2607.0311368042981</c:v>
                </c:pt>
                <c:pt idx="52">
                  <c:v>2455.4805988802568</c:v>
                </c:pt>
                <c:pt idx="53">
                  <c:v>2309.03630917275</c:v>
                </c:pt>
                <c:pt idx="54">
                  <c:v>2167.9786737865888</c:v>
                </c:pt>
                <c:pt idx="55">
                  <c:v>2032.5153189953214</c:v>
                </c:pt>
                <c:pt idx="56">
                  <c:v>1902.7883679622119</c:v>
                </c:pt>
                <c:pt idx="57">
                  <c:v>1778.8814725351508</c:v>
                </c:pt>
                <c:pt idx="58">
                  <c:v>1660.8265371330574</c:v>
                </c:pt>
                <c:pt idx="59">
                  <c:v>1548.6100878939328</c:v>
                </c:pt>
                <c:pt idx="60">
                  <c:v>1442.1792542242154</c:v>
                </c:pt>
                <c:pt idx="61">
                  <c:v>1341.4473418298132</c:v>
                </c:pt>
                <c:pt idx="62">
                  <c:v>1246.2989863885998</c:v>
                </c:pt>
                <c:pt idx="63">
                  <c:v>1156.5948854146247</c:v>
                </c:pt>
                <c:pt idx="64">
                  <c:v>1072.176112738754</c:v>
                </c:pt>
                <c:pt idx="65">
                  <c:v>992.86802555676297</c:v>
                </c:pt>
                <c:pt idx="66">
                  <c:v>918.48377833621487</c:v>
                </c:pt>
                <c:pt idx="67">
                  <c:v>848.82746117904333</c:v>
                </c:pt>
                <c:pt idx="68">
                  <c:v>783.69688264996466</c:v>
                </c:pt>
                <c:pt idx="69">
                  <c:v>722.88601873137986</c:v>
                </c:pt>
                <c:pt idx="70">
                  <c:v>666.18715057173608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9"/>
          <c:order val="5"/>
          <c:tx>
            <c:strRef>
              <c:f>'New_confirmed - ExpPwLaw'!$N$7</c:f>
              <c:strCache>
                <c:ptCount val="1"/>
                <c:pt idx="0">
                  <c:v>New_positive_fit</c:v>
                </c:pt>
              </c:strCache>
            </c:strRef>
          </c:tx>
          <c:spPr>
            <a:ln w="9525" cap="rnd">
              <a:solidFill>
                <a:schemeClr val="tx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ExpPwLaw'!$N$8:$N$78</c:f>
              <c:numCache>
                <c:formatCode>0</c:formatCode>
                <c:ptCount val="71"/>
                <c:pt idx="0">
                  <c:v>0</c:v>
                </c:pt>
                <c:pt idx="1">
                  <c:v>7.4540240641621763E-2</c:v>
                </c:pt>
                <c:pt idx="2">
                  <c:v>1.8452478559595078</c:v>
                </c:pt>
                <c:pt idx="3">
                  <c:v>10.099115956115318</c:v>
                </c:pt>
                <c:pt idx="4">
                  <c:v>31.555863850253974</c:v>
                </c:pt>
                <c:pt idx="5">
                  <c:v>73.168906926745663</c:v>
                </c:pt>
                <c:pt idx="6">
                  <c:v>140.84768039026989</c:v>
                </c:pt>
                <c:pt idx="7">
                  <c:v>238.68215079869563</c:v>
                </c:pt>
                <c:pt idx="8">
                  <c:v>368.60293127082775</c:v>
                </c:pt>
                <c:pt idx="9">
                  <c:v>530.37194440020494</c:v>
                </c:pt>
                <c:pt idx="10">
                  <c:v>721.79800648233117</c:v>
                </c:pt>
                <c:pt idx="11">
                  <c:v>939.08595161406902</c:v>
                </c:pt>
                <c:pt idx="12">
                  <c:v>1177.2469950748136</c:v>
                </c:pt>
                <c:pt idx="13">
                  <c:v>1430.5172088311033</c:v>
                </c:pt>
                <c:pt idx="14">
                  <c:v>1692.7480339750111</c:v>
                </c:pt>
                <c:pt idx="15">
                  <c:v>1957.7468109994825</c:v>
                </c:pt>
                <c:pt idx="16">
                  <c:v>2219.5562219336662</c:v>
                </c:pt>
                <c:pt idx="17">
                  <c:v>2472.6695429905812</c:v>
                </c:pt>
                <c:pt idx="18">
                  <c:v>2712.1841149298198</c:v>
                </c:pt>
                <c:pt idx="19">
                  <c:v>2933.89892080354</c:v>
                </c:pt>
                <c:pt idx="20">
                  <c:v>3134.3640758745778</c:v>
                </c:pt>
                <c:pt idx="21">
                  <c:v>3310.8907934273552</c:v>
                </c:pt>
                <c:pt idx="22">
                  <c:v>3461.53034058609</c:v>
                </c:pt>
                <c:pt idx="23">
                  <c:v>3585.0299207947328</c:v>
                </c:pt>
                <c:pt idx="24">
                  <c:v>3680.7725317377794</c:v>
                </c:pt>
                <c:pt idx="25">
                  <c:v>3748.7068108306012</c:v>
                </c:pt>
                <c:pt idx="26">
                  <c:v>3789.2718097624202</c:v>
                </c:pt>
                <c:pt idx="27">
                  <c:v>3803.320611928832</c:v>
                </c:pt>
                <c:pt idx="28">
                  <c:v>3792.0457695640607</c:v>
                </c:pt>
                <c:pt idx="29">
                  <c:v>3756.9087165870897</c:v>
                </c:pt>
                <c:pt idx="30">
                  <c:v>3699.5746183739789</c:v>
                </c:pt>
                <c:pt idx="31">
                  <c:v>3621.8535497549174</c:v>
                </c:pt>
                <c:pt idx="32">
                  <c:v>3525.6484394132704</c:v>
                </c:pt>
                <c:pt idx="33">
                  <c:v>3412.9098703885179</c:v>
                </c:pt>
                <c:pt idx="34">
                  <c:v>3285.5975684892901</c:v>
                </c:pt>
                <c:pt idx="35">
                  <c:v>3145.6482286212927</c:v>
                </c:pt>
                <c:pt idx="36">
                  <c:v>2994.9492094088073</c:v>
                </c:pt>
                <c:pt idx="37">
                  <c:v>2835.3175562928732</c:v>
                </c:pt>
                <c:pt idx="38">
                  <c:v>2668.4837812765677</c:v>
                </c:pt>
                <c:pt idx="39">
                  <c:v>2496.0798240286085</c:v>
                </c:pt>
                <c:pt idx="40">
                  <c:v>2319.6306361260813</c:v>
                </c:pt>
                <c:pt idx="41">
                  <c:v>2140.5488612940208</c:v>
                </c:pt>
                <c:pt idx="42">
                  <c:v>1960.1321244130631</c:v>
                </c:pt>
                <c:pt idx="43">
                  <c:v>1779.5624868242976</c:v>
                </c:pt>
                <c:pt idx="44">
                  <c:v>1599.9076720656099</c:v>
                </c:pt>
                <c:pt idx="45">
                  <c:v>1422.1237124543909</c:v>
                </c:pt>
                <c:pt idx="46">
                  <c:v>1247.0587113800207</c:v>
                </c:pt>
                <c:pt idx="47">
                  <c:v>1075.4574578038541</c:v>
                </c:pt>
                <c:pt idx="48">
                  <c:v>907.96666770594425</c:v>
                </c:pt>
                <c:pt idx="49">
                  <c:v>745.14066179035717</c:v>
                </c:pt>
                <c:pt idx="50">
                  <c:v>587.44731960952095</c:v>
                </c:pt>
                <c:pt idx="51">
                  <c:v>435.27417748819619</c:v>
                </c:pt>
                <c:pt idx="52">
                  <c:v>288.93456141895143</c:v>
                </c:pt>
                <c:pt idx="53">
                  <c:v>148.6736667213612</c:v>
                </c:pt>
                <c:pt idx="54">
                  <c:v>14.674513997919519</c:v>
                </c:pt>
                <c:pt idx="55">
                  <c:v>-112.93627391961479</c:v>
                </c:pt>
                <c:pt idx="56">
                  <c:v>-234.08291646312858</c:v>
                </c:pt>
                <c:pt idx="57">
                  <c:v>-348.73517281825093</c:v>
                </c:pt>
                <c:pt idx="58">
                  <c:v>-456.90331484255785</c:v>
                </c:pt>
                <c:pt idx="59">
                  <c:v>-558.63339022615435</c:v>
                </c:pt>
                <c:pt idx="60">
                  <c:v>-654.00278439208489</c:v>
                </c:pt>
                <c:pt idx="61">
                  <c:v>-743.11608443152954</c:v>
                </c:pt>
                <c:pt idx="62">
                  <c:v>-826.10124411889922</c:v>
                </c:pt>
                <c:pt idx="63">
                  <c:v>-903.10604561384287</c:v>
                </c:pt>
                <c:pt idx="64">
                  <c:v>-974.29485070952251</c:v>
                </c:pt>
                <c:pt idx="65">
                  <c:v>-1039.845632325608</c:v>
                </c:pt>
                <c:pt idx="66">
                  <c:v>-1099.9472752803654</c:v>
                </c:pt>
                <c:pt idx="67">
                  <c:v>-1154.7971341336493</c:v>
                </c:pt>
                <c:pt idx="68">
                  <c:v>-1204.5988350053681</c:v>
                </c:pt>
                <c:pt idx="69">
                  <c:v>-1249.560307686939</c:v>
                </c:pt>
                <c:pt idx="70">
                  <c:v>-1289.8920340283596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5B-4E09-90F1-E61A18B2A20F}"/>
            </c:ext>
          </c:extLst>
        </c:ser>
        <c:ser>
          <c:idx val="11"/>
          <c:order val="7"/>
          <c:tx>
            <c:strRef>
              <c:f>'New_confirmed - ExpPwLaw'!$S$7</c:f>
              <c:strCache>
                <c:ptCount val="1"/>
                <c:pt idx="0">
                  <c:v>New_Recovered_fit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ExpPwLaw'!$S$8:$S$78</c:f>
              <c:numCache>
                <c:formatCode>0</c:formatCode>
                <c:ptCount val="71"/>
                <c:pt idx="0">
                  <c:v>0</c:v>
                </c:pt>
                <c:pt idx="1">
                  <c:v>6.5055790205405861E-2</c:v>
                </c:pt>
                <c:pt idx="2">
                  <c:v>0.58817865021644655</c:v>
                </c:pt>
                <c:pt idx="3">
                  <c:v>2.0875028115052596</c:v>
                </c:pt>
                <c:pt idx="4">
                  <c:v>5.0521569305887777</c:v>
                </c:pt>
                <c:pt idx="5">
                  <c:v>9.913362703867481</c:v>
                </c:pt>
                <c:pt idx="6">
                  <c:v>17.034873808826184</c:v>
                </c:pt>
                <c:pt idx="7">
                  <c:v>26.710961169753737</c:v>
                </c:pt>
                <c:pt idx="8">
                  <c:v>39.168141016440359</c:v>
                </c:pt>
                <c:pt idx="9">
                  <c:v>54.568910779721364</c:v>
                </c:pt>
                <c:pt idx="10">
                  <c:v>73.01656524426086</c:v>
                </c:pt>
                <c:pt idx="11">
                  <c:v>94.560549905537925</c:v>
                </c:pt>
                <c:pt idx="12">
                  <c:v>119.20201587052298</c:v>
                </c:pt>
                <c:pt idx="13">
                  <c:v>146.89936242057252</c:v>
                </c:pt>
                <c:pt idx="14">
                  <c:v>177.57362933305379</c:v>
                </c:pt>
                <c:pt idx="15">
                  <c:v>211.11365059712406</c:v>
                </c:pt>
                <c:pt idx="16">
                  <c:v>247.38091450993758</c:v>
                </c:pt>
                <c:pt idx="17">
                  <c:v>286.21409810669695</c:v>
                </c:pt>
                <c:pt idx="18">
                  <c:v>327.43325993210323</c:v>
                </c:pt>
                <c:pt idx="19">
                  <c:v>370.84368647282338</c:v>
                </c:pt>
                <c:pt idx="20">
                  <c:v>416.239395550734</c:v>
                </c:pt>
                <c:pt idx="21">
                  <c:v>463.40630557052936</c:v>
                </c:pt>
                <c:pt idx="22">
                  <c:v>512.12508337431257</c:v>
                </c:pt>
                <c:pt idx="23">
                  <c:v>562.17368603937575</c:v>
                </c:pt>
                <c:pt idx="24">
                  <c:v>613.3296135938059</c:v>
                </c:pt>
                <c:pt idx="25">
                  <c:v>665.37189055928604</c:v>
                </c:pt>
                <c:pt idx="26">
                  <c:v>718.08279464060502</c:v>
                </c:pt>
                <c:pt idx="27">
                  <c:v>771.24935090122483</c:v>
                </c:pt>
                <c:pt idx="28">
                  <c:v>824.66460949563918</c:v>
                </c:pt>
                <c:pt idx="29">
                  <c:v>878.12872454983449</c:v>
                </c:pt>
                <c:pt idx="30">
                  <c:v>931.44985115066925</c:v>
                </c:pt>
                <c:pt idx="31">
                  <c:v>984.44487666945417</c:v>
                </c:pt>
                <c:pt idx="32">
                  <c:v>1036.9400018399824</c:v>
                </c:pt>
                <c:pt idx="33">
                  <c:v>1088.7711861643479</c:v>
                </c:pt>
                <c:pt idx="34">
                  <c:v>1139.7844713522668</c:v>
                </c:pt>
                <c:pt idx="35">
                  <c:v>1189.836195627709</c:v>
                </c:pt>
                <c:pt idx="36">
                  <c:v>1238.7931108729374</c:v>
                </c:pt>
                <c:pt idx="37">
                  <c:v>1286.5324137339849</c:v>
                </c:pt>
                <c:pt idx="38">
                  <c:v>1332.941700990239</c:v>
                </c:pt>
                <c:pt idx="39">
                  <c:v>1377.9188586992861</c:v>
                </c:pt>
                <c:pt idx="40">
                  <c:v>1421.371893870072</c:v>
                </c:pt>
                <c:pt idx="41">
                  <c:v>1463.2187166952021</c:v>
                </c:pt>
                <c:pt idx="42">
                  <c:v>1503.3868806882756</c:v>
                </c:pt>
                <c:pt idx="43">
                  <c:v>1541.8132874251824</c:v>
                </c:pt>
                <c:pt idx="44">
                  <c:v>1578.4438619794103</c:v>
                </c:pt>
                <c:pt idx="45">
                  <c:v>1613.2332045702838</c:v>
                </c:pt>
                <c:pt idx="46">
                  <c:v>1646.1442234088624</c:v>
                </c:pt>
                <c:pt idx="47">
                  <c:v>1677.1477532280694</c:v>
                </c:pt>
                <c:pt idx="48">
                  <c:v>1706.2221635202382</c:v>
                </c:pt>
                <c:pt idx="49">
                  <c:v>1733.3529600753577</c:v>
                </c:pt>
                <c:pt idx="50">
                  <c:v>1758.5323830153279</c:v>
                </c:pt>
                <c:pt idx="51">
                  <c:v>1781.7590041521296</c:v>
                </c:pt>
                <c:pt idx="52">
                  <c:v>1803.0373261592865</c:v>
                </c:pt>
                <c:pt idx="53">
                  <c:v>1822.3773857348588</c:v>
                </c:pt>
                <c:pt idx="54">
                  <c:v>1839.7943626489243</c:v>
                </c:pt>
                <c:pt idx="55">
                  <c:v>1855.3081963074437</c:v>
                </c:pt>
                <c:pt idx="56">
                  <c:v>1868.9432112262427</c:v>
                </c:pt>
                <c:pt idx="57">
                  <c:v>1880.7277525918864</c:v>
                </c:pt>
                <c:pt idx="58">
                  <c:v>1890.6938328893398</c:v>
                </c:pt>
                <c:pt idx="59">
                  <c:v>1898.8767903978678</c:v>
                </c:pt>
                <c:pt idx="60">
                  <c:v>1905.3149601956077</c:v>
                </c:pt>
                <c:pt idx="61">
                  <c:v>1910.049358168123</c:v>
                </c:pt>
                <c:pt idx="62">
                  <c:v>1913.1233783861435</c:v>
                </c:pt>
                <c:pt idx="63">
                  <c:v>1914.582504101232</c:v>
                </c:pt>
                <c:pt idx="64">
                  <c:v>1914.4740325044143</c:v>
                </c:pt>
                <c:pt idx="65">
                  <c:v>1912.8468133007971</c:v>
                </c:pt>
                <c:pt idx="66">
                  <c:v>1909.7510010719213</c:v>
                </c:pt>
                <c:pt idx="67">
                  <c:v>1905.2378213262748</c:v>
                </c:pt>
                <c:pt idx="68">
                  <c:v>1899.3593500760242</c:v>
                </c:pt>
                <c:pt idx="69">
                  <c:v>1892.1683067240476</c:v>
                </c:pt>
                <c:pt idx="70">
                  <c:v>1883.7178599988679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5B-4E09-90F1-E61A18B2A20F}"/>
            </c:ext>
          </c:extLst>
        </c:ser>
        <c:ser>
          <c:idx val="5"/>
          <c:order val="11"/>
          <c:tx>
            <c:strRef>
              <c:f>'New_confirmed - ExpPwLaw'!$AA$7</c:f>
              <c:strCache>
                <c:ptCount val="1"/>
                <c:pt idx="0">
                  <c:v>New_Deaths_fit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ExpPwLaw'!$AA$8:$AA$78</c:f>
              <c:numCache>
                <c:formatCode>0</c:formatCode>
                <c:ptCount val="71"/>
                <c:pt idx="0">
                  <c:v>0</c:v>
                </c:pt>
                <c:pt idx="1">
                  <c:v>3.6038933026031066E-5</c:v>
                </c:pt>
                <c:pt idx="2">
                  <c:v>2.9809101669276772E-3</c:v>
                </c:pt>
                <c:pt idx="3">
                  <c:v>3.6314279230775195E-2</c:v>
                </c:pt>
                <c:pt idx="4">
                  <c:v>0.20194350472933142</c:v>
                </c:pt>
                <c:pt idx="5">
                  <c:v>0.73074472879892316</c:v>
                </c:pt>
                <c:pt idx="6">
                  <c:v>2.0149416166168534</c:v>
                </c:pt>
                <c:pt idx="7">
                  <c:v>4.6057632831160014</c:v>
                </c:pt>
                <c:pt idx="8">
                  <c:v>9.1773852864579926</c:v>
                </c:pt>
                <c:pt idx="9">
                  <c:v>16.466415957635853</c:v>
                </c:pt>
                <c:pt idx="10">
                  <c:v>27.199367447468546</c:v>
                </c:pt>
                <c:pt idx="11">
                  <c:v>42.020133841212385</c:v>
                </c:pt>
                <c:pt idx="12">
                  <c:v>61.427044058946052</c:v>
                </c:pt>
                <c:pt idx="13">
                  <c:v>85.725793719949607</c:v>
                </c:pt>
                <c:pt idx="14">
                  <c:v>115.00131351986445</c:v>
                </c:pt>
                <c:pt idx="15">
                  <c:v>149.10887509269799</c:v>
                </c:pt>
                <c:pt idx="16">
                  <c:v>187.68267708306851</c:v>
                </c:pt>
                <c:pt idx="17">
                  <c:v>230.15882494332973</c:v>
                </c:pt>
                <c:pt idx="18">
                  <c:v>275.80894310680929</c:v>
                </c:pt>
                <c:pt idx="19">
                  <c:v>323.78051117173976</c:v>
                </c:pt>
                <c:pt idx="20">
                  <c:v>373.14025467737366</c:v>
                </c:pt>
                <c:pt idx="21">
                  <c:v>422.91741122536547</c:v>
                </c:pt>
                <c:pt idx="22">
                  <c:v>472.14431867434485</c:v>
                </c:pt>
                <c:pt idx="23">
                  <c:v>519.89244280272931</c:v>
                </c:pt>
                <c:pt idx="24">
                  <c:v>565.30261076881345</c:v>
                </c:pt>
                <c:pt idx="25">
                  <c:v>607.60879984198721</c:v>
                </c:pt>
                <c:pt idx="26">
                  <c:v>646.15532290459316</c:v>
                </c:pt>
                <c:pt idx="27">
                  <c:v>680.40764246584752</c:v>
                </c:pt>
                <c:pt idx="28">
                  <c:v>709.95733347201599</c:v>
                </c:pt>
                <c:pt idx="29">
                  <c:v>734.521909414888</c:v>
                </c:pt>
                <c:pt idx="30">
                  <c:v>753.94033793284837</c:v>
                </c:pt>
                <c:pt idx="31">
                  <c:v>768.16511524919326</c:v>
                </c:pt>
                <c:pt idx="32">
                  <c:v>777.25175791031961</c:v>
                </c:pt>
                <c:pt idx="33">
                  <c:v>781.34651925873322</c:v>
                </c:pt>
                <c:pt idx="34">
                  <c:v>780.67305943461292</c:v>
                </c:pt>
                <c:pt idx="35">
                  <c:v>775.51870222164143</c:v>
                </c:pt>
                <c:pt idx="36">
                  <c:v>766.2208086018826</c:v>
                </c:pt>
                <c:pt idx="37">
                  <c:v>753.15369243077168</c:v>
                </c:pt>
                <c:pt idx="38">
                  <c:v>736.71640339469513</c:v>
                </c:pt>
                <c:pt idx="39">
                  <c:v>717.32161001820612</c:v>
                </c:pt>
                <c:pt idx="40">
                  <c:v>695.38573326679045</c:v>
                </c:pt>
                <c:pt idx="41">
                  <c:v>671.32041048127701</c:v>
                </c:pt>
                <c:pt idx="42">
                  <c:v>645.52531036640892</c:v>
                </c:pt>
                <c:pt idx="43">
                  <c:v>618.38227228239714</c:v>
                </c:pt>
                <c:pt idx="44">
                  <c:v>590.25070644329355</c:v>
                </c:pt>
                <c:pt idx="45">
                  <c:v>561.46416479814889</c:v>
                </c:pt>
                <c:pt idx="46">
                  <c:v>532.32797417643189</c:v>
                </c:pt>
                <c:pt idx="47">
                  <c:v>503.11781246129215</c:v>
                </c:pt>
                <c:pt idx="48">
                  <c:v>474.0791038593245</c:v>
                </c:pt>
                <c:pt idx="49">
                  <c:v>445.42710956706748</c:v>
                </c:pt>
                <c:pt idx="50">
                  <c:v>417.3475941900283</c:v>
                </c:pt>
                <c:pt idx="51">
                  <c:v>389.99795516397228</c:v>
                </c:pt>
                <c:pt idx="52">
                  <c:v>363.50871130201887</c:v>
                </c:pt>
                <c:pt idx="53">
                  <c:v>337.98525671652999</c:v>
                </c:pt>
                <c:pt idx="54">
                  <c:v>313.50979713974499</c:v>
                </c:pt>
                <c:pt idx="55">
                  <c:v>290.14339660749249</c:v>
                </c:pt>
                <c:pt idx="56">
                  <c:v>267.9280731990977</c:v>
                </c:pt>
                <c:pt idx="57">
                  <c:v>246.88889276151531</c:v>
                </c:pt>
                <c:pt idx="58">
                  <c:v>227.03601908627545</c:v>
                </c:pt>
                <c:pt idx="59">
                  <c:v>208.36668772221935</c:v>
                </c:pt>
                <c:pt idx="60">
                  <c:v>190.86707842069254</c:v>
                </c:pt>
                <c:pt idx="61">
                  <c:v>174.51406809321972</c:v>
                </c:pt>
                <c:pt idx="62">
                  <c:v>159.27685212135557</c:v>
                </c:pt>
                <c:pt idx="63">
                  <c:v>145.11842692723565</c:v>
                </c:pt>
                <c:pt idx="64">
                  <c:v>131.99693094386228</c:v>
                </c:pt>
                <c:pt idx="65">
                  <c:v>119.86684458157391</c:v>
                </c:pt>
                <c:pt idx="66">
                  <c:v>108.68005254465882</c:v>
                </c:pt>
                <c:pt idx="67">
                  <c:v>98.386773986417779</c:v>
                </c:pt>
                <c:pt idx="68">
                  <c:v>88.936367579308637</c:v>
                </c:pt>
                <c:pt idx="69">
                  <c:v>80.278019694271237</c:v>
                </c:pt>
                <c:pt idx="70">
                  <c:v>72.361324601227906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'New_confirmed - ExpPwLaw'!$J$7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ExpPwLaw'!$J$8:$J$78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1220.2615761355837</c:v>
                      </c:pt>
                      <c:pt idx="1">
                        <c:v>1220.4012082053637</c:v>
                      </c:pt>
                      <c:pt idx="2">
                        <c:v>1222.6979835519267</c:v>
                      </c:pt>
                      <c:pt idx="3">
                        <c:v>1232.484509182435</c:v>
                      </c:pt>
                      <c:pt idx="4">
                        <c:v>1257.0715404211558</c:v>
                      </c:pt>
                      <c:pt idx="5">
                        <c:v>1304.0745904949958</c:v>
                      </c:pt>
                      <c:pt idx="6">
                        <c:v>1380.1590719512967</c:v>
                      </c:pt>
                      <c:pt idx="7">
                        <c:v>1490.260451387149</c:v>
                      </c:pt>
                      <c:pt idx="8">
                        <c:v>1637.2100337093098</c:v>
                      </c:pt>
                      <c:pt idx="9">
                        <c:v>1821.6688472731457</c:v>
                      </c:pt>
                      <c:pt idx="10">
                        <c:v>2042.2755153096441</c:v>
                      </c:pt>
                      <c:pt idx="11">
                        <c:v>2295.928211496403</c:v>
                      </c:pt>
                      <c:pt idx="12">
                        <c:v>2578.1376311398662</c:v>
                      </c:pt>
                      <c:pt idx="13">
                        <c:v>2883.403941107209</c:v>
                      </c:pt>
                      <c:pt idx="14">
                        <c:v>3205.584552963513</c:v>
                      </c:pt>
                      <c:pt idx="15">
                        <c:v>3538.230912824888</c:v>
                      </c:pt>
                      <c:pt idx="16">
                        <c:v>3874.881389662256</c:v>
                      </c:pt>
                      <c:pt idx="17">
                        <c:v>4209.3040421761916</c:v>
                      </c:pt>
                      <c:pt idx="18">
                        <c:v>4535.687894104316</c:v>
                      </c:pt>
                      <c:pt idx="19">
                        <c:v>4848.7846945836864</c:v>
                      </c:pt>
                      <c:pt idx="20">
                        <c:v>5144.005302238269</c:v>
                      </c:pt>
                      <c:pt idx="21">
                        <c:v>5417.4760863588335</c:v>
                      </c:pt>
                      <c:pt idx="22">
                        <c:v>5666.0613187703311</c:v>
                      </c:pt>
                      <c:pt idx="23">
                        <c:v>5887.3576257724217</c:v>
                      </c:pt>
                      <c:pt idx="24">
                        <c:v>6079.6663322359827</c:v>
                      </c:pt>
                      <c:pt idx="25">
                        <c:v>6241.9490773674579</c:v>
                      </c:pt>
                      <c:pt idx="26">
                        <c:v>6373.7715034432022</c:v>
                      </c:pt>
                      <c:pt idx="27">
                        <c:v>6475.2391814314879</c:v>
                      </c:pt>
                      <c:pt idx="28">
                        <c:v>6546.9292886673002</c:v>
                      </c:pt>
                      <c:pt idx="29">
                        <c:v>6589.8209266873955</c:v>
                      </c:pt>
                      <c:pt idx="30">
                        <c:v>6605.2263835930798</c:v>
                      </c:pt>
                      <c:pt idx="31">
                        <c:v>6594.7251178091483</c:v>
                      </c:pt>
                      <c:pt idx="32">
                        <c:v>6560.1017752991565</c:v>
                      </c:pt>
                      <c:pt idx="33">
                        <c:v>6503.2891519471823</c:v>
                      </c:pt>
                      <c:pt idx="34">
                        <c:v>6426.3166754117537</c:v>
                      </c:pt>
                      <c:pt idx="35">
                        <c:v>6331.2647026062268</c:v>
                      </c:pt>
                      <c:pt idx="36">
                        <c:v>6220.2247050192109</c:v>
                      </c:pt>
                      <c:pt idx="37">
                        <c:v>6095.2652385932133</c:v>
                      </c:pt>
                      <c:pt idx="38">
                        <c:v>5958.4034617970856</c:v>
                      </c:pt>
                      <c:pt idx="39">
                        <c:v>5811.5818688816844</c:v>
                      </c:pt>
                      <c:pt idx="40">
                        <c:v>5656.6498393985275</c:v>
                      </c:pt>
                      <c:pt idx="41">
                        <c:v>5495.3495646060837</c:v>
                      </c:pt>
                      <c:pt idx="42">
                        <c:v>5329.3058916033315</c:v>
                      </c:pt>
                      <c:pt idx="43">
                        <c:v>5160.0196226674607</c:v>
                      </c:pt>
                      <c:pt idx="44">
                        <c:v>4988.8638166238979</c:v>
                      </c:pt>
                      <c:pt idx="45">
                        <c:v>4817.0826579584073</c:v>
                      </c:pt>
                      <c:pt idx="46">
                        <c:v>4645.7924851008993</c:v>
                      </c:pt>
                      <c:pt idx="47">
                        <c:v>4475.9845996287995</c:v>
                      </c:pt>
                      <c:pt idx="48">
                        <c:v>4308.5295112210906</c:v>
                      </c:pt>
                      <c:pt idx="49">
                        <c:v>4144.182307568366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FAC-474A-ABEF-27282C11884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137.61447886869882</c:v>
                      </c:pt>
                      <c:pt idx="13">
                        <c:v>442.8807888360418</c:v>
                      </c:pt>
                      <c:pt idx="14">
                        <c:v>765.06140069234561</c:v>
                      </c:pt>
                      <c:pt idx="15">
                        <c:v>1097.7077605537206</c:v>
                      </c:pt>
                      <c:pt idx="16">
                        <c:v>1434.3582373910886</c:v>
                      </c:pt>
                      <c:pt idx="17">
                        <c:v>1768.7808899050242</c:v>
                      </c:pt>
                      <c:pt idx="18">
                        <c:v>2095.1647418331486</c:v>
                      </c:pt>
                      <c:pt idx="19">
                        <c:v>2408.2615423125194</c:v>
                      </c:pt>
                      <c:pt idx="20">
                        <c:v>2703.482149967102</c:v>
                      </c:pt>
                      <c:pt idx="21">
                        <c:v>2976.9529340876661</c:v>
                      </c:pt>
                      <c:pt idx="22">
                        <c:v>3225.5381664991637</c:v>
                      </c:pt>
                      <c:pt idx="23">
                        <c:v>3446.8344735012543</c:v>
                      </c:pt>
                      <c:pt idx="24">
                        <c:v>3639.1431799648153</c:v>
                      </c:pt>
                      <c:pt idx="25">
                        <c:v>3801.4259250962905</c:v>
                      </c:pt>
                      <c:pt idx="26">
                        <c:v>3933.2483511720347</c:v>
                      </c:pt>
                      <c:pt idx="27">
                        <c:v>4034.7160291603204</c:v>
                      </c:pt>
                      <c:pt idx="28">
                        <c:v>4106.4061363961328</c:v>
                      </c:pt>
                      <c:pt idx="29">
                        <c:v>4149.2977744162281</c:v>
                      </c:pt>
                      <c:pt idx="30">
                        <c:v>4164.7032313219124</c:v>
                      </c:pt>
                      <c:pt idx="31">
                        <c:v>4154.2019655379809</c:v>
                      </c:pt>
                      <c:pt idx="32">
                        <c:v>4119.5786230279891</c:v>
                      </c:pt>
                      <c:pt idx="33">
                        <c:v>4062.7659996760149</c:v>
                      </c:pt>
                      <c:pt idx="34">
                        <c:v>3985.7935231405863</c:v>
                      </c:pt>
                      <c:pt idx="35">
                        <c:v>3890.7415503350594</c:v>
                      </c:pt>
                      <c:pt idx="36">
                        <c:v>3779.7015527480435</c:v>
                      </c:pt>
                      <c:pt idx="37">
                        <c:v>3654.7420863220459</c:v>
                      </c:pt>
                      <c:pt idx="38">
                        <c:v>3517.8803095259182</c:v>
                      </c:pt>
                      <c:pt idx="39">
                        <c:v>3371.058716610517</c:v>
                      </c:pt>
                      <c:pt idx="40">
                        <c:v>3216.1266871273601</c:v>
                      </c:pt>
                      <c:pt idx="41">
                        <c:v>3054.8264123349163</c:v>
                      </c:pt>
                      <c:pt idx="42">
                        <c:v>2888.7827393321641</c:v>
                      </c:pt>
                      <c:pt idx="43">
                        <c:v>2719.4964703962933</c:v>
                      </c:pt>
                      <c:pt idx="44">
                        <c:v>2548.3406643527301</c:v>
                      </c:pt>
                      <c:pt idx="45">
                        <c:v>2376.5595056872398</c:v>
                      </c:pt>
                      <c:pt idx="46">
                        <c:v>2205.2693328297314</c:v>
                      </c:pt>
                      <c:pt idx="47">
                        <c:v>2035.4614473576321</c:v>
                      </c:pt>
                      <c:pt idx="48">
                        <c:v>1868.0063589499232</c:v>
                      </c:pt>
                      <c:pt idx="49">
                        <c:v>1703.6591552971986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AC-474A-ABEF-27282C118849}"/>
                  </c:ext>
                </c:extLst>
              </c15:ser>
            </c15:filteredScatterSeries>
            <c15:filteredScatter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ExpPwLaw'!$U$7</c15:sqref>
                        </c15:formulaRef>
                      </c:ext>
                    </c:extLst>
                    <c:strCache>
                      <c:ptCount val="1"/>
                      <c:pt idx="0">
                        <c:v>NR_Upper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533.47802367564486</c:v>
                      </c:pt>
                      <c:pt idx="1">
                        <c:v>533.54307946585027</c:v>
                      </c:pt>
                      <c:pt idx="2">
                        <c:v>534.06620232586135</c:v>
                      </c:pt>
                      <c:pt idx="3">
                        <c:v>535.56552648715012</c:v>
                      </c:pt>
                      <c:pt idx="4">
                        <c:v>538.53018060623367</c:v>
                      </c:pt>
                      <c:pt idx="5">
                        <c:v>543.39138637951237</c:v>
                      </c:pt>
                      <c:pt idx="6">
                        <c:v>550.51289748447107</c:v>
                      </c:pt>
                      <c:pt idx="7">
                        <c:v>560.18898484539864</c:v>
                      </c:pt>
                      <c:pt idx="8">
                        <c:v>572.64616469208522</c:v>
                      </c:pt>
                      <c:pt idx="9">
                        <c:v>588.04693445536623</c:v>
                      </c:pt>
                      <c:pt idx="10">
                        <c:v>606.49458891990571</c:v>
                      </c:pt>
                      <c:pt idx="11">
                        <c:v>628.03857358118285</c:v>
                      </c:pt>
                      <c:pt idx="12">
                        <c:v>652.68003954616779</c:v>
                      </c:pt>
                      <c:pt idx="13">
                        <c:v>680.37738609621738</c:v>
                      </c:pt>
                      <c:pt idx="14">
                        <c:v>711.05165300869862</c:v>
                      </c:pt>
                      <c:pt idx="15">
                        <c:v>744.59167427276896</c:v>
                      </c:pt>
                      <c:pt idx="16">
                        <c:v>780.85893818558247</c:v>
                      </c:pt>
                      <c:pt idx="17">
                        <c:v>819.69212178234181</c:v>
                      </c:pt>
                      <c:pt idx="18">
                        <c:v>860.91128360774815</c:v>
                      </c:pt>
                      <c:pt idx="19">
                        <c:v>904.32171014846824</c:v>
                      </c:pt>
                      <c:pt idx="20">
                        <c:v>949.71741922637887</c:v>
                      </c:pt>
                      <c:pt idx="21">
                        <c:v>996.88432924617427</c:v>
                      </c:pt>
                      <c:pt idx="22">
                        <c:v>1045.6031070499575</c:v>
                      </c:pt>
                      <c:pt idx="23">
                        <c:v>1095.6517097150206</c:v>
                      </c:pt>
                      <c:pt idx="24">
                        <c:v>1146.8076372694509</c:v>
                      </c:pt>
                      <c:pt idx="25">
                        <c:v>1198.849914234931</c:v>
                      </c:pt>
                      <c:pt idx="26">
                        <c:v>1251.5608183162499</c:v>
                      </c:pt>
                      <c:pt idx="27">
                        <c:v>1304.7273745768698</c:v>
                      </c:pt>
                      <c:pt idx="28">
                        <c:v>1358.1426331712842</c:v>
                      </c:pt>
                      <c:pt idx="29">
                        <c:v>1411.6067482254794</c:v>
                      </c:pt>
                      <c:pt idx="30">
                        <c:v>1464.9278748263141</c:v>
                      </c:pt>
                      <c:pt idx="31">
                        <c:v>1517.9229003450992</c:v>
                      </c:pt>
                      <c:pt idx="32">
                        <c:v>1570.4180255156273</c:v>
                      </c:pt>
                      <c:pt idx="33">
                        <c:v>1622.2492098399928</c:v>
                      </c:pt>
                      <c:pt idx="34">
                        <c:v>1673.2624950279117</c:v>
                      </c:pt>
                      <c:pt idx="35">
                        <c:v>1723.3142193033539</c:v>
                      </c:pt>
                      <c:pt idx="36">
                        <c:v>1772.2711345485823</c:v>
                      </c:pt>
                      <c:pt idx="37">
                        <c:v>1820.0104374096297</c:v>
                      </c:pt>
                      <c:pt idx="38">
                        <c:v>1866.4197246658839</c:v>
                      </c:pt>
                      <c:pt idx="39">
                        <c:v>1911.396882374931</c:v>
                      </c:pt>
                      <c:pt idx="40">
                        <c:v>1954.8499175457168</c:v>
                      </c:pt>
                      <c:pt idx="41">
                        <c:v>1996.696740370847</c:v>
                      </c:pt>
                      <c:pt idx="42">
                        <c:v>2036.8649043639205</c:v>
                      </c:pt>
                      <c:pt idx="43">
                        <c:v>2075.2913111008274</c:v>
                      </c:pt>
                      <c:pt idx="44">
                        <c:v>2111.9218856550551</c:v>
                      </c:pt>
                      <c:pt idx="45">
                        <c:v>2146.7112282459284</c:v>
                      </c:pt>
                      <c:pt idx="46">
                        <c:v>2179.6222470845073</c:v>
                      </c:pt>
                      <c:pt idx="47">
                        <c:v>2210.6257769037143</c:v>
                      </c:pt>
                      <c:pt idx="48">
                        <c:v>2239.7001871958828</c:v>
                      </c:pt>
                      <c:pt idx="49">
                        <c:v>2266.8309837510023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5B-4E09-90F1-E61A18B2A20F}"/>
                  </c:ext>
                </c:extLst>
              </c15:ser>
            </c15:filteredScatterSeries>
            <c15:filteredScatter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ExpPwLaw'!$V$7</c15:sqref>
                        </c15:formulaRef>
                      </c:ext>
                    </c:extLst>
                    <c:strCache>
                      <c:ptCount val="1"/>
                      <c:pt idx="0">
                        <c:v>NR_Lower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28.695662363730889</c:v>
                      </c:pt>
                      <c:pt idx="24">
                        <c:v>79.851589918161039</c:v>
                      </c:pt>
                      <c:pt idx="25">
                        <c:v>131.89386688364118</c:v>
                      </c:pt>
                      <c:pt idx="26">
                        <c:v>184.60477096496015</c:v>
                      </c:pt>
                      <c:pt idx="27">
                        <c:v>237.77132722557997</c:v>
                      </c:pt>
                      <c:pt idx="28">
                        <c:v>291.18658581999432</c:v>
                      </c:pt>
                      <c:pt idx="29">
                        <c:v>344.65070087418962</c:v>
                      </c:pt>
                      <c:pt idx="30">
                        <c:v>397.97182747502438</c:v>
                      </c:pt>
                      <c:pt idx="31">
                        <c:v>450.96685299380931</c:v>
                      </c:pt>
                      <c:pt idx="32">
                        <c:v>503.46197816433755</c:v>
                      </c:pt>
                      <c:pt idx="33">
                        <c:v>555.29316248870305</c:v>
                      </c:pt>
                      <c:pt idx="34">
                        <c:v>606.30644767662193</c:v>
                      </c:pt>
                      <c:pt idx="35">
                        <c:v>656.35817195206414</c:v>
                      </c:pt>
                      <c:pt idx="36">
                        <c:v>705.31508719729254</c:v>
                      </c:pt>
                      <c:pt idx="37">
                        <c:v>753.05439005834</c:v>
                      </c:pt>
                      <c:pt idx="38">
                        <c:v>799.46367731459418</c:v>
                      </c:pt>
                      <c:pt idx="39">
                        <c:v>844.44083502364128</c:v>
                      </c:pt>
                      <c:pt idx="40">
                        <c:v>887.89387019442711</c:v>
                      </c:pt>
                      <c:pt idx="41">
                        <c:v>929.74069301955728</c:v>
                      </c:pt>
                      <c:pt idx="42">
                        <c:v>969.90885701263073</c:v>
                      </c:pt>
                      <c:pt idx="43">
                        <c:v>1008.3352637495375</c:v>
                      </c:pt>
                      <c:pt idx="44">
                        <c:v>1044.9658383037654</c:v>
                      </c:pt>
                      <c:pt idx="45">
                        <c:v>1079.7551808946389</c:v>
                      </c:pt>
                      <c:pt idx="46">
                        <c:v>1112.6661997332176</c:v>
                      </c:pt>
                      <c:pt idx="47">
                        <c:v>1143.6697295524245</c:v>
                      </c:pt>
                      <c:pt idx="48">
                        <c:v>1172.7441398445933</c:v>
                      </c:pt>
                      <c:pt idx="49">
                        <c:v>1199.8749363997129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5B-4E09-90F1-E61A18B2A20F}"/>
                  </c:ext>
                </c:extLst>
              </c15:ser>
            </c15:filteredScatterSeries>
            <c15:filteredScatterSeries>
              <c15:ser>
                <c:idx val="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ExpPwLaw'!$AC$7</c15:sqref>
                        </c15:formulaRef>
                      </c:ext>
                    </c:extLst>
                    <c:strCache>
                      <c:ptCount val="1"/>
                      <c:pt idx="0">
                        <c:v>ND_Upper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145.30412522783331</c:v>
                      </c:pt>
                      <c:pt idx="1">
                        <c:v>145.30416126676633</c:v>
                      </c:pt>
                      <c:pt idx="2">
                        <c:v>145.30710613800025</c:v>
                      </c:pt>
                      <c:pt idx="3">
                        <c:v>145.34043950706408</c:v>
                      </c:pt>
                      <c:pt idx="4">
                        <c:v>145.50606873256265</c:v>
                      </c:pt>
                      <c:pt idx="5">
                        <c:v>146.03486995663224</c:v>
                      </c:pt>
                      <c:pt idx="6">
                        <c:v>147.31906684445016</c:v>
                      </c:pt>
                      <c:pt idx="7">
                        <c:v>149.90988851094932</c:v>
                      </c:pt>
                      <c:pt idx="8">
                        <c:v>154.4815105142913</c:v>
                      </c:pt>
                      <c:pt idx="9">
                        <c:v>161.77054118546917</c:v>
                      </c:pt>
                      <c:pt idx="10">
                        <c:v>172.50349267530186</c:v>
                      </c:pt>
                      <c:pt idx="11">
                        <c:v>187.3242590690457</c:v>
                      </c:pt>
                      <c:pt idx="12">
                        <c:v>206.73116928677936</c:v>
                      </c:pt>
                      <c:pt idx="13">
                        <c:v>231.0299189477829</c:v>
                      </c:pt>
                      <c:pt idx="14">
                        <c:v>260.30543874769774</c:v>
                      </c:pt>
                      <c:pt idx="15">
                        <c:v>294.4130003205313</c:v>
                      </c:pt>
                      <c:pt idx="16">
                        <c:v>332.98680231090179</c:v>
                      </c:pt>
                      <c:pt idx="17">
                        <c:v>375.46295017116302</c:v>
                      </c:pt>
                      <c:pt idx="18">
                        <c:v>421.11306833464261</c:v>
                      </c:pt>
                      <c:pt idx="19">
                        <c:v>469.08463639957307</c:v>
                      </c:pt>
                      <c:pt idx="20">
                        <c:v>518.44437990520692</c:v>
                      </c:pt>
                      <c:pt idx="21">
                        <c:v>568.22153645319872</c:v>
                      </c:pt>
                      <c:pt idx="22">
                        <c:v>617.44844390217816</c:v>
                      </c:pt>
                      <c:pt idx="23">
                        <c:v>665.19656803056262</c:v>
                      </c:pt>
                      <c:pt idx="24">
                        <c:v>710.60673599664676</c:v>
                      </c:pt>
                      <c:pt idx="25">
                        <c:v>752.91292506982052</c:v>
                      </c:pt>
                      <c:pt idx="26">
                        <c:v>791.45944813242647</c:v>
                      </c:pt>
                      <c:pt idx="27">
                        <c:v>825.71176769368083</c:v>
                      </c:pt>
                      <c:pt idx="28">
                        <c:v>855.2614586998493</c:v>
                      </c:pt>
                      <c:pt idx="29">
                        <c:v>879.82603464272131</c:v>
                      </c:pt>
                      <c:pt idx="30">
                        <c:v>899.24446316068168</c:v>
                      </c:pt>
                      <c:pt idx="31">
                        <c:v>913.46924047702657</c:v>
                      </c:pt>
                      <c:pt idx="32">
                        <c:v>922.55588313815292</c:v>
                      </c:pt>
                      <c:pt idx="33">
                        <c:v>926.65064448656653</c:v>
                      </c:pt>
                      <c:pt idx="34">
                        <c:v>925.97718466244623</c:v>
                      </c:pt>
                      <c:pt idx="35">
                        <c:v>920.82282744947474</c:v>
                      </c:pt>
                      <c:pt idx="36">
                        <c:v>911.52493382971591</c:v>
                      </c:pt>
                      <c:pt idx="37">
                        <c:v>898.45781765860499</c:v>
                      </c:pt>
                      <c:pt idx="38">
                        <c:v>882.02052862252845</c:v>
                      </c:pt>
                      <c:pt idx="39">
                        <c:v>862.62573524603943</c:v>
                      </c:pt>
                      <c:pt idx="40">
                        <c:v>840.68985849462376</c:v>
                      </c:pt>
                      <c:pt idx="41">
                        <c:v>816.62453570911032</c:v>
                      </c:pt>
                      <c:pt idx="42">
                        <c:v>790.82943559424223</c:v>
                      </c:pt>
                      <c:pt idx="43">
                        <c:v>763.68639751023045</c:v>
                      </c:pt>
                      <c:pt idx="44">
                        <c:v>735.55483167112686</c:v>
                      </c:pt>
                      <c:pt idx="45">
                        <c:v>706.7682900259822</c:v>
                      </c:pt>
                      <c:pt idx="46">
                        <c:v>677.6320994042652</c:v>
                      </c:pt>
                      <c:pt idx="47">
                        <c:v>648.42193768912546</c:v>
                      </c:pt>
                      <c:pt idx="48">
                        <c:v>619.38322908715782</c:v>
                      </c:pt>
                      <c:pt idx="49">
                        <c:v>590.73123479490073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29A-42E0-ADE0-2A064B8C186A}"/>
                  </c:ext>
                </c:extLst>
              </c15:ser>
            </c15:filteredScatterSeries>
            <c15:filteredScatterSeries>
              <c15:ser>
                <c:idx val="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ExpPwLaw'!$AD$7</c15:sqref>
                        </c15:formulaRef>
                      </c:ext>
                    </c:extLst>
                    <c:strCache>
                      <c:ptCount val="1"/>
                      <c:pt idx="0">
                        <c:v>ND_Lower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3.8047498648646751</c:v>
                      </c:pt>
                      <c:pt idx="16">
                        <c:v>42.378551855235202</c:v>
                      </c:pt>
                      <c:pt idx="17">
                        <c:v>84.854699715496423</c:v>
                      </c:pt>
                      <c:pt idx="18">
                        <c:v>130.50481787897598</c:v>
                      </c:pt>
                      <c:pt idx="19">
                        <c:v>178.47638594390645</c:v>
                      </c:pt>
                      <c:pt idx="20">
                        <c:v>227.83612944954035</c:v>
                      </c:pt>
                      <c:pt idx="21">
                        <c:v>277.61328599753216</c:v>
                      </c:pt>
                      <c:pt idx="22">
                        <c:v>326.84019344651153</c:v>
                      </c:pt>
                      <c:pt idx="23">
                        <c:v>374.588317574896</c:v>
                      </c:pt>
                      <c:pt idx="24">
                        <c:v>419.99848554098014</c:v>
                      </c:pt>
                      <c:pt idx="25">
                        <c:v>462.3046746141539</c:v>
                      </c:pt>
                      <c:pt idx="26">
                        <c:v>500.85119767675985</c:v>
                      </c:pt>
                      <c:pt idx="27">
                        <c:v>535.10351723801421</c:v>
                      </c:pt>
                      <c:pt idx="28">
                        <c:v>564.65320824418268</c:v>
                      </c:pt>
                      <c:pt idx="29">
                        <c:v>589.21778418705469</c:v>
                      </c:pt>
                      <c:pt idx="30">
                        <c:v>608.63621270501505</c:v>
                      </c:pt>
                      <c:pt idx="31">
                        <c:v>622.86099002135995</c:v>
                      </c:pt>
                      <c:pt idx="32">
                        <c:v>631.9476326824863</c:v>
                      </c:pt>
                      <c:pt idx="33">
                        <c:v>636.04239403089991</c:v>
                      </c:pt>
                      <c:pt idx="34">
                        <c:v>635.36893420677961</c:v>
                      </c:pt>
                      <c:pt idx="35">
                        <c:v>630.21457699380812</c:v>
                      </c:pt>
                      <c:pt idx="36">
                        <c:v>620.91668337404928</c:v>
                      </c:pt>
                      <c:pt idx="37">
                        <c:v>607.84956720293837</c:v>
                      </c:pt>
                      <c:pt idx="38">
                        <c:v>591.41227816686182</c:v>
                      </c:pt>
                      <c:pt idx="39">
                        <c:v>572.01748479037281</c:v>
                      </c:pt>
                      <c:pt idx="40">
                        <c:v>550.08160803895714</c:v>
                      </c:pt>
                      <c:pt idx="41">
                        <c:v>526.0162852534437</c:v>
                      </c:pt>
                      <c:pt idx="42">
                        <c:v>500.22118513857561</c:v>
                      </c:pt>
                      <c:pt idx="43">
                        <c:v>473.07814705456383</c:v>
                      </c:pt>
                      <c:pt idx="44">
                        <c:v>444.94658121546024</c:v>
                      </c:pt>
                      <c:pt idx="45">
                        <c:v>416.16003957031558</c:v>
                      </c:pt>
                      <c:pt idx="46">
                        <c:v>387.02384894859858</c:v>
                      </c:pt>
                      <c:pt idx="47">
                        <c:v>357.81368723345884</c:v>
                      </c:pt>
                      <c:pt idx="48">
                        <c:v>328.77497863149119</c:v>
                      </c:pt>
                      <c:pt idx="49">
                        <c:v>300.12298433923416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9A-42E0-ADE0-2A064B8C186A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'New_confirmed - ExpPwLaw'!$E$7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ExpPwLaw'!$E$8:$E$78</c:f>
              <c:numCache>
                <c:formatCode>0</c:formatCode>
                <c:ptCount val="71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8"/>
          <c:order val="4"/>
          <c:tx>
            <c:strRef>
              <c:f>'New_confirmed - ExpPwLaw'!$M$7</c:f>
              <c:strCache>
                <c:ptCount val="1"/>
                <c:pt idx="0">
                  <c:v>New_positive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ExpPwLaw'!$M$8:$M$78</c:f>
              <c:numCache>
                <c:formatCode>0</c:formatCode>
                <c:ptCount val="71"/>
                <c:pt idx="0">
                  <c:v>0</c:v>
                </c:pt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F5B-4E09-90F1-E61A18B2A20F}"/>
            </c:ext>
          </c:extLst>
        </c:ser>
        <c:ser>
          <c:idx val="10"/>
          <c:order val="6"/>
          <c:tx>
            <c:strRef>
              <c:f>'New_confirmed - ExpPwLaw'!$P$7</c:f>
              <c:strCache>
                <c:ptCount val="1"/>
                <c:pt idx="0">
                  <c:v>New recovered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ExpPwLaw'!$P$8:$P$78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5B-4E09-90F1-E61A18B2A20F}"/>
            </c:ext>
          </c:extLst>
        </c:ser>
        <c:ser>
          <c:idx val="4"/>
          <c:order val="10"/>
          <c:tx>
            <c:strRef>
              <c:f>'New_confirmed - ExpPwLaw'!$X$7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ExpPwLaw'!$X$8:$X$78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ExpPwLaw'!$AG$38</c:f>
              <c:numCache>
                <c:formatCode>0.0000</c:formatCode>
                <c:ptCount val="1"/>
                <c:pt idx="0">
                  <c:v>0.97116808659904663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A-4CDF-A252-08C3586154EF}"/>
            </c:ext>
          </c:extLst>
        </c:ser>
        <c:ser>
          <c:idx val="1"/>
          <c:order val="1"/>
          <c:tx>
            <c:strRef>
              <c:f>'New_confirmed - ExpPwLaw'!$AF$40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ExpPwLaw'!$AG$40</c:f>
              <c:numCache>
                <c:formatCode>0</c:formatCode>
                <c:ptCount val="1"/>
                <c:pt idx="0">
                  <c:v>145.30412522783331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A-4CDF-A252-08C3586154EF}"/>
            </c:ext>
          </c:extLst>
        </c:ser>
        <c:ser>
          <c:idx val="2"/>
          <c:order val="2"/>
          <c:tx>
            <c:strRef>
              <c:f>'New_confirmed - ExpPwLaw'!$AF$41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ExpPwLaw'!$AG$41</c:f>
              <c:numCache>
                <c:formatCode>0</c:formatCode>
                <c:ptCount val="1"/>
                <c:pt idx="0">
                  <c:v>781.63971217744881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A-4CDF-A252-08C3586154EF}"/>
            </c:ext>
          </c:extLst>
        </c:ser>
        <c:ser>
          <c:idx val="3"/>
          <c:order val="3"/>
          <c:tx>
            <c:strRef>
              <c:f>'New_confirmed - ExpPwLaw'!$AF$42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ExpPwLaw'!$AG$42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2A-4CDF-A252-08C35861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ExpPwLaw'!$AG$26</c:f>
              <c:numCache>
                <c:formatCode>0.0000</c:formatCode>
                <c:ptCount val="1"/>
                <c:pt idx="0">
                  <c:v>0.89906334719295455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8-44CB-9A20-7F422326D3EE}"/>
            </c:ext>
          </c:extLst>
        </c:ser>
        <c:ser>
          <c:idx val="1"/>
          <c:order val="1"/>
          <c:tx>
            <c:strRef>
              <c:f>'New_confirmed - ExpPwLaw'!$AF$28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ExpPwLaw'!$AG$28</c:f>
              <c:numCache>
                <c:formatCode>0</c:formatCode>
                <c:ptCount val="1"/>
                <c:pt idx="0">
                  <c:v>533.47802367564486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8-44CB-9A20-7F422326D3EE}"/>
            </c:ext>
          </c:extLst>
        </c:ser>
        <c:ser>
          <c:idx val="2"/>
          <c:order val="2"/>
          <c:tx>
            <c:strRef>
              <c:f>'New_confirmed - ExpPwLaw'!$AF$29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ExpPwLaw'!$AG$29</c:f>
              <c:numCache>
                <c:formatCode>0</c:formatCode>
                <c:ptCount val="1"/>
                <c:pt idx="0">
                  <c:v>1914.7251513346787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08-44CB-9A20-7F422326D3EE}"/>
            </c:ext>
          </c:extLst>
        </c:ser>
        <c:ser>
          <c:idx val="3"/>
          <c:order val="3"/>
          <c:tx>
            <c:strRef>
              <c:f>'New_confirmed - ExpPwLaw'!$AF$30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ExpPwLaw'!$AG$30</c:f>
              <c:numCache>
                <c:formatCode>[$-409]mmmm\ d\,\ yyyy;@</c:formatCode>
                <c:ptCount val="1"/>
                <c:pt idx="0">
                  <c:v>43948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8-44CB-9A20-7F422326D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noFill/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ExpPwLaw'!$AG$14</c:f>
              <c:numCache>
                <c:formatCode>0.0000</c:formatCode>
                <c:ptCount val="1"/>
                <c:pt idx="0">
                  <c:v>0.95791856388863628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1-4EF6-A2FB-C72F92593B72}"/>
            </c:ext>
          </c:extLst>
        </c:ser>
        <c:ser>
          <c:idx val="1"/>
          <c:order val="1"/>
          <c:tx>
            <c:strRef>
              <c:f>'New_confirmed - ExpPwLaw'!$AF$16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ExpPwLaw'!$AG$16</c:f>
              <c:numCache>
                <c:formatCode>0</c:formatCode>
                <c:ptCount val="1"/>
                <c:pt idx="0">
                  <c:v>1220.2615761355837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1-4EF6-A2FB-C72F92593B72}"/>
            </c:ext>
          </c:extLst>
        </c:ser>
        <c:ser>
          <c:idx val="2"/>
          <c:order val="2"/>
          <c:tx>
            <c:strRef>
              <c:f>'New_confirmed - ExpPwLaw'!$AF$17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ExpPwLaw'!$AG$17</c:f>
              <c:numCache>
                <c:formatCode>0</c:formatCode>
                <c:ptCount val="1"/>
                <c:pt idx="0">
                  <c:v>5385.0557767610362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1-4EF6-A2FB-C72F92593B72}"/>
            </c:ext>
          </c:extLst>
        </c:ser>
        <c:ser>
          <c:idx val="3"/>
          <c:order val="3"/>
          <c:tx>
            <c:strRef>
              <c:f>'New_confirmed - ExpPwLaw'!$AF$18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ExpPwLaw'!$AG$18</c:f>
              <c:numCache>
                <c:formatCode>[$-409]mmmm\ d\,\ yyyy;@</c:formatCode>
                <c:ptCount val="1"/>
                <c:pt idx="0">
                  <c:v>43915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1-4EF6-A2FB-C72F9259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image" Target="../media/image1.emf"/><Relationship Id="rId4" Type="http://schemas.openxmlformats.org/officeDocument/2006/relationships/chart" Target="../charts/chart9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94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97</xdr:row>
      <xdr:rowOff>0</xdr:rowOff>
    </xdr:from>
    <xdr:to>
      <xdr:col>25</xdr:col>
      <xdr:colOff>99060</xdr:colOff>
      <xdr:row>129</xdr:row>
      <xdr:rowOff>144781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5770A6B3-15CD-428E-8F1C-342C7379080D}"/>
            </a:ext>
          </a:extLst>
        </xdr:cNvPr>
        <xdr:cNvGrpSpPr/>
      </xdr:nvGrpSpPr>
      <xdr:grpSpPr>
        <a:xfrm>
          <a:off x="11520747" y="21807055"/>
          <a:ext cx="6935586" cy="6213071"/>
          <a:chOff x="10022477" y="1284513"/>
          <a:chExt cx="6938554" cy="6131923"/>
        </a:xfrm>
      </xdr:grpSpPr>
      <xdr:grpSp>
        <xdr:nvGrpSpPr>
          <xdr:cNvPr id="22" name="Gruppo 21">
            <a:extLst>
              <a:ext uri="{FF2B5EF4-FFF2-40B4-BE49-F238E27FC236}">
                <a16:creationId xmlns:a16="http://schemas.microsoft.com/office/drawing/2014/main" id="{64ECC0A6-45B9-43C3-B1AC-B2BAE1D0FC29}"/>
              </a:ext>
            </a:extLst>
          </xdr:cNvPr>
          <xdr:cNvGrpSpPr/>
        </xdr:nvGrpSpPr>
        <xdr:grpSpPr>
          <a:xfrm>
            <a:off x="10022477" y="1284513"/>
            <a:ext cx="6938554" cy="6131923"/>
            <a:chOff x="10022477" y="1284513"/>
            <a:chExt cx="6938554" cy="6131923"/>
          </a:xfrm>
        </xdr:grpSpPr>
        <xdr:grpSp>
          <xdr:nvGrpSpPr>
            <xdr:cNvPr id="24" name="Gruppo 23">
              <a:extLst>
                <a:ext uri="{FF2B5EF4-FFF2-40B4-BE49-F238E27FC236}">
                  <a16:creationId xmlns:a16="http://schemas.microsoft.com/office/drawing/2014/main" id="{C45029CB-5366-409E-9899-17597D680053}"/>
                </a:ext>
              </a:extLst>
            </xdr:cNvPr>
            <xdr:cNvGrpSpPr/>
          </xdr:nvGrpSpPr>
          <xdr:grpSpPr>
            <a:xfrm>
              <a:off x="10022477" y="1284513"/>
              <a:ext cx="6938554" cy="6131923"/>
              <a:chOff x="6629400" y="1287779"/>
              <a:chExt cx="6941820" cy="5303520"/>
            </a:xfrm>
          </xdr:grpSpPr>
          <xdr:graphicFrame macro="">
            <xdr:nvGraphicFramePr>
              <xdr:cNvPr id="28" name="Grafico 27">
                <a:extLst>
                  <a:ext uri="{FF2B5EF4-FFF2-40B4-BE49-F238E27FC236}">
                    <a16:creationId xmlns:a16="http://schemas.microsoft.com/office/drawing/2014/main" id="{0B44271A-ADFF-4ADC-927B-8F92BA44ADCC}"/>
                  </a:ext>
                </a:extLst>
              </xdr:cNvPr>
              <xdr:cNvGraphicFramePr/>
            </xdr:nvGraphicFramePr>
            <xdr:xfrm>
              <a:off x="6629400" y="1287779"/>
              <a:ext cx="6941820" cy="530352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29" name="CasellaDiTesto 28">
                <a:extLst>
                  <a:ext uri="{FF2B5EF4-FFF2-40B4-BE49-F238E27FC236}">
                    <a16:creationId xmlns:a16="http://schemas.microsoft.com/office/drawing/2014/main" id="{E5E40F1B-B0F1-4A3A-817D-EDB9D1B7B865}"/>
                  </a:ext>
                </a:extLst>
              </xdr:cNvPr>
              <xdr:cNvSpPr txBox="1"/>
            </xdr:nvSpPr>
            <xdr:spPr>
              <a:xfrm>
                <a:off x="7508828" y="3697344"/>
                <a:ext cx="1828800" cy="116817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4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Total cases detected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K= 168279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</a:t>
                </a:r>
                <a:r>
                  <a:rPr lang="it-IT" sz="1100" b="1" i="1" u="none" strike="noStrike" baseline="-2500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0</a:t>
                </a:r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4.23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w=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7.99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>
                    <a:solidFill>
                      <a:srgbClr val="0070C0"/>
                    </a:solidFill>
                  </a:rPr>
                  <a:t>R</a:t>
                </a:r>
                <a:r>
                  <a:rPr lang="it-IT" sz="1100" b="1" i="1" baseline="30000">
                    <a:solidFill>
                      <a:srgbClr val="0070C0"/>
                    </a:solidFill>
                  </a:rPr>
                  <a:t>2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0.9992</a:t>
                </a:r>
              </a:p>
              <a:p>
                <a:r>
                  <a:rPr lang="it-IT" sz="1100" b="1" i="1" baseline="0">
                    <a:solidFill>
                      <a:srgbClr val="0070C0"/>
                    </a:solidFill>
                  </a:rPr>
                  <a:t>CI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2351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1" i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(day</a:t>
                </a:r>
                <a:r>
                  <a:rPr lang="it-IT" sz="1100" b="1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1</a:t>
                </a:r>
                <a:r>
                  <a:rPr lang="it-IT" sz="1100" b="1" baseline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= Feb 20th)</a:t>
                </a:r>
                <a:endParaRPr lang="it-IT" b="1">
                  <a:solidFill>
                    <a:srgbClr val="0070C0"/>
                  </a:solidFill>
                  <a:effectLst/>
                </a:endParaRPr>
              </a:p>
              <a:p>
                <a:endParaRPr lang="it-IT" sz="1100" baseline="30000"/>
              </a:p>
            </xdr:txBody>
          </xdr:sp>
        </xdr:grpSp>
        <xdr:grpSp>
          <xdr:nvGrpSpPr>
            <xdr:cNvPr id="25" name="Gruppo 24">
              <a:extLst>
                <a:ext uri="{FF2B5EF4-FFF2-40B4-BE49-F238E27FC236}">
                  <a16:creationId xmlns:a16="http://schemas.microsoft.com/office/drawing/2014/main" id="{5A608BE6-C591-4A01-A8DF-CD3872509963}"/>
                </a:ext>
              </a:extLst>
            </xdr:cNvPr>
            <xdr:cNvGrpSpPr/>
          </xdr:nvGrpSpPr>
          <xdr:grpSpPr>
            <a:xfrm>
              <a:off x="10809514" y="2775861"/>
              <a:ext cx="3135086" cy="838201"/>
              <a:chOff x="10809514" y="2775861"/>
              <a:chExt cx="3135086" cy="838201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14:m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;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</m:d>
                          </m:e>
                        </m:nary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+1,</m:t>
                                </m:r>
                                <m:f>
                                  <m:f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oMath>
                    </a14:m>
                    <a:endParaRPr lang="it-IT" sz="1100"/>
                  </a:p>
                </xdr:txBody>
              </xdr:sp>
            </mc:Choice>
            <mc:Fallback xmlns="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:r>
                      <a:rPr lang="it-IT" sz="1100" i="0">
                        <a:latin typeface="Cambria Math" panose="02040503050406030204" pitchFamily="18" charset="0"/>
                      </a:rPr>
                      <a:t>∑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_1^𝑡▒𝑃(𝑡;𝑡_0,𝑤) 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≈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𝑡_0 [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𝑤+1)−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𝑤+1,𝑡/𝑡_0 )]</a:t>
                    </a:r>
                    <a:endParaRPr lang="it-IT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  <m:d>
                            <m:d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;</m:t>
                              </m:r>
                              <m:sSub>
                                <m:sSubPr>
                                  <m:ctrlP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e>
                          </m:d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sup>
                          </m:sSup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box>
                            </m:sup>
                          </m:sSup>
                        </m:oMath>
                      </m:oMathPara>
                    </a14:m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𝑃(𝑡;𝑡_0,𝑤)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=</a:t>
                    </a:r>
                    <a:r>
                      <a:rPr lang="it-IT" sz="11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(𝑡/𝑡_0 )^𝑤 𝑒^(− □(64&amp;𝑡/𝑡_0 ))</a:t>
                    </a:r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33</xdr:col>
      <xdr:colOff>7621</xdr:colOff>
      <xdr:row>6</xdr:row>
      <xdr:rowOff>0</xdr:rowOff>
    </xdr:from>
    <xdr:to>
      <xdr:col>44</xdr:col>
      <xdr:colOff>332508</xdr:colOff>
      <xdr:row>38</xdr:row>
      <xdr:rowOff>144780</xdr:rowOff>
    </xdr:to>
    <xdr:grpSp>
      <xdr:nvGrpSpPr>
        <xdr:cNvPr id="31" name="Gruppo 30">
          <a:extLst>
            <a:ext uri="{FF2B5EF4-FFF2-40B4-BE49-F238E27FC236}">
              <a16:creationId xmlns:a16="http://schemas.microsoft.com/office/drawing/2014/main" id="{B57A70EB-05F2-43B2-A20E-677507A1A2BC}"/>
            </a:ext>
          </a:extLst>
        </xdr:cNvPr>
        <xdr:cNvGrpSpPr/>
      </xdr:nvGrpSpPr>
      <xdr:grpSpPr>
        <a:xfrm>
          <a:off x="23532639" y="1440873"/>
          <a:ext cx="7030487" cy="6379325"/>
          <a:chOff x="29739475" y="1440873"/>
          <a:chExt cx="7173790" cy="6296198"/>
        </a:xfrm>
      </xdr:grpSpPr>
      <xdr:graphicFrame macro="">
        <xdr:nvGraphicFramePr>
          <xdr:cNvPr id="32" name="Grafico 31">
            <a:extLst>
              <a:ext uri="{FF2B5EF4-FFF2-40B4-BE49-F238E27FC236}">
                <a16:creationId xmlns:a16="http://schemas.microsoft.com/office/drawing/2014/main" id="{BBD4254D-3BE4-4697-819B-C838F05A34E9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B8">
        <xdr:nvSpPr>
          <xdr:cNvPr id="33" name="CasellaDiTesto 32">
            <a:extLst>
              <a:ext uri="{FF2B5EF4-FFF2-40B4-BE49-F238E27FC236}">
                <a16:creationId xmlns:a16="http://schemas.microsoft.com/office/drawing/2014/main" id="{CD5A74C9-CD9C-4528-B079-1488F676FCE7}"/>
              </a:ext>
            </a:extLst>
          </xdr:cNvPr>
          <xdr:cNvSpPr txBox="1"/>
        </xdr:nvSpPr>
        <xdr:spPr>
          <a:xfrm>
            <a:off x="33049029" y="7384473"/>
            <a:ext cx="587829" cy="2404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45D5262-0BAC-46B5-80DC-680C0C6DA885}" type="TxLink">
              <a:rPr lang="en-US" sz="1100" b="0" i="0" u="none" strike="noStrike">
                <a:ln>
                  <a:noFill/>
                </a:ln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>
              <a:ln>
                <a:noFill/>
              </a:ln>
            </a:endParaRPr>
          </a:p>
        </xdr:txBody>
      </xdr:sp>
      <xdr:graphicFrame macro="">
        <xdr:nvGraphicFramePr>
          <xdr:cNvPr id="35" name="Grafico 34">
            <a:extLst>
              <a:ext uri="{FF2B5EF4-FFF2-40B4-BE49-F238E27FC236}">
                <a16:creationId xmlns:a16="http://schemas.microsoft.com/office/drawing/2014/main" id="{13BD03EE-302E-450A-8189-549E378AC614}"/>
              </a:ext>
            </a:extLst>
          </xdr:cNvPr>
          <xdr:cNvGraphicFramePr>
            <a:graphicFrameLocks/>
          </xdr:cNvGraphicFramePr>
        </xdr:nvGraphicFramePr>
        <xdr:xfrm>
          <a:off x="35270981" y="6007994"/>
          <a:ext cx="1642284" cy="10235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36" name="Grafico 35">
            <a:extLst>
              <a:ext uri="{FF2B5EF4-FFF2-40B4-BE49-F238E27FC236}">
                <a16:creationId xmlns:a16="http://schemas.microsoft.com/office/drawing/2014/main" id="{C69E4C5D-8BF8-41F5-A847-FCA9A16F63C8}"/>
              </a:ext>
            </a:extLst>
          </xdr:cNvPr>
          <xdr:cNvGraphicFramePr>
            <a:graphicFrameLocks/>
          </xdr:cNvGraphicFramePr>
        </xdr:nvGraphicFramePr>
        <xdr:xfrm>
          <a:off x="33364894" y="4312414"/>
          <a:ext cx="1735229" cy="10018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37" name="Grafico 36">
            <a:extLst>
              <a:ext uri="{FF2B5EF4-FFF2-40B4-BE49-F238E27FC236}">
                <a16:creationId xmlns:a16="http://schemas.microsoft.com/office/drawing/2014/main" id="{55A99F2A-C875-4AC3-84F4-7692E0485EC1}"/>
              </a:ext>
            </a:extLst>
          </xdr:cNvPr>
          <xdr:cNvGraphicFramePr>
            <a:graphicFrameLocks/>
          </xdr:cNvGraphicFramePr>
        </xdr:nvGraphicFramePr>
        <xdr:xfrm>
          <a:off x="31273287" y="3396256"/>
          <a:ext cx="1766458" cy="9535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>
    <xdr:from>
      <xdr:col>42</xdr:col>
      <xdr:colOff>0</xdr:colOff>
      <xdr:row>16</xdr:row>
      <xdr:rowOff>27709</xdr:rowOff>
    </xdr:from>
    <xdr:to>
      <xdr:col>43</xdr:col>
      <xdr:colOff>563308</xdr:colOff>
      <xdr:row>20</xdr:row>
      <xdr:rowOff>119618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sellaDiTesto 33">
              <a:extLst>
                <a:ext uri="{FF2B5EF4-FFF2-40B4-BE49-F238E27FC236}">
                  <a16:creationId xmlns:a16="http://schemas.microsoft.com/office/drawing/2014/main" id="{8D865A94-ABA7-463C-BB9A-7BF088B0D50B}"/>
                </a:ext>
              </a:extLst>
            </xdr:cNvPr>
            <xdr:cNvSpPr txBox="1"/>
          </xdr:nvSpPr>
          <xdr:spPr>
            <a:xfrm>
              <a:off x="29011418" y="3505200"/>
              <a:ext cx="1172908" cy="909327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4" name="CasellaDiTesto 33">
              <a:extLst>
                <a:ext uri="{FF2B5EF4-FFF2-40B4-BE49-F238E27FC236}">
                  <a16:creationId xmlns:a16="http://schemas.microsoft.com/office/drawing/2014/main" id="{8D865A94-ABA7-463C-BB9A-7BF088B0D50B}"/>
                </a:ext>
              </a:extLst>
            </xdr:cNvPr>
            <xdr:cNvSpPr txBox="1"/>
          </xdr:nvSpPr>
          <xdr:spPr>
            <a:xfrm>
              <a:off x="29011418" y="3505200"/>
              <a:ext cx="1172908" cy="909327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0</xdr:colOff>
      <xdr:row>2</xdr:row>
      <xdr:rowOff>0</xdr:rowOff>
    </xdr:from>
    <xdr:to>
      <xdr:col>8</xdr:col>
      <xdr:colOff>9126</xdr:colOff>
      <xdr:row>5</xdr:row>
      <xdr:rowOff>188891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sellaDiTesto 37">
              <a:extLst>
                <a:ext uri="{FF2B5EF4-FFF2-40B4-BE49-F238E27FC236}">
                  <a16:creationId xmlns:a16="http://schemas.microsoft.com/office/drawing/2014/main" id="{E41D4EE8-35B8-4BB0-87C4-64F808358992}"/>
                </a:ext>
              </a:extLst>
            </xdr:cNvPr>
            <xdr:cNvSpPr txBox="1"/>
          </xdr:nvSpPr>
          <xdr:spPr>
            <a:xfrm>
              <a:off x="5001491" y="471055"/>
              <a:ext cx="1172908" cy="909327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8" name="CasellaDiTesto 37">
              <a:extLst>
                <a:ext uri="{FF2B5EF4-FFF2-40B4-BE49-F238E27FC236}">
                  <a16:creationId xmlns:a16="http://schemas.microsoft.com/office/drawing/2014/main" id="{E41D4EE8-35B8-4BB0-87C4-64F808358992}"/>
                </a:ext>
              </a:extLst>
            </xdr:cNvPr>
            <xdr:cNvSpPr txBox="1"/>
          </xdr:nvSpPr>
          <xdr:spPr>
            <a:xfrm>
              <a:off x="5001491" y="471055"/>
              <a:ext cx="1172908" cy="909327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34</xdr:col>
      <xdr:colOff>318655</xdr:colOff>
      <xdr:row>11</xdr:row>
      <xdr:rowOff>124690</xdr:rowOff>
    </xdr:from>
    <xdr:to>
      <xdr:col>38</xdr:col>
      <xdr:colOff>170117</xdr:colOff>
      <xdr:row>13</xdr:row>
      <xdr:rowOff>65895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sellaDiTesto 39">
              <a:extLst>
                <a:ext uri="{FF2B5EF4-FFF2-40B4-BE49-F238E27FC236}">
                  <a16:creationId xmlns:a16="http://schemas.microsoft.com/office/drawing/2014/main" id="{C227E4C0-8DEA-4359-9764-0170906BB8C6}"/>
                </a:ext>
              </a:extLst>
            </xdr:cNvPr>
            <xdr:cNvSpPr txBox="1"/>
          </xdr:nvSpPr>
          <xdr:spPr>
            <a:xfrm>
              <a:off x="24453273" y="2673926"/>
              <a:ext cx="2289862" cy="30142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y=</a:t>
              </a:r>
              <a14:m>
                <m:oMath xmlns:m="http://schemas.openxmlformats.org/officeDocument/2006/math">
                  <m:r>
                    <a:rPr lang="it-IT" sz="1100" i="1">
                      <a:latin typeface="Cambria Math" panose="02040503050406030204" pitchFamily="18" charset="0"/>
                    </a:rPr>
                    <m:t>𝐶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𝑑𝑓</m:t>
                  </m:r>
                  <m:r>
                    <a:rPr lang="it-I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it-I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𝑘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d>
                    <m:dPr>
                      <m:begChr m:val="["/>
                      <m:endChr m:val="]"/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Γ</m:t>
                      </m:r>
                      <m:d>
                        <m:d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+1</m:t>
                          </m:r>
                        </m:e>
                      </m:d>
                      <m:r>
                        <a:rPr lang="it-I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Γ</m:t>
                      </m:r>
                      <m:d>
                        <m:d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+1,</m:t>
                          </m:r>
                          <m:f>
                            <m:f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𝑡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0</m:t>
                                  </m:r>
                                </m:sub>
                              </m:sSub>
                            </m:den>
                          </m:f>
                        </m:e>
                      </m:d>
                    </m:e>
                  </m:d>
                </m:oMath>
              </a14:m>
              <a:endParaRPr lang="it-IT" sz="1100"/>
            </a:p>
          </xdr:txBody>
        </xdr:sp>
      </mc:Choice>
      <mc:Fallback xmlns="">
        <xdr:sp macro="" textlink="">
          <xdr:nvSpPr>
            <xdr:cNvPr id="40" name="CasellaDiTesto 39">
              <a:extLst>
                <a:ext uri="{FF2B5EF4-FFF2-40B4-BE49-F238E27FC236}">
                  <a16:creationId xmlns:a16="http://schemas.microsoft.com/office/drawing/2014/main" id="{C227E4C0-8DEA-4359-9764-0170906BB8C6}"/>
                </a:ext>
              </a:extLst>
            </xdr:cNvPr>
            <xdr:cNvSpPr txBox="1"/>
          </xdr:nvSpPr>
          <xdr:spPr>
            <a:xfrm>
              <a:off x="24453273" y="2673926"/>
              <a:ext cx="2289862" cy="30142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y=</a:t>
              </a:r>
              <a:r>
                <a:rPr lang="it-IT" sz="1100" i="0">
                  <a:latin typeface="Cambria Math" panose="02040503050406030204" pitchFamily="18" charset="0"/>
                </a:rPr>
                <a:t>𝐶</a:t>
              </a:r>
              <a:r>
                <a:rPr lang="it-IT" sz="1100" b="0" i="0">
                  <a:latin typeface="Cambria Math" panose="02040503050406030204" pitchFamily="18" charset="0"/>
                </a:rPr>
                <a:t>𝑑𝑓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=𝑘</a:t>
              </a:r>
              <a:r>
                <a:rPr lang="it-IT" sz="1100" b="0" i="0">
                  <a:latin typeface="Cambria Math" panose="02040503050406030204" pitchFamily="18" charset="0"/>
                </a:rPr>
                <a:t>𝑡_0 [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Γ(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𝑤+1)−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Γ(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𝑤+1,𝑡/𝑡_0 )]</a:t>
              </a:r>
              <a:endParaRPr lang="it-IT" sz="1100"/>
            </a:p>
          </xdr:txBody>
        </xdr:sp>
      </mc:Fallback>
    </mc:AlternateContent>
    <xdr:clientData/>
  </xdr:twoCellAnchor>
  <xdr:twoCellAnchor>
    <xdr:from>
      <xdr:col>41</xdr:col>
      <xdr:colOff>152400</xdr:colOff>
      <xdr:row>11</xdr:row>
      <xdr:rowOff>124691</xdr:rowOff>
    </xdr:from>
    <xdr:to>
      <xdr:col>42</xdr:col>
      <xdr:colOff>584334</xdr:colOff>
      <xdr:row>12</xdr:row>
      <xdr:rowOff>131491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sellaDiTesto 40">
              <a:extLst>
                <a:ext uri="{FF2B5EF4-FFF2-40B4-BE49-F238E27FC236}">
                  <a16:creationId xmlns:a16="http://schemas.microsoft.com/office/drawing/2014/main" id="{B51A9B38-AC07-4463-95C0-A73462D7B9E0}"/>
                </a:ext>
              </a:extLst>
            </xdr:cNvPr>
            <xdr:cNvSpPr txBox="1"/>
          </xdr:nvSpPr>
          <xdr:spPr>
            <a:xfrm>
              <a:off x="28554218" y="2673927"/>
              <a:ext cx="1041534" cy="186909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K</a:t>
              </a:r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it-IT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  <m:sSub>
                    <m:sSubPr>
                      <m:ctrlPr>
                        <a:rPr lang="it-IT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it-IT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m:rPr>
                      <m:sty m:val="p"/>
                    </m:rP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Γ</m:t>
                  </m:r>
                  <m:d>
                    <m:dPr>
                      <m:ctrlPr>
                        <a:rPr lang="el-G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𝑤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+1</m:t>
                      </m:r>
                    </m:e>
                  </m:d>
                </m:oMath>
              </a14:m>
              <a:endParaRPr lang="it-IT" sz="1100"/>
            </a:p>
          </xdr:txBody>
        </xdr:sp>
      </mc:Choice>
      <mc:Fallback xmlns="">
        <xdr:sp macro="" textlink="">
          <xdr:nvSpPr>
            <xdr:cNvPr id="41" name="CasellaDiTesto 40">
              <a:extLst>
                <a:ext uri="{FF2B5EF4-FFF2-40B4-BE49-F238E27FC236}">
                  <a16:creationId xmlns:a16="http://schemas.microsoft.com/office/drawing/2014/main" id="{B51A9B38-AC07-4463-95C0-A73462D7B9E0}"/>
                </a:ext>
              </a:extLst>
            </xdr:cNvPr>
            <xdr:cNvSpPr txBox="1"/>
          </xdr:nvSpPr>
          <xdr:spPr>
            <a:xfrm>
              <a:off x="28554218" y="2673927"/>
              <a:ext cx="1041534" cy="186909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K</a:t>
              </a:r>
              <a:r>
                <a:rPr lang="it-IT" sz="1100" b="0" i="0">
                  <a:latin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𝑘𝑡_0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Γ(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𝑤+1)</a:t>
              </a:r>
              <a:endParaRPr lang="it-IT" sz="1100"/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34821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6.09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7.06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0.9995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212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859971</xdr:colOff>
      <xdr:row>2</xdr:row>
      <xdr:rowOff>185057</xdr:rowOff>
    </xdr:from>
    <xdr:ext cx="1099456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4898571" y="664028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4898571" y="664028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〖𝑘(𝑡/𝑡_0 )〗^𝑤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C38719AA-89BB-413C-B474-4D6F4534DDA6}"/>
            </a:ext>
          </a:extLst>
        </xdr:cNvPr>
        <xdr:cNvGrpSpPr/>
      </xdr:nvGrpSpPr>
      <xdr:grpSpPr>
        <a:xfrm>
          <a:off x="29744670" y="1466850"/>
          <a:ext cx="6949440" cy="6488430"/>
          <a:chOff x="29739475" y="1440873"/>
          <a:chExt cx="6935585" cy="6296198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20" name="Grafico 19">
            <a:extLst>
              <a:ext uri="{FF2B5EF4-FFF2-40B4-BE49-F238E27FC236}">
                <a16:creationId xmlns:a16="http://schemas.microsoft.com/office/drawing/2014/main" id="{972049CD-4752-4595-84C5-C19A2B85FFFF}"/>
              </a:ext>
            </a:extLst>
          </xdr:cNvPr>
          <xdr:cNvGraphicFramePr>
            <a:graphicFrameLocks/>
          </xdr:cNvGraphicFramePr>
        </xdr:nvGraphicFramePr>
        <xdr:xfrm>
          <a:off x="35058927" y="6178298"/>
          <a:ext cx="1550037" cy="12224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1" name="Grafico 20">
            <a:extLst>
              <a:ext uri="{FF2B5EF4-FFF2-40B4-BE49-F238E27FC236}">
                <a16:creationId xmlns:a16="http://schemas.microsoft.com/office/drawing/2014/main" id="{0E00F1BC-6DC3-463A-9828-19B565C65D04}"/>
              </a:ext>
            </a:extLst>
          </xdr:cNvPr>
          <xdr:cNvGraphicFramePr>
            <a:graphicFrameLocks/>
          </xdr:cNvGraphicFramePr>
        </xdr:nvGraphicFramePr>
        <xdr:xfrm>
          <a:off x="33627953" y="3878175"/>
          <a:ext cx="1549082" cy="12696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2" name="Grafico 21">
            <a:extLst>
              <a:ext uri="{FF2B5EF4-FFF2-40B4-BE49-F238E27FC236}">
                <a16:creationId xmlns:a16="http://schemas.microsoft.com/office/drawing/2014/main" id="{DA6A5183-FA01-4C8B-BE7D-4A16AB61894C}"/>
              </a:ext>
            </a:extLst>
          </xdr:cNvPr>
          <xdr:cNvGraphicFramePr>
            <a:graphicFrameLocks/>
          </xdr:cNvGraphicFramePr>
        </xdr:nvGraphicFramePr>
        <xdr:xfrm>
          <a:off x="33360991" y="2547589"/>
          <a:ext cx="1558636" cy="12128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pic>
            <xdr:nvPicPr>
              <xdr:cNvPr id="28" name="Immagine 27">
                <a:extLst>
                  <a:ext uri="{FF2B5EF4-FFF2-40B4-BE49-F238E27FC236}">
                    <a16:creationId xmlns:a16="http://schemas.microsoft.com/office/drawing/2014/main" id="{3A828359-39A2-46B9-A588-3A9930CAB4D8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$H$3" spid="_x0000_s2098"/>
                  </a:ext>
                </a:extLst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35218255" y="3103417"/>
                <a:ext cx="1112520" cy="953886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</xdr:grp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  <cdr:relSizeAnchor xmlns:cdr="http://schemas.openxmlformats.org/drawingml/2006/chartDrawing">
    <cdr:from>
      <cdr:x>0.46643</cdr:x>
      <cdr:y>0.9418</cdr:y>
    </cdr:from>
    <cdr:to>
      <cdr:x>0.56527</cdr:x>
      <cdr:y>0.97404</cdr:y>
    </cdr:to>
    <cdr:sp macro="" textlink="'New_confirmed - ExpPwLaw'!$B$8">
      <cdr:nvSpPr>
        <cdr:cNvPr id="3" name="CasellaDiTesto 2">
          <a:extLst xmlns:a="http://schemas.openxmlformats.org/drawingml/2006/main">
            <a:ext uri="{FF2B5EF4-FFF2-40B4-BE49-F238E27FC236}">
              <a16:creationId xmlns:a16="http://schemas.microsoft.com/office/drawing/2014/main" id="{F02AC9EE-EA13-4B9B-8B99-5CB130773528}"/>
            </a:ext>
          </a:extLst>
        </cdr:cNvPr>
        <cdr:cNvSpPr txBox="1"/>
      </cdr:nvSpPr>
      <cdr:spPr>
        <a:xfrm xmlns:a="http://schemas.openxmlformats.org/drawingml/2006/main">
          <a:off x="3236323" y="6041573"/>
          <a:ext cx="685800" cy="206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CE163D0-8013-48D6-8901-ABF3CECE0A5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20D777A-6D44-4F04-A6AC-B7900E85883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F65A5-B7DD-4DA5-8FB6-9B5B1284DB6D}" name="dpc_covid19_ita_andamento_nazionale__9" displayName="dpc_covid19_ita_andamento_nazionale__9" ref="A1:O51" tableType="queryTable" totalsRowShown="0">
  <autoFilter ref="A1:O51" xr:uid="{EAFD7DE5-C4A1-4C49-95BD-BF222027DF39}"/>
  <tableColumns count="15">
    <tableColumn id="1" xr3:uid="{643499DD-A92D-42E1-8C92-5126B9AB48FF}" uniqueName="1" name="data" queryTableFieldId="1" dataDxfId="67"/>
    <tableColumn id="2" xr3:uid="{FFFA4220-F53F-4BDD-BE4D-57574B5FC724}" uniqueName="2" name="stato" queryTableFieldId="2" dataDxfId="66"/>
    <tableColumn id="3" xr3:uid="{BD12986A-F50F-4CE3-AAAC-13CF95D8C23A}" uniqueName="3" name="ricoverati_con_sintomi" queryTableFieldId="3"/>
    <tableColumn id="4" xr3:uid="{0B5C2611-F726-4535-8781-278455BB001C}" uniqueName="4" name="terapia_intensiva" queryTableFieldId="4"/>
    <tableColumn id="5" xr3:uid="{C2C9D361-A9B4-45F7-90AD-053196712A4D}" uniqueName="5" name="totale_ospedalizzati" queryTableFieldId="5"/>
    <tableColumn id="6" xr3:uid="{B5561AC4-19A2-45C0-AAA2-60A1E73B9981}" uniqueName="6" name="isolamento_domiciliare" queryTableFieldId="6"/>
    <tableColumn id="7" xr3:uid="{6D57734A-C2E7-40B3-A7E1-759A03F7ED11}" uniqueName="7" name="totale_positivi" queryTableFieldId="7"/>
    <tableColumn id="8" xr3:uid="{7B1CDE87-AD16-4C3F-8048-BFA9B6FA3351}" uniqueName="8" name="variazione_totale_positivi" queryTableFieldId="8"/>
    <tableColumn id="9" xr3:uid="{6E3860E2-A9E9-449F-8FDB-3E148F374799}" uniqueName="9" name="nuovi_positivi" queryTableFieldId="9"/>
    <tableColumn id="10" xr3:uid="{7CCE1EA2-E009-4C8E-9F56-997DD0A0672B}" uniqueName="10" name="dimessi_guariti" queryTableFieldId="10"/>
    <tableColumn id="11" xr3:uid="{2EFDD238-C5D8-402F-93CC-B92148EA6DB2}" uniqueName="11" name="deceduti" queryTableFieldId="11"/>
    <tableColumn id="12" xr3:uid="{1D61061E-BCD9-41B0-98A5-ECA85065E67D}" uniqueName="12" name="totale_casi" queryTableFieldId="12"/>
    <tableColumn id="13" xr3:uid="{3F6A2F47-86E6-4DA5-A36D-1D972D8DA77B}" uniqueName="13" name="tamponi" queryTableFieldId="13"/>
    <tableColumn id="14" xr3:uid="{DBFC075B-E589-4F56-B2BE-7FABCD154906}" uniqueName="14" name="note_it" queryTableFieldId="14" dataDxfId="65"/>
    <tableColumn id="15" xr3:uid="{76DCAC03-6858-4071-83F0-4242CF5951AF}" uniqueName="15" name="note_en" queryTableFieldId="15" dataDxfId="6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19BCC8-A4BE-4CC7-B6B5-07F5ABF1C4B0}" name="Tabella211" displayName="Tabella211" ref="B7:AD78" totalsRowShown="0" headerRowDxfId="63">
  <autoFilter ref="B7:AD78" xr:uid="{B8C71372-AF1E-49D4-8457-F67D9BE771EB}"/>
  <tableColumns count="29">
    <tableColumn id="1" xr3:uid="{F109A47B-C010-45B9-B2B7-92F08B4181E1}" name="Date" dataDxfId="62"/>
    <tableColumn id="2" xr3:uid="{E6397626-D4E9-41D2-8D66-D6F816FA7AF9}" name="Day" dataDxfId="61">
      <calculatedColumnFormula>C7+1</calculatedColumnFormula>
    </tableColumn>
    <tableColumn id="3" xr3:uid="{19FE4D53-DC8D-48FD-BC6F-945771BA9C90}" name="Cum_confirmed"/>
    <tableColumn id="4" xr3:uid="{069D8645-44F5-40DB-9FF8-97ACE6FD9389}" name="New cases"/>
    <tableColumn id="23" xr3:uid="{BB0BF4F8-A1B7-49F7-8912-AB4E82E4BE47}" name="Colonna1" dataDxfId="60" dataCellStyle="20% - Colore 1">
      <calculatedColumnFormula>Tabella211[[#This Row],[Cum_confirmed]]*NOT(ISBLANK(Tabella211[[#This Row],[Cum_confirmed]]))</calculatedColumnFormula>
    </tableColumn>
    <tableColumn id="5" xr3:uid="{906AC7F4-1EA1-4AA4-96BF-364D104327B0}" name="Cum_fit" dataDxfId="59">
      <calculatedColumnFormula>k*t0*_xlfn.GAMMA.DIST(Tabella211[[#This Row],[Day]]/t0,w+1,1,1)*_xlfn.GAMMA(w+1)</calculatedColumnFormula>
    </tableColumn>
    <tableColumn id="6" xr3:uid="{59DF212F-AD93-4F67-9314-22ED4BD2C67F}" name="New_cases_fit" dataDxfId="58">
      <calculatedColumnFormula>k*((Tabella211[[#This Row],[Day]]/t0)^w)*EXP(-(Tabella211[[#This Row],[Day]]/t0))</calculatedColumnFormula>
    </tableColumn>
    <tableColumn id="24" xr3:uid="{631432D1-6CBF-44AE-AA24-22DC16561674}" name="Colonna2" dataDxfId="57" dataCellStyle="20% - Colore 1">
      <calculatedColumnFormula>Tabella211[[#This Row],[Cum_fit]]*NOT(ISBLANK(Tabella211[[#This Row],[Cum_confirmed]]))</calculatedColumnFormula>
    </tableColumn>
    <tableColumn id="7" xr3:uid="{C98EB7A4-F307-4996-9CA2-73BF58F659AA}" name="C_Upper CI"/>
    <tableColumn id="8" xr3:uid="{067E9744-A836-4005-9752-A7F84EC7CCC5}" name="C_Lower CI"/>
    <tableColumn id="9" xr3:uid="{E7705F1B-E211-4D2F-B47C-BFEBA87EB026}" name="Curr_positive" dataDxfId="56"/>
    <tableColumn id="10" xr3:uid="{26C08828-5C73-4184-BE03-FCB7AE457636}" name="New_positive" dataDxfId="55"/>
    <tableColumn id="29" xr3:uid="{B8AFAB82-B960-4EE1-B026-1E99DA3B9FA5}" name="New_positive_fit" dataDxfId="54">
      <calculatedColumnFormula>Tabella211[[#This Row],[New_cases_fit]]-Tabella211[[#This Row],[New_Recovered_fit]]-Tabella211[[#This Row],[New_Deaths_fit]]</calculatedColumnFormula>
    </tableColumn>
    <tableColumn id="11" xr3:uid="{663A1341-0F3E-49C3-A573-7EF5984D6980}" name="Cum_recov"/>
    <tableColumn id="12" xr3:uid="{5D5B7C77-9671-471E-ACEB-1F251509ADC2}" name="New recovered" dataDxfId="53"/>
    <tableColumn id="25" xr3:uid="{B5764F16-3F23-4441-85C0-396F3C7F466C}" name="Colonna3" dataDxfId="52" dataCellStyle="20% - Colore 6">
      <calculatedColumnFormula>Tabella211[[#This Row],[Cum_recov]]*NOT(ISBLANK(Tabella211[[#This Row],[Cum_recov]]))</calculatedColumnFormula>
    </tableColumn>
    <tableColumn id="13" xr3:uid="{557B6BBE-A4D1-4664-AFDE-AE352576A3DE}" name="Cum_R_fit" dataDxfId="51">
      <calculatedColumnFormula>kr*t0r*_xlfn.GAMMA.DIST(Tabella211[[#This Row],[Day]]/t0r,wr+1,1,1)*_xlfn.GAMMA(wr+1)</calculatedColumnFormula>
    </tableColumn>
    <tableColumn id="14" xr3:uid="{242586ED-2947-45C8-9CE5-E7AB9A72B118}" name="New_Recovered_fit" dataDxfId="50">
      <calculatedColumnFormula>kr*((Tabella211[[#This Row],[Day]]/t0r)^wr)*EXP(-(Tabella211[[#This Row],[Day]]/t0r))</calculatedColumnFormula>
    </tableColumn>
    <tableColumn id="26" xr3:uid="{C0BDC4F9-7346-4F1A-B352-EC468DCD9624}" name="Colonna4" dataDxfId="49" dataCellStyle="20% - Colore 6">
      <calculatedColumnFormula>Tabella211[[#This Row],[Cum_R_fit]]*NOT(ISBLANK(Tabella211[[#This Row],[Cum_recov]]))</calculatedColumnFormula>
    </tableColumn>
    <tableColumn id="15" xr3:uid="{82AB8F81-3E3B-4A2C-A4FC-C7148CACBBA0}" name="R_Upper CI"/>
    <tableColumn id="16" xr3:uid="{6894D638-FDAD-4888-952D-20D45890DE99}" name="R_Lower CI"/>
    <tableColumn id="17" xr3:uid="{3332BBE6-8382-4DB6-8DBA-F839E04AE286}" name="Cum_deaths"/>
    <tableColumn id="18" xr3:uid="{52C908F0-93E0-49C7-83B9-E0DFDC028E89}" name="New deaths" dataDxfId="48"/>
    <tableColumn id="27" xr3:uid="{962B7882-CED2-46E8-894C-11D4E492CF90}" name="Colonna5" dataDxfId="47" dataCellStyle="20% - Colore 2">
      <calculatedColumnFormula>Tabella211[[#This Row],[Cum_deaths]]*NOT(ISBLANK(Tabella211[[#This Row],[Cum_deaths]]))</calculatedColumnFormula>
    </tableColumn>
    <tableColumn id="19" xr3:uid="{02D66957-737F-4C9C-8C68-15E04D1E5C80}" name="Cum_D_fit" dataDxfId="46">
      <calculatedColumnFormula>kh*t0h*_xlfn.GAMMA.DIST(Tabella211[[#This Row],[Day]]/t0h,wh+1,1,1)*_xlfn.GAMMA(wh+1)</calculatedColumnFormula>
    </tableColumn>
    <tableColumn id="20" xr3:uid="{39D1356E-7799-4ABA-8D46-4BA48A94A90A}" name="New_Deaths_fit" dataDxfId="45">
      <calculatedColumnFormula>kh*((Tabella211[[#This Row],[Day]]/t0h)^wh)*EXP(-(Tabella211[[#This Row],[Day]]/t0h))</calculatedColumnFormula>
    </tableColumn>
    <tableColumn id="28" xr3:uid="{84B03305-1467-48F7-81BE-927A7C3D8C98}" name="Colonna6" dataDxfId="44" dataCellStyle="20% - Colore 2">
      <calculatedColumnFormula>Tabella211[[#This Row],[Cum_D_fit]]*NOT(ISBLANK(Tabella211[[#This Row],[Cum_deaths]]))</calculatedColumnFormula>
    </tableColumn>
    <tableColumn id="21" xr3:uid="{9E7E013F-C805-4007-9015-5950CEDBC33D}" name="D_Upper CI"/>
    <tableColumn id="22" xr3:uid="{869D4223-5F79-4962-8B64-19F2D58547BD}" name="D_Lower C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ABAEAB-E516-4F4B-B47D-D4D1C4903D9B}" name="Tabella312" displayName="Tabella312" ref="AF7:AG18" totalsRowShown="0" headerRowDxfId="43" dataDxfId="4">
  <autoFilter ref="AF7:AG18" xr:uid="{407C54E5-E440-4537-8E2D-1DD13C000E48}"/>
  <tableColumns count="2">
    <tableColumn id="1" xr3:uid="{52B0120A-043A-4EF7-B804-054502154853}" name="Confirmed" dataDxfId="6"/>
    <tableColumn id="2" xr3:uid="{BBD62E85-33F5-4BF1-A3AE-7B88D2DD93AA}" name="Confirmed fit" dataDxfId="5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FC3B07-4E56-4CC4-A00C-EEC43969F07C}" name="Tabella413" displayName="Tabella413" ref="AF19:AG30" totalsRowShown="0" headerRowDxfId="1" dataDxfId="0">
  <autoFilter ref="AF19:AG30" xr:uid="{CB9D1A18-DA45-4DE8-9D1A-421A0BAF60FC}"/>
  <tableColumns count="2">
    <tableColumn id="1" xr3:uid="{775DA299-347C-4244-9FD8-E27BF59FECEC}" name="Recovered" dataDxfId="3"/>
    <tableColumn id="2" xr3:uid="{2C633A4A-885C-4119-9E86-E6A0CC694C9C}" name="Recovered fit" dataDxfId="2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E3162F-97BC-489C-A178-22384E6BB5EF}" name="Tabella514" displayName="Tabella514" ref="AF31:AG42" totalsRowShown="0" headerRowDxfId="42" dataDxfId="41">
  <autoFilter ref="AF31:AG42" xr:uid="{4866098F-838C-4EFF-B7EC-009C5776DD93}"/>
  <tableColumns count="2">
    <tableColumn id="1" xr3:uid="{80725BB4-06C2-4468-BF34-2E7CFE4745BB}" name="Deaths" dataDxfId="40"/>
    <tableColumn id="2" xr3:uid="{36C77133-0452-4171-BD17-066E8059C73B}" name="Deaths fit" dataDxfId="39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2CD3E-B2FE-40FD-A821-EC2433F236C4}" name="Tabella2" displayName="Tabella2" ref="B7:AD78" totalsRowShown="0" headerRowDxfId="38">
  <autoFilter ref="B7:AD78" xr:uid="{18B9BA29-5254-4957-B1CE-C36E82E90972}"/>
  <tableColumns count="29">
    <tableColumn id="1" xr3:uid="{320CFB16-AFF6-4BFA-BDC8-DA7062BA9B2B}" name="Date" dataDxfId="37"/>
    <tableColumn id="2" xr3:uid="{A9C7A420-022C-4606-A5DD-BCEEC11E3690}" name="Day" dataDxfId="36">
      <calculatedColumnFormula>C7+1</calculatedColumnFormula>
    </tableColumn>
    <tableColumn id="3" xr3:uid="{E319BAF5-A1CD-4309-8BEF-9217F065E0C1}" name="Cum_confirmed"/>
    <tableColumn id="4" xr3:uid="{2925A627-44DD-47CD-BE58-2415E5D9D142}" name="New cases"/>
    <tableColumn id="23" xr3:uid="{9F3BE538-EBBB-402A-8DFD-01C2B7F0673C}" name="Colonna1" dataDxfId="35" dataCellStyle="20% - Colore 1">
      <calculatedColumnFormula>Tabella2[[#This Row],[New cases]]*NOT(ISBLANK(Tabella2[[#This Row],[New cases]]))</calculatedColumnFormula>
    </tableColumn>
    <tableColumn id="5" xr3:uid="{DC39629B-42C4-4FAD-8071-7786B69E6DB6}" name="Cum_fit" dataDxfId="34">
      <calculatedColumnFormula>kn*t0n*_xlfn.GAMMA.DIST(Tabella2[[#This Row],[Day]]/t0n,wn+1,1,1)*_xlfn.GAMMA(wn+1)</calculatedColumnFormula>
    </tableColumn>
    <tableColumn id="6" xr3:uid="{81317C98-2D23-428D-B512-65EE9F90D2C5}" name="New_cases_fit" dataDxfId="33">
      <calculatedColumnFormula>kn*((Tabella2[[#This Row],[Day]]/t0n)^wn)*EXP(-(Tabella2[[#This Row],[Day]]/t0n))</calculatedColumnFormula>
    </tableColumn>
    <tableColumn id="24" xr3:uid="{E19855DE-078A-43E1-B0FD-DC571168496B}" name="Colonna2" dataDxfId="32" dataCellStyle="20% - Colore 1">
      <calculatedColumnFormula>Tabella2[[#This Row],[New_cases_fit]]*NOT(ISBLANK(Tabella2[[#This Row],[New cases]]))</calculatedColumnFormula>
    </tableColumn>
    <tableColumn id="7" xr3:uid="{139E32A4-201F-4B05-BBCA-387D2B0D0D28}" name="C_Upper CI"/>
    <tableColumn id="8" xr3:uid="{728DDB53-5896-497E-B4D6-CC620AB661A7}" name="C_Lower CI"/>
    <tableColumn id="9" xr3:uid="{0BB446C3-A826-4ED5-9CC4-02B346DDBDF8}" name="Curr_positive" dataDxfId="31"/>
    <tableColumn id="10" xr3:uid="{AF8778A9-44F4-4E92-AF1C-71D0E6DD9311}" name="New_positive" dataDxfId="30"/>
    <tableColumn id="29" xr3:uid="{E9F0C073-162C-4409-91D6-E25F8BA6E7D8}" name="New_positive_fit" dataDxfId="29">
      <calculatedColumnFormula>Tabella2[[#This Row],[New_cases_fit]]-Tabella2[[#This Row],[New_Recovered_fit]]-Tabella2[[#This Row],[New_Deaths_fit]]</calculatedColumnFormula>
    </tableColumn>
    <tableColumn id="11" xr3:uid="{6E583CD0-8DDF-495D-98BF-63B34D34CA97}" name="Cum_recov"/>
    <tableColumn id="12" xr3:uid="{70FBE6BB-2C7F-4438-8516-0196CF286B6C}" name="New recovered" dataDxfId="28"/>
    <tableColumn id="25" xr3:uid="{94ABBBBE-8B3C-4B6A-ABCE-1319FE6754D6}" name="Colonna3" dataDxfId="27" dataCellStyle="20% - Colore 6">
      <calculatedColumnFormula>Tabella2[[#This Row],[New recovered]]*NOT(ISBLANK(Tabella2[[#This Row],[New recovered]]))</calculatedColumnFormula>
    </tableColumn>
    <tableColumn id="13" xr3:uid="{AF9590E9-078F-4BBF-ADA2-E67A9E280FA7}" name="Cum_R_fit" dataDxfId="26">
      <calculatedColumnFormula>kd*t0d*_xlfn.GAMMA.DIST(Tabella2[[#This Row],[Day]]/t0d,wd+1,1,1)*_xlfn.GAMMA(wd+1)</calculatedColumnFormula>
    </tableColumn>
    <tableColumn id="14" xr3:uid="{B1E5A58D-5A14-46E7-9BCC-394A8142E86B}" name="New_Recovered_fit" dataDxfId="25">
      <calculatedColumnFormula>kd*((Tabella2[[#This Row],[Day]]/t0d)^wd)*EXP(-(Tabella2[[#This Row],[Day]]/t0d))</calculatedColumnFormula>
    </tableColumn>
    <tableColumn id="26" xr3:uid="{5A014E51-4816-44C8-A2D1-AFE9233ECB28}" name="Colonna4" dataDxfId="24" dataCellStyle="20% - Colore 6">
      <calculatedColumnFormula>Tabella2[[#This Row],[New_Recovered_fit]]*NOT(ISBLANK(Tabella2[[#This Row],[New recovered]]))</calculatedColumnFormula>
    </tableColumn>
    <tableColumn id="15" xr3:uid="{7CF23E8E-FAC6-4962-834F-6449CE08AA9D}" name="NR_Upper CI"/>
    <tableColumn id="16" xr3:uid="{45AD79A3-FE78-4941-85F9-AC6BA2C65759}" name="NR_Lower CI"/>
    <tableColumn id="17" xr3:uid="{07FBF947-33DA-4E8D-9DFA-DC6BF2C48145}" name="Cum_deaths"/>
    <tableColumn id="18" xr3:uid="{56E6C91D-1690-43B5-AB65-65D1F130EBBB}" name="New deaths" dataDxfId="23"/>
    <tableColumn id="27" xr3:uid="{5FAA9F04-20D5-4AF2-A858-A7CC7E685C22}" name="Colonna5" dataDxfId="22" dataCellStyle="20% - Colore 2">
      <calculatedColumnFormula>Tabella2[[#This Row],[New deaths]]*NOT(ISBLANK(Tabella2[[#This Row],[New deaths]]))</calculatedColumnFormula>
    </tableColumn>
    <tableColumn id="19" xr3:uid="{10A7808B-0A2B-44A5-8D38-81200D48D97C}" name="Cum_D_fit" dataDxfId="21">
      <calculatedColumnFormula>kt*t0t*_xlfn.GAMMA.DIST(Tabella2[[#This Row],[Day]]/t0t,wt+1,1,1)*_xlfn.GAMMA(wt+1)</calculatedColumnFormula>
    </tableColumn>
    <tableColumn id="20" xr3:uid="{909CD4CA-9439-448B-ADE6-23709E8F3117}" name="New_Deaths_fit" dataDxfId="20">
      <calculatedColumnFormula>kt*((Tabella2[[#This Row],[Day]]/t0t)^wt)*EXP(-(Tabella2[[#This Row],[Day]]/t0t))</calculatedColumnFormula>
    </tableColumn>
    <tableColumn id="28" xr3:uid="{4ACECA7F-F765-4B32-9A87-B72CF4C593B7}" name="Colonna6" dataDxfId="19" dataCellStyle="20% - Colore 2">
      <calculatedColumnFormula>Tabella2[[#This Row],[New_Deaths_fit]]*NOT(ISBLANK(Tabella2[[#This Row],[New deaths]]))</calculatedColumnFormula>
    </tableColumn>
    <tableColumn id="21" xr3:uid="{B8829FED-3ABB-4B20-B51F-F9132ECBB20B}" name="ND_Upper CI"/>
    <tableColumn id="22" xr3:uid="{42F0328C-C791-4167-9344-F96768A9E39C}" name="ND_Lower C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048BD-5CDC-42B1-B8A6-C2D1F0C0F75F}" name="Tabella3" displayName="Tabella3" ref="AF7:AG18" totalsRowShown="0" headerRowDxfId="18" dataDxfId="17">
  <autoFilter ref="AF7:AG18" xr:uid="{1C0A8599-2DC9-45B2-A640-9B64AE029280}"/>
  <tableColumns count="2">
    <tableColumn id="1" xr3:uid="{C78B678A-DF99-4D71-9DCA-538EBE002474}" name="Confirmed" dataDxfId="16"/>
    <tableColumn id="2" xr3:uid="{FD00BEDE-26C5-4882-A08D-7A3A81D737EC}" name="New cases fit" dataDxfId="15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B879F8-CCD4-4350-A437-AD67030C47E4}" name="Tabella4" displayName="Tabella4" ref="AF19:AG30" totalsRowShown="0" headerRowDxfId="8" dataDxfId="7">
  <autoFilter ref="AF19:AG30" xr:uid="{EEF2A1A0-4A08-497E-A79F-5A35691071BA}"/>
  <tableColumns count="2">
    <tableColumn id="1" xr3:uid="{604E3049-AE60-4912-86E2-C58A4706242A}" name="Recovered" dataDxfId="10"/>
    <tableColumn id="2" xr3:uid="{109EDCEC-3FF1-4CB5-A224-FFEEA35FA41C}" name="New recovered fit" dataDxfId="9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627ECF-5D8A-447B-AC66-68900E40C78B}" name="Tabella5" displayName="Tabella5" ref="AF31:AG42" totalsRowShown="0" headerRowDxfId="14" dataDxfId="13">
  <autoFilter ref="AF31:AG42" xr:uid="{61401F20-3088-4299-A30C-162117992087}"/>
  <tableColumns count="2">
    <tableColumn id="1" xr3:uid="{E0943324-D586-453F-96DB-1069E398D242}" name="Deaths" dataDxfId="12"/>
    <tableColumn id="2" xr3:uid="{66FF7AC8-7F99-4215-A97C-F9D3F4B5C74C}" name="New deaths fit" dataDxfId="1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H4" dT="2020-04-13T18:47:27.10" personId="{46504131-ADD3-4530-BCC7-16E4FED1C2C4}" id="{9A58F8C8-EC4D-4204-BDBD-1ED773C791C2}">
    <text>exponential decay time</text>
  </threadedComment>
  <threadedComment ref="AH5" dT="2020-04-13T18:47:54.02" personId="{46504131-ADD3-4530-BCC7-16E4FED1C2C4}" id="{CC489CA4-0428-4260-9C71-F50F294E0276}">
    <text>fractal exponent</text>
  </threadedComment>
  <threadedComment ref="B8" dT="2020-03-21T22:11:56.31" personId="{46504131-ADD3-4530-BCC7-16E4FED1C2C4}" id="{92ED0BA3-CD99-4B8E-BFDD-0EEF8E782638}">
    <text>first red zones (north)</text>
  </threadedComment>
  <threadedComment ref="B14" dT="2020-03-21T22:12:51.46" personId="{46504131-ADD3-4530-BCC7-16E4FED1C2C4}" id="{4409B014-A5A7-4F76-9492-F48BE71B769B}">
    <text>partial lockdown (north)</text>
  </threadedComment>
  <threadedComment ref="B18" dT="2020-03-21T22:13:52.19" personId="{46504131-ADD3-4530-BCC7-16E4FED1C2C4}" id="{81FAFA63-54C6-45CC-9070-46D07C730098}">
    <text>school closure (Italy)</text>
  </threadedComment>
  <threadedComment ref="B21" dT="2020-03-21T22:14:24.84" personId="{46504131-ADD3-4530-BCC7-16E4FED1C2C4}" id="{4BF89DC0-3592-4FA2-8435-6F54BA02BC15}">
    <text>full lockdown (north)</text>
  </threadedComment>
  <threadedComment ref="B23" dT="2020-03-21T22:14:52.14" personId="{46504131-ADD3-4530-BCC7-16E4FED1C2C4}" id="{98C3BF07-CEF3-412D-B8D1-2942AE2470B6}">
    <text>partial lockdown (Italy)</text>
  </threadedComment>
  <threadedComment ref="B25" dT="2020-03-21T22:15:16.77" personId="{46504131-ADD3-4530-BCC7-16E4FED1C2C4}" id="{21624EEB-6D22-429B-8E98-279137BB6058}">
    <text>full lockdown (Italy)</text>
  </threadedComment>
  <threadedComment ref="B36" dT="2020-03-23T21:41:16.67" personId="{46504131-ADD3-4530-BCC7-16E4FED1C2C4}" id="{0E29A1A8-955C-48A8-BB66-F9B1A9E97908}">
    <text>reinforced lockdown (Italy)</text>
  </threadedComment>
  <threadedComment ref="B103" dT="2020-03-21T22:11:56.31" personId="{46504131-ADD3-4530-BCC7-16E4FED1C2C4}" id="{08774897-7F0B-4B4B-AF46-93FF194A769D}">
    <text>red zone</text>
  </threadedComment>
  <threadedComment ref="B109" dT="2020-03-21T22:12:51.46" personId="{46504131-ADD3-4530-BCC7-16E4FED1C2C4}" id="{85C09E34-A5EC-4346-8195-06EE393D72DF}">
    <text>partial lockdown (north)</text>
  </threadedComment>
  <threadedComment ref="B113" dT="2020-03-21T22:13:52.19" personId="{46504131-ADD3-4530-BCC7-16E4FED1C2C4}" id="{B76B2E5A-CC8C-4D5D-883C-4881C14D6A49}">
    <text>school closure (Italy)</text>
  </threadedComment>
  <threadedComment ref="B116" dT="2020-03-21T22:14:24.84" personId="{46504131-ADD3-4530-BCC7-16E4FED1C2C4}" id="{422813AA-7B17-475A-BC56-7328C0D1FD19}">
    <text>lockdown (north)</text>
  </threadedComment>
  <threadedComment ref="B118" dT="2020-03-21T22:14:52.14" personId="{46504131-ADD3-4530-BCC7-16E4FED1C2C4}" id="{DF686F86-B428-4733-B393-4D0F0A4D84F3}">
    <text>partial lockdown (Italy)</text>
  </threadedComment>
  <threadedComment ref="B120" dT="2020-03-21T22:15:16.77" personId="{46504131-ADD3-4530-BCC7-16E4FED1C2C4}" id="{23B8A78F-4853-446A-8154-8529F1B769CC}">
    <text>lockdown (Italy)</text>
  </threadedComment>
  <threadedComment ref="B131" dT="2020-03-23T21:41:16.67" personId="{46504131-ADD3-4530-BCC7-16E4FED1C2C4}" id="{52BC14E3-58A2-47FD-AA97-3E562BB3003C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H4" dT="2020-04-13T18:47:27.10" personId="{46504131-ADD3-4530-BCC7-16E4FED1C2C4}" id="{013D75A6-D219-4696-8A74-E71BD1DE8067}">
    <text>exponential decay time</text>
  </threadedComment>
  <threadedComment ref="AH5" dT="2020-04-13T18:47:54.02" personId="{46504131-ADD3-4530-BCC7-16E4FED1C2C4}" id="{74D534AB-025B-453A-B72C-53CD493EE2CD}">
    <text>fractal exponent</text>
  </threadedComment>
  <threadedComment ref="B8" dT="2020-03-21T22:11:56.31" personId="{46504131-ADD3-4530-BCC7-16E4FED1C2C4}" id="{5FD8839A-74E9-44C2-B5F2-F977D0EA3D98}">
    <text>first red zones (north)</text>
  </threadedComment>
  <threadedComment ref="B14" dT="2020-03-21T22:12:51.46" personId="{46504131-ADD3-4530-BCC7-16E4FED1C2C4}" id="{95B83D2D-5EDB-4C8F-91A8-36D622D74B5B}">
    <text>partial lockdown (north)</text>
  </threadedComment>
  <threadedComment ref="B18" dT="2020-03-21T22:13:52.19" personId="{46504131-ADD3-4530-BCC7-16E4FED1C2C4}" id="{FB6547ED-429A-49D7-8367-DE2107BFB931}">
    <text>school closure (Italy)</text>
  </threadedComment>
  <threadedComment ref="B21" dT="2020-03-21T22:14:24.84" personId="{46504131-ADD3-4530-BCC7-16E4FED1C2C4}" id="{18DCC697-BA7F-479A-8641-1D7FCDC0672D}">
    <text>full lockdown (north)</text>
  </threadedComment>
  <threadedComment ref="B23" dT="2020-03-21T22:14:52.14" personId="{46504131-ADD3-4530-BCC7-16E4FED1C2C4}" id="{5FB23112-C2D9-44D1-9DAD-0448A5341B10}">
    <text>partial lockdown (Italy)</text>
  </threadedComment>
  <threadedComment ref="B25" dT="2020-03-21T22:15:16.77" personId="{46504131-ADD3-4530-BCC7-16E4FED1C2C4}" id="{90A59D2F-F1E2-4415-85BD-E03CA55CB6FA}">
    <text>full lockdown (Italy)</text>
  </threadedComment>
  <threadedComment ref="B36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table" Target="../tables/table6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1"/>
  <sheetViews>
    <sheetView topLeftCell="A25" workbookViewId="0">
      <selection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  <row r="40" spans="1:15" x14ac:dyDescent="0.3">
      <c r="A40" s="18">
        <v>43923.708333333336</v>
      </c>
      <c r="B40" s="17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29</v>
      </c>
      <c r="O40" s="17" t="s">
        <v>29</v>
      </c>
    </row>
    <row r="41" spans="1:15" x14ac:dyDescent="0.3">
      <c r="A41" s="18">
        <v>43924.708333333336</v>
      </c>
      <c r="B41" s="17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29</v>
      </c>
      <c r="O41" s="17" t="s">
        <v>29</v>
      </c>
    </row>
    <row r="42" spans="1:15" x14ac:dyDescent="0.3">
      <c r="A42" s="18">
        <v>43925.708333333336</v>
      </c>
      <c r="B42" s="17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7" t="s">
        <v>29</v>
      </c>
      <c r="O42" s="17" t="s">
        <v>29</v>
      </c>
    </row>
    <row r="43" spans="1:15" x14ac:dyDescent="0.3">
      <c r="A43" s="18">
        <v>43926.708333333336</v>
      </c>
      <c r="B43" s="17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7" t="s">
        <v>29</v>
      </c>
      <c r="O43" s="17" t="s">
        <v>29</v>
      </c>
    </row>
    <row r="44" spans="1:15" x14ac:dyDescent="0.3">
      <c r="A44" s="18">
        <v>43927.708333333336</v>
      </c>
      <c r="B44" s="17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7" t="s">
        <v>29</v>
      </c>
      <c r="O44" s="17" t="s">
        <v>29</v>
      </c>
    </row>
    <row r="45" spans="1:15" x14ac:dyDescent="0.3">
      <c r="A45" s="18">
        <v>43928.708333333336</v>
      </c>
      <c r="B45" s="17" t="s">
        <v>22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7" t="s">
        <v>29</v>
      </c>
      <c r="O45" s="17" t="s">
        <v>29</v>
      </c>
    </row>
    <row r="46" spans="1:15" x14ac:dyDescent="0.3">
      <c r="A46" s="18">
        <v>43929.708333333336</v>
      </c>
      <c r="B46" s="17" t="s">
        <v>22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7" t="s">
        <v>29</v>
      </c>
      <c r="O46" s="17" t="s">
        <v>29</v>
      </c>
    </row>
    <row r="47" spans="1:15" x14ac:dyDescent="0.3">
      <c r="A47" s="18">
        <v>43930.708333333336</v>
      </c>
      <c r="B47" s="17" t="s">
        <v>22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7" t="s">
        <v>29</v>
      </c>
      <c r="O47" s="17" t="s">
        <v>29</v>
      </c>
    </row>
    <row r="48" spans="1:15" x14ac:dyDescent="0.3">
      <c r="A48" s="18">
        <v>43931.708333333336</v>
      </c>
      <c r="B48" s="17" t="s">
        <v>22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7" t="s">
        <v>106</v>
      </c>
      <c r="O48" s="17" t="s">
        <v>107</v>
      </c>
    </row>
    <row r="49" spans="1:15" x14ac:dyDescent="0.3">
      <c r="A49" s="18">
        <v>43932.708333333336</v>
      </c>
      <c r="B49" s="17" t="s">
        <v>22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L49" s="2">
        <v>152271</v>
      </c>
      <c r="M49" s="2">
        <v>963473</v>
      </c>
      <c r="N49" s="17" t="s">
        <v>29</v>
      </c>
      <c r="O49" s="17" t="s">
        <v>29</v>
      </c>
    </row>
    <row r="50" spans="1:15" x14ac:dyDescent="0.3">
      <c r="A50" s="18">
        <v>43933.708333333336</v>
      </c>
      <c r="B50" s="17" t="s">
        <v>22</v>
      </c>
      <c r="C50" s="2">
        <v>27847</v>
      </c>
      <c r="D50" s="2">
        <v>3343</v>
      </c>
      <c r="E50" s="2">
        <v>31190</v>
      </c>
      <c r="F50" s="2">
        <v>71063</v>
      </c>
      <c r="G50" s="2">
        <v>102253</v>
      </c>
      <c r="H50" s="2">
        <v>1984</v>
      </c>
      <c r="I50" s="2">
        <v>4092</v>
      </c>
      <c r="J50" s="2">
        <v>34211</v>
      </c>
      <c r="K50" s="2">
        <v>19899</v>
      </c>
      <c r="L50" s="2">
        <v>156363</v>
      </c>
      <c r="M50" s="2">
        <v>1010193</v>
      </c>
      <c r="N50" s="17" t="s">
        <v>108</v>
      </c>
      <c r="O50" s="17" t="s">
        <v>109</v>
      </c>
    </row>
    <row r="51" spans="1:15" x14ac:dyDescent="0.3">
      <c r="A51" s="18">
        <v>43934.708333333336</v>
      </c>
      <c r="B51" s="17" t="s">
        <v>22</v>
      </c>
      <c r="C51" s="2">
        <v>28023</v>
      </c>
      <c r="D51" s="2">
        <v>3260</v>
      </c>
      <c r="E51" s="2">
        <v>31283</v>
      </c>
      <c r="F51" s="2">
        <v>72333</v>
      </c>
      <c r="G51" s="2">
        <v>103616</v>
      </c>
      <c r="H51" s="2">
        <v>1363</v>
      </c>
      <c r="I51" s="2">
        <v>3153</v>
      </c>
      <c r="J51" s="2">
        <v>35435</v>
      </c>
      <c r="K51" s="2">
        <v>20465</v>
      </c>
      <c r="L51" s="2">
        <v>159516</v>
      </c>
      <c r="M51" s="2">
        <v>1046910</v>
      </c>
      <c r="N51" s="17" t="s">
        <v>29</v>
      </c>
      <c r="O51" s="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T286"/>
  <sheetViews>
    <sheetView zoomScale="55" zoomScaleNormal="55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6.88671875" style="2" bestFit="1" customWidth="1"/>
    <col min="9" max="9" width="15.44140625" style="2" customWidth="1"/>
    <col min="10" max="10" width="11.33203125" style="2" customWidth="1"/>
    <col min="11" max="11" width="13" style="2" bestFit="1" customWidth="1"/>
    <col min="12" max="12" width="13.33203125" style="2" bestFit="1" customWidth="1"/>
    <col min="13" max="13" width="13.5546875" style="2" bestFit="1" customWidth="1"/>
    <col min="14" max="14" width="11.44140625" style="2" bestFit="1" customWidth="1"/>
    <col min="15" max="18" width="8.88671875" style="2"/>
    <col min="19" max="19" width="11" style="2" bestFit="1" customWidth="1"/>
    <col min="20" max="30" width="8.88671875" style="2"/>
    <col min="31" max="31" width="0.77734375" style="2" customWidth="1"/>
    <col min="32" max="32" width="14" style="2" customWidth="1"/>
    <col min="33" max="33" width="16.109375" style="2" customWidth="1"/>
    <col min="34" max="37" width="8.88671875" style="2"/>
    <col min="38" max="38" width="8.88671875" style="2" customWidth="1"/>
    <col min="39" max="45" width="8.88671875" style="2"/>
    <col min="46" max="46" width="10.5546875" style="2" customWidth="1"/>
    <col min="47" max="16384" width="8.88671875" style="2"/>
  </cols>
  <sheetData>
    <row r="2" spans="2:46" ht="23.4" x14ac:dyDescent="0.45">
      <c r="B2" s="113" t="s">
        <v>11</v>
      </c>
      <c r="C2" s="113"/>
      <c r="D2" s="113"/>
      <c r="E2" s="113"/>
      <c r="F2" s="113"/>
      <c r="G2" s="113"/>
      <c r="H2" s="113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14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75" t="s">
        <v>105</v>
      </c>
      <c r="AI3" s="117" t="s">
        <v>71</v>
      </c>
      <c r="AJ3" s="117"/>
      <c r="AK3" s="117"/>
      <c r="AL3" s="117"/>
      <c r="AM3" s="117"/>
    </row>
    <row r="4" spans="2:46" ht="20.399999999999999" thickBot="1" x14ac:dyDescent="0.45">
      <c r="B4" s="115" t="s">
        <v>49</v>
      </c>
      <c r="C4" s="115"/>
      <c r="D4" s="115"/>
      <c r="E4" s="115"/>
      <c r="F4" s="115"/>
      <c r="G4" s="115"/>
      <c r="H4" s="114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90" t="s">
        <v>93</v>
      </c>
      <c r="AI4" s="117" t="s">
        <v>71</v>
      </c>
      <c r="AJ4" s="117"/>
      <c r="AK4" s="117"/>
      <c r="AL4" s="117"/>
      <c r="AM4" s="117"/>
    </row>
    <row r="5" spans="2:46" ht="18.600000000000001" thickTop="1" thickBot="1" x14ac:dyDescent="0.4">
      <c r="B5" s="116" t="s">
        <v>110</v>
      </c>
      <c r="C5" s="116"/>
      <c r="D5" s="116"/>
      <c r="E5" s="116"/>
      <c r="F5" s="116"/>
      <c r="G5" s="116"/>
      <c r="H5" s="114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90" t="s">
        <v>1</v>
      </c>
      <c r="AI5" s="117" t="s">
        <v>71</v>
      </c>
      <c r="AJ5" s="117"/>
      <c r="AK5" s="117"/>
      <c r="AL5" s="117"/>
      <c r="AM5" s="117"/>
    </row>
    <row r="6" spans="2:46" ht="19.2" thickTop="1" thickBot="1" x14ac:dyDescent="0.4">
      <c r="B6" s="27"/>
      <c r="C6" s="13"/>
      <c r="D6" s="13"/>
      <c r="E6" s="13"/>
      <c r="F6" s="13"/>
      <c r="G6" s="13"/>
      <c r="H6" s="114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9.4" customHeight="1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100</v>
      </c>
      <c r="V7" s="8" t="s">
        <v>101</v>
      </c>
      <c r="W7" s="4" t="s">
        <v>62</v>
      </c>
      <c r="X7" s="53" t="s">
        <v>63</v>
      </c>
      <c r="Y7" s="85" t="s">
        <v>84</v>
      </c>
      <c r="Z7" s="8" t="s">
        <v>64</v>
      </c>
      <c r="AA7" s="8" t="s">
        <v>91</v>
      </c>
      <c r="AB7" s="85" t="s">
        <v>85</v>
      </c>
      <c r="AC7" s="8" t="s">
        <v>102</v>
      </c>
      <c r="AD7" s="8" t="s">
        <v>103</v>
      </c>
      <c r="AE7" s="8"/>
      <c r="AF7" s="66" t="s">
        <v>46</v>
      </c>
      <c r="AG7" s="67" t="s">
        <v>54</v>
      </c>
      <c r="AH7" s="3"/>
      <c r="AT7" s="86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Tabella211[[#This Row],[Cum_confirmed]]*NOT(ISBLANK(Tabella211[[#This Row],[Cum_confirmed]]))</f>
        <v>229</v>
      </c>
      <c r="G8" s="50">
        <f>k*t0*_xlfn.GAMMA.DIST(Tabella211[[#This Row],[Day]]/t0,w+1,1,1)*_xlfn.GAMMA(w+1)</f>
        <v>0</v>
      </c>
      <c r="H8" s="10">
        <f>k*((Tabella211[[#This Row],[Day]]/t0)^w)*EXP(-(Tabella211[[#This Row],[Day]]/t0))</f>
        <v>0</v>
      </c>
      <c r="I8" s="56">
        <f>Tabella211[[#This Row],[Cum_fit]]*NOT(ISBLANK(Tabella211[[#This Row],[Cum_confirmed]]))</f>
        <v>0</v>
      </c>
      <c r="J8" s="10">
        <f>Tabella211[[#This Row],[Cum_fit]]+CI</f>
        <v>2571.0436265733724</v>
      </c>
      <c r="K8" s="10">
        <f>MAX(Tabella211[[#This Row],[Cum_fit]]-CI,0)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Tabella211[[#This Row],[New_cases_fit]]-Tabella211[[#This Row],[New_Recovered_fit]]-Tabella211[[#This Row],[New_Deaths_fit]]</f>
        <v>0</v>
      </c>
      <c r="O8" s="10">
        <f>'dpc-covid19-ita-andamento-naz'!J2</f>
        <v>1</v>
      </c>
      <c r="P8" s="52"/>
      <c r="Q8" s="60">
        <f>Tabella211[[#This Row],[Cum_recov]]*NOT(ISBLANK(Tabella211[[#This Row],[Cum_recov]]))</f>
        <v>1</v>
      </c>
      <c r="R8" s="50">
        <f>kr*t0r*_xlfn.GAMMA.DIST(Tabella211[[#This Row],[Day]]/t0r,wr+1,1,1)*_xlfn.GAMMA(wr+1)</f>
        <v>0</v>
      </c>
      <c r="S8" s="10">
        <f>kr*((Tabella211[[#This Row],[Day]]/t0r)^wr)*EXP(-(Tabella211[[#This Row],[Day]]/t0r))</f>
        <v>0</v>
      </c>
      <c r="T8" s="60">
        <f>Tabella211[[#This Row],[Cum_R_fit]]*NOT(ISBLANK(Tabella211[[#This Row],[Cum_recov]]))</f>
        <v>0</v>
      </c>
      <c r="U8" s="10">
        <f>Tabella211[[#This Row],[Cum_R_fit]]+CIr</f>
        <v>650.99881895541046</v>
      </c>
      <c r="V8" s="10">
        <f>MAX(Tabella211[[#This Row],[Cum_R_fit]]-CIr,0)</f>
        <v>0</v>
      </c>
      <c r="W8" s="10">
        <f>'dpc-covid19-ita-andamento-naz'!K2</f>
        <v>7</v>
      </c>
      <c r="X8" s="63"/>
      <c r="Y8" s="65">
        <f>Tabella211[[#This Row],[Cum_deaths]]*NOT(ISBLANK(Tabella211[[#This Row],[Cum_deaths]]))</f>
        <v>7</v>
      </c>
      <c r="Z8" s="50">
        <f>kh*t0h*_xlfn.GAMMA.DIST(Tabella211[[#This Row],[Day]]/t0h,wh+1,1,1)*_xlfn.GAMMA(wh+1)</f>
        <v>0</v>
      </c>
      <c r="AA8" s="10">
        <f>kh*((Tabella211[[#This Row],[Day]]/t0h)^wh)*EXP(-(Tabella211[[#This Row],[Day]]/t0h))</f>
        <v>0</v>
      </c>
      <c r="AB8" s="65">
        <f>Tabella211[[#This Row],[Cum_D_fit]]*NOT(ISBLANK(Tabella211[[#This Row],[Cum_deaths]]))</f>
        <v>0</v>
      </c>
      <c r="AC8" s="10">
        <f>Tabella211[[#This Row],[Cum_D_fit]]+CIh</f>
        <v>227.94311246820683</v>
      </c>
      <c r="AD8" s="10">
        <f>MAX(Tabella211[[#This Row],[Cum_D_fit]]-CIh,0)</f>
        <v>0</v>
      </c>
      <c r="AE8" s="8"/>
      <c r="AF8" s="128" t="s">
        <v>105</v>
      </c>
      <c r="AG8" s="129">
        <v>714.30948363205164</v>
      </c>
      <c r="AH8" s="3"/>
      <c r="AT8" s="95">
        <f>MAX($AG$14)</f>
        <v>0.99965629112793208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Tabella211[[#This Row],[Cum_confirmed]]*NOT(ISBLANK(Tabella211[[#This Row],[Cum_confirmed]]))</f>
        <v>322</v>
      </c>
      <c r="G9" s="50">
        <f>k*t0*_xlfn.GAMMA.DIST(Tabella211[[#This Row],[Day]]/t0,w+1,1,1)*_xlfn.GAMMA(w+1)</f>
        <v>2.6790828365744101E-2</v>
      </c>
      <c r="H9" s="10">
        <f>k*((Tabella211[[#This Row],[Day]]/t0)^w)*EXP(-(Tabella211[[#This Row],[Day]]/t0))</f>
        <v>0.13963206978005366</v>
      </c>
      <c r="I9" s="56">
        <f>Tabella211[[#This Row],[Cum_fit]]*NOT(ISBLANK(Tabella211[[#This Row],[Cum_confirmed]]))</f>
        <v>2.6790828365744101E-2</v>
      </c>
      <c r="J9" s="10">
        <f>Tabella211[[#This Row],[Cum_fit]]+CI</f>
        <v>2571.0704174017383</v>
      </c>
      <c r="K9" s="10">
        <f>MAX(Tabella211[[#This Row],[Cum_fit]]-CI,0)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Tabella211[[#This Row],[New_cases_fit]]-Tabella211[[#This Row],[New_Recovered_fit]]-Tabella211[[#This Row],[New_Deaths_fit]]</f>
        <v>7.4540240641621763E-2</v>
      </c>
      <c r="O9" s="10">
        <f>'dpc-covid19-ita-andamento-naz'!J3</f>
        <v>1</v>
      </c>
      <c r="P9" s="48">
        <f>Tabella211[[#This Row],[Cum_recov]]-O8</f>
        <v>0</v>
      </c>
      <c r="Q9" s="60">
        <f>Tabella211[[#This Row],[Cum_recov]]*NOT(ISBLANK(Tabella211[[#This Row],[Cum_recov]]))</f>
        <v>1</v>
      </c>
      <c r="R9" s="50">
        <f>kr*t0r*_xlfn.GAMMA.DIST(Tabella211[[#This Row],[Day]]/t0r,wr+1,1,1)*_xlfn.GAMMA(wr+1)</f>
        <v>1.5456292143939933E-2</v>
      </c>
      <c r="S9" s="10">
        <f>kr*((Tabella211[[#This Row],[Day]]/t0r)^wr)*EXP(-(Tabella211[[#This Row],[Day]]/t0r))</f>
        <v>6.5055790205405861E-2</v>
      </c>
      <c r="T9" s="60">
        <f>Tabella211[[#This Row],[Cum_R_fit]]*NOT(ISBLANK(Tabella211[[#This Row],[Cum_recov]]))</f>
        <v>1.5456292143939933E-2</v>
      </c>
      <c r="U9" s="10">
        <f>Tabella211[[#This Row],[Cum_R_fit]]+CIr</f>
        <v>651.01427524755445</v>
      </c>
      <c r="V9" s="10">
        <f>MAX(Tabella211[[#This Row],[Cum_R_fit]]-CIr,0)</f>
        <v>0</v>
      </c>
      <c r="W9" s="10">
        <f>'dpc-covid19-ita-andamento-naz'!K3</f>
        <v>10</v>
      </c>
      <c r="X9" s="26">
        <f>Tabella211[[#This Row],[Cum_deaths]]-W8</f>
        <v>3</v>
      </c>
      <c r="Y9" s="65">
        <f>Tabella211[[#This Row],[Cum_deaths]]*NOT(ISBLANK(Tabella211[[#This Row],[Cum_deaths]]))</f>
        <v>10</v>
      </c>
      <c r="Z9" s="50">
        <f>kh*t0h*_xlfn.GAMMA.DIST(Tabella211[[#This Row],[Day]]/t0h,wh+1,1,1)*_xlfn.GAMMA(wh+1)</f>
        <v>4.8168092625323027E-6</v>
      </c>
      <c r="AA9" s="10">
        <f>kh*((Tabella211[[#This Row],[Day]]/t0h)^wh)*EXP(-(Tabella211[[#This Row],[Day]]/t0h))</f>
        <v>3.6038933026031066E-5</v>
      </c>
      <c r="AB9" s="65">
        <f>Tabella211[[#This Row],[Cum_D_fit]]*NOT(ISBLANK(Tabella211[[#This Row],[Cum_deaths]]))</f>
        <v>4.8168092625323027E-6</v>
      </c>
      <c r="AC9" s="10">
        <f>Tabella211[[#This Row],[Cum_D_fit]]+CIh</f>
        <v>227.94311728501609</v>
      </c>
      <c r="AD9" s="10">
        <f>MAX(Tabella211[[#This Row],[Cum_D_fit]]-CIh,0)</f>
        <v>0</v>
      </c>
      <c r="AE9" s="8"/>
      <c r="AF9" s="128" t="s">
        <v>114</v>
      </c>
      <c r="AG9" s="129">
        <v>6.9432400059859463</v>
      </c>
      <c r="AH9" s="3"/>
      <c r="AT9" s="96">
        <f>COUNT($AG$8,$AG$9,$AG$10)</f>
        <v>3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Tabella211[[#This Row],[Cum_confirmed]]*NOT(ISBLANK(Tabella211[[#This Row],[Cum_confirmed]]))</f>
        <v>400</v>
      </c>
      <c r="G10" s="50">
        <f>k*t0*_xlfn.GAMMA.DIST(Tabella211[[#This Row],[Day]]/t0,w+1,1,1)*_xlfn.GAMMA(w+1)</f>
        <v>0.95699010644626215</v>
      </c>
      <c r="H10" s="10">
        <f>k*((Tabella211[[#This Row],[Day]]/t0)^w)*EXP(-(Tabella211[[#This Row],[Day]]/t0))</f>
        <v>2.4364074163428819</v>
      </c>
      <c r="I10" s="56">
        <f>Tabella211[[#This Row],[Cum_fit]]*NOT(ISBLANK(Tabella211[[#This Row],[Cum_confirmed]]))</f>
        <v>0.95699010644626215</v>
      </c>
      <c r="J10" s="10">
        <f>Tabella211[[#This Row],[Cum_fit]]+CI</f>
        <v>2572.0006166798189</v>
      </c>
      <c r="K10" s="10">
        <f>MAX(Tabella211[[#This Row],[Cum_fit]]-CI,0)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Tabella211[[#This Row],[New_cases_fit]]-Tabella211[[#This Row],[New_Recovered_fit]]-Tabella211[[#This Row],[New_Deaths_fit]]</f>
        <v>1.8452478559595078</v>
      </c>
      <c r="O10" s="10">
        <f>'dpc-covid19-ita-andamento-naz'!J4</f>
        <v>3</v>
      </c>
      <c r="P10" s="48">
        <f>Tabella211[[#This Row],[Cum_recov]]-O9</f>
        <v>2</v>
      </c>
      <c r="Q10" s="60">
        <f>Tabella211[[#This Row],[Cum_recov]]*NOT(ISBLANK(Tabella211[[#This Row],[Cum_recov]]))</f>
        <v>3</v>
      </c>
      <c r="R10" s="50">
        <f>kr*t0r*_xlfn.GAMMA.DIST(Tabella211[[#This Row],[Day]]/t0r,wr+1,1,1)*_xlfn.GAMMA(wr+1)</f>
        <v>0.28225388959298614</v>
      </c>
      <c r="S10" s="10">
        <f>kr*((Tabella211[[#This Row],[Day]]/t0r)^wr)*EXP(-(Tabella211[[#This Row],[Day]]/t0r))</f>
        <v>0.58817865021644655</v>
      </c>
      <c r="T10" s="60">
        <f>Tabella211[[#This Row],[Cum_R_fit]]*NOT(ISBLANK(Tabella211[[#This Row],[Cum_recov]]))</f>
        <v>0.28225388959298614</v>
      </c>
      <c r="U10" s="10">
        <f>Tabella211[[#This Row],[Cum_R_fit]]+CIr</f>
        <v>651.28107284500345</v>
      </c>
      <c r="V10" s="10">
        <f>MAX(Tabella211[[#This Row],[Cum_R_fit]]-CIr,0)</f>
        <v>0</v>
      </c>
      <c r="W10" s="10">
        <f>'dpc-covid19-ita-andamento-naz'!K4</f>
        <v>12</v>
      </c>
      <c r="X10" s="26">
        <f>Tabella211[[#This Row],[Cum_deaths]]-W9</f>
        <v>2</v>
      </c>
      <c r="Y10" s="65">
        <f>Tabella211[[#This Row],[Cum_deaths]]*NOT(ISBLANK(Tabella211[[#This Row],[Cum_deaths]]))</f>
        <v>12</v>
      </c>
      <c r="Z10" s="50">
        <f>kh*t0h*_xlfn.GAMMA.DIST(Tabella211[[#This Row],[Day]]/t0h,wh+1,1,1)*_xlfn.GAMMA(wh+1)</f>
        <v>8.1594445980717517E-4</v>
      </c>
      <c r="AA10" s="10">
        <f>kh*((Tabella211[[#This Row],[Day]]/t0h)^wh)*EXP(-(Tabella211[[#This Row],[Day]]/t0h))</f>
        <v>2.9809101669276772E-3</v>
      </c>
      <c r="AB10" s="65">
        <f>Tabella211[[#This Row],[Cum_D_fit]]*NOT(ISBLANK(Tabella211[[#This Row],[Cum_deaths]]))</f>
        <v>8.1594445980717517E-4</v>
      </c>
      <c r="AC10" s="10">
        <f>Tabella211[[#This Row],[Cum_D_fit]]+CIh</f>
        <v>227.94392841266665</v>
      </c>
      <c r="AD10" s="10">
        <f>MAX(Tabella211[[#This Row],[Cum_D_fit]]-CIh,0)</f>
        <v>0</v>
      </c>
      <c r="AE10" s="8"/>
      <c r="AF10" s="128" t="s">
        <v>1</v>
      </c>
      <c r="AG10" s="129">
        <v>4.3328372913705868</v>
      </c>
      <c r="AH10" s="3"/>
      <c r="AT10" s="96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Tabella211[[#This Row],[Cum_confirmed]]*NOT(ISBLANK(Tabella211[[#This Row],[Cum_confirmed]]))</f>
        <v>650</v>
      </c>
      <c r="G11" s="50">
        <f>k*t0*_xlfn.GAMMA.DIST(Tabella211[[#This Row],[Day]]/t0,w+1,1,1)*_xlfn.GAMMA(w+1)</f>
        <v>7.374321386941201</v>
      </c>
      <c r="H11" s="10">
        <f>k*((Tabella211[[#This Row],[Day]]/t0)^w)*EXP(-(Tabella211[[#This Row],[Day]]/t0))</f>
        <v>12.222933046851352</v>
      </c>
      <c r="I11" s="56">
        <f>Tabella211[[#This Row],[Cum_fit]]*NOT(ISBLANK(Tabella211[[#This Row],[Cum_confirmed]]))</f>
        <v>7.374321386941201</v>
      </c>
      <c r="J11" s="10">
        <f>Tabella211[[#This Row],[Cum_fit]]+CI</f>
        <v>2578.4179479603135</v>
      </c>
      <c r="K11" s="10">
        <f>MAX(Tabella211[[#This Row],[Cum_fit]]-CI,0)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Tabella211[[#This Row],[New_cases_fit]]-Tabella211[[#This Row],[New_Recovered_fit]]-Tabella211[[#This Row],[New_Deaths_fit]]</f>
        <v>10.099115956115318</v>
      </c>
      <c r="O11" s="10">
        <f>'dpc-covid19-ita-andamento-naz'!J5</f>
        <v>45</v>
      </c>
      <c r="P11" s="48">
        <f>Tabella211[[#This Row],[Cum_recov]]-O10</f>
        <v>42</v>
      </c>
      <c r="Q11" s="60">
        <f>Tabella211[[#This Row],[Cum_recov]]*NOT(ISBLANK(Tabella211[[#This Row],[Cum_recov]]))</f>
        <v>45</v>
      </c>
      <c r="R11" s="50">
        <f>kr*t0r*_xlfn.GAMMA.DIST(Tabella211[[#This Row],[Day]]/t0r,wr+1,1,1)*_xlfn.GAMMA(wr+1)</f>
        <v>1.517605733487702</v>
      </c>
      <c r="S11" s="10">
        <f>kr*((Tabella211[[#This Row],[Day]]/t0r)^wr)*EXP(-(Tabella211[[#This Row],[Day]]/t0r))</f>
        <v>2.0875028115052596</v>
      </c>
      <c r="T11" s="60">
        <f>Tabella211[[#This Row],[Cum_R_fit]]*NOT(ISBLANK(Tabella211[[#This Row],[Cum_recov]]))</f>
        <v>1.517605733487702</v>
      </c>
      <c r="U11" s="10">
        <f>Tabella211[[#This Row],[Cum_R_fit]]+CIr</f>
        <v>652.51642468889816</v>
      </c>
      <c r="V11" s="10">
        <f>MAX(Tabella211[[#This Row],[Cum_R_fit]]-CIr,0)</f>
        <v>0</v>
      </c>
      <c r="W11" s="10">
        <f>'dpc-covid19-ita-andamento-naz'!K5</f>
        <v>17</v>
      </c>
      <c r="X11" s="26">
        <f>Tabella211[[#This Row],[Cum_deaths]]-W10</f>
        <v>5</v>
      </c>
      <c r="Y11" s="65">
        <f>Tabella211[[#This Row],[Cum_deaths]]*NOT(ISBLANK(Tabella211[[#This Row],[Cum_deaths]]))</f>
        <v>17</v>
      </c>
      <c r="Z11" s="50">
        <f>kh*t0h*_xlfn.GAMMA.DIST(Tabella211[[#This Row],[Day]]/t0h,wh+1,1,1)*_xlfn.GAMMA(wh+1)</f>
        <v>1.5274554569157533E-2</v>
      </c>
      <c r="AA11" s="10">
        <f>kh*((Tabella211[[#This Row],[Day]]/t0h)^wh)*EXP(-(Tabella211[[#This Row],[Day]]/t0h))</f>
        <v>3.6314279230775195E-2</v>
      </c>
      <c r="AB11" s="65">
        <f>Tabella211[[#This Row],[Cum_D_fit]]*NOT(ISBLANK(Tabella211[[#This Row],[Cum_deaths]]))</f>
        <v>1.5274554569157533E-2</v>
      </c>
      <c r="AC11" s="10">
        <f>Tabella211[[#This Row],[Cum_D_fit]]+CIh</f>
        <v>227.95838702277598</v>
      </c>
      <c r="AD11" s="10">
        <f>MAX(Tabella211[[#This Row],[Cum_D_fit]]-CIh,0)</f>
        <v>0</v>
      </c>
      <c r="AE11" s="8"/>
      <c r="AF11" s="68" t="s">
        <v>2</v>
      </c>
      <c r="AG11" s="121">
        <f>AVERAGE(Tabella211[Cum_confirmed])</f>
        <v>59589.4</v>
      </c>
      <c r="AH11" s="3"/>
      <c r="AT11" s="96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Tabella211[[#This Row],[Cum_confirmed]]*NOT(ISBLANK(Tabella211[[#This Row],[Cum_confirmed]]))</f>
        <v>888</v>
      </c>
      <c r="G12" s="50">
        <f>k*t0*_xlfn.GAMMA.DIST(Tabella211[[#This Row],[Day]]/t0,w+1,1,1)*_xlfn.GAMMA(w+1)</f>
        <v>30.333597887774864</v>
      </c>
      <c r="H12" s="10">
        <f>k*((Tabella211[[#This Row],[Day]]/t0)^w)*EXP(-(Tabella211[[#This Row],[Day]]/t0))</f>
        <v>36.809964285572086</v>
      </c>
      <c r="I12" s="56">
        <f>Tabella211[[#This Row],[Cum_fit]]*NOT(ISBLANK(Tabella211[[#This Row],[Cum_confirmed]]))</f>
        <v>30.333597887774864</v>
      </c>
      <c r="J12" s="10">
        <f>Tabella211[[#This Row],[Cum_fit]]+CI</f>
        <v>2601.3772244611473</v>
      </c>
      <c r="K12" s="10">
        <f>MAX(Tabella211[[#This Row],[Cum_fit]]-CI,0)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Tabella211[[#This Row],[New_cases_fit]]-Tabella211[[#This Row],[New_Recovered_fit]]-Tabella211[[#This Row],[New_Deaths_fit]]</f>
        <v>31.555863850253974</v>
      </c>
      <c r="O12" s="10">
        <f>'dpc-covid19-ita-andamento-naz'!J6</f>
        <v>46</v>
      </c>
      <c r="P12" s="48">
        <f>Tabella211[[#This Row],[Cum_recov]]-O11</f>
        <v>1</v>
      </c>
      <c r="Q12" s="60">
        <f>Tabella211[[#This Row],[Cum_recov]]*NOT(ISBLANK(Tabella211[[#This Row],[Cum_recov]]))</f>
        <v>46</v>
      </c>
      <c r="R12" s="50">
        <f>kr*t0r*_xlfn.GAMMA.DIST(Tabella211[[#This Row],[Day]]/t0r,wr+1,1,1)*_xlfn.GAMMA(wr+1)</f>
        <v>4.9463664671311118</v>
      </c>
      <c r="S12" s="10">
        <f>kr*((Tabella211[[#This Row],[Day]]/t0r)^wr)*EXP(-(Tabella211[[#This Row],[Day]]/t0r))</f>
        <v>5.0521569305887777</v>
      </c>
      <c r="T12" s="60">
        <f>Tabella211[[#This Row],[Cum_R_fit]]*NOT(ISBLANK(Tabella211[[#This Row],[Cum_recov]]))</f>
        <v>4.9463664671311118</v>
      </c>
      <c r="U12" s="10">
        <f>Tabella211[[#This Row],[Cum_R_fit]]+CIr</f>
        <v>655.94518542254161</v>
      </c>
      <c r="V12" s="10">
        <f>MAX(Tabella211[[#This Row],[Cum_R_fit]]-CIr,0)</f>
        <v>0</v>
      </c>
      <c r="W12" s="10">
        <f>'dpc-covid19-ita-andamento-naz'!K6</f>
        <v>21</v>
      </c>
      <c r="X12" s="26">
        <f>Tabella211[[#This Row],[Cum_deaths]]-W11</f>
        <v>4</v>
      </c>
      <c r="Y12" s="65">
        <f>Tabella211[[#This Row],[Cum_deaths]]*NOT(ISBLANK(Tabella211[[#This Row],[Cum_deaths]]))</f>
        <v>21</v>
      </c>
      <c r="Z12" s="50">
        <f>kh*t0h*_xlfn.GAMMA.DIST(Tabella211[[#This Row],[Day]]/t0h,wh+1,1,1)*_xlfn.GAMMA(wh+1)</f>
        <v>0.11607737638277885</v>
      </c>
      <c r="AA12" s="10">
        <f>kh*((Tabella211[[#This Row],[Day]]/t0h)^wh)*EXP(-(Tabella211[[#This Row],[Day]]/t0h))</f>
        <v>0.20194350472933142</v>
      </c>
      <c r="AB12" s="65">
        <f>Tabella211[[#This Row],[Cum_D_fit]]*NOT(ISBLANK(Tabella211[[#This Row],[Cum_deaths]]))</f>
        <v>0.11607737638277885</v>
      </c>
      <c r="AC12" s="10">
        <f>Tabella211[[#This Row],[Cum_D_fit]]+CIh</f>
        <v>228.05918984458961</v>
      </c>
      <c r="AD12" s="10">
        <f>MAX(Tabella211[[#This Row],[Cum_D_fit]]-CIh,0)</f>
        <v>0</v>
      </c>
      <c r="AE12" s="1"/>
      <c r="AF12" s="68" t="s">
        <v>3</v>
      </c>
      <c r="AG12" s="121">
        <f>COUNT(Tabella211[Cum_confirmed])-COUNT(AG8:AG10)</f>
        <v>47</v>
      </c>
      <c r="AT12" s="96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Tabella211[[#This Row],[Cum_confirmed]]*NOT(ISBLANK(Tabella211[[#This Row],[Cum_confirmed]]))</f>
        <v>1128</v>
      </c>
      <c r="G13" s="50">
        <f>k*t0*_xlfn.GAMMA.DIST(Tabella211[[#This Row],[Day]]/t0,w+1,1,1)*_xlfn.GAMMA(w+1)</f>
        <v>88.477460358257304</v>
      </c>
      <c r="H13" s="10">
        <f>k*((Tabella211[[#This Row],[Day]]/t0)^w)*EXP(-(Tabella211[[#This Row],[Day]]/t0))</f>
        <v>83.813014359412065</v>
      </c>
      <c r="I13" s="56">
        <f>Tabella211[[#This Row],[Cum_fit]]*NOT(ISBLANK(Tabella211[[#This Row],[Cum_confirmed]]))</f>
        <v>88.477460358257304</v>
      </c>
      <c r="J13" s="10">
        <f>Tabella211[[#This Row],[Cum_fit]]+CI</f>
        <v>2659.5210869316297</v>
      </c>
      <c r="K13" s="10">
        <f>MAX(Tabella211[[#This Row],[Cum_fit]]-CI,0)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Tabella211[[#This Row],[New_cases_fit]]-Tabella211[[#This Row],[New_Recovered_fit]]-Tabella211[[#This Row],[New_Deaths_fit]]</f>
        <v>73.168906926745663</v>
      </c>
      <c r="O13" s="10">
        <f>'dpc-covid19-ita-andamento-naz'!J7</f>
        <v>50</v>
      </c>
      <c r="P13" s="48">
        <f>Tabella211[[#This Row],[Cum_recov]]-O12</f>
        <v>4</v>
      </c>
      <c r="Q13" s="60">
        <f>Tabella211[[#This Row],[Cum_recov]]*NOT(ISBLANK(Tabella211[[#This Row],[Cum_recov]]))</f>
        <v>50</v>
      </c>
      <c r="R13" s="50">
        <f>kr*t0r*_xlfn.GAMMA.DIST(Tabella211[[#This Row],[Day]]/t0r,wr+1,1,1)*_xlfn.GAMMA(wr+1)</f>
        <v>12.254862082806575</v>
      </c>
      <c r="S13" s="10">
        <f>kr*((Tabella211[[#This Row],[Day]]/t0r)^wr)*EXP(-(Tabella211[[#This Row],[Day]]/t0r))</f>
        <v>9.913362703867481</v>
      </c>
      <c r="T13" s="60">
        <f>Tabella211[[#This Row],[Cum_R_fit]]*NOT(ISBLANK(Tabella211[[#This Row],[Cum_recov]]))</f>
        <v>12.254862082806575</v>
      </c>
      <c r="U13" s="10">
        <f>Tabella211[[#This Row],[Cum_R_fit]]+CIr</f>
        <v>663.253681038217</v>
      </c>
      <c r="V13" s="10">
        <f>MAX(Tabella211[[#This Row],[Cum_R_fit]]-CIr,0)</f>
        <v>0</v>
      </c>
      <c r="W13" s="10">
        <f>'dpc-covid19-ita-andamento-naz'!K7</f>
        <v>29</v>
      </c>
      <c r="X13" s="26">
        <f>Tabella211[[#This Row],[Cum_deaths]]-W12</f>
        <v>8</v>
      </c>
      <c r="Y13" s="65">
        <f>Tabella211[[#This Row],[Cum_deaths]]*NOT(ISBLANK(Tabella211[[#This Row],[Cum_deaths]]))</f>
        <v>29</v>
      </c>
      <c r="Z13" s="50">
        <f>kh*t0h*_xlfn.GAMMA.DIST(Tabella211[[#This Row],[Day]]/t0h,wh+1,1,1)*_xlfn.GAMMA(wh+1)</f>
        <v>0.53837736528505087</v>
      </c>
      <c r="AA13" s="10">
        <f>kh*((Tabella211[[#This Row],[Day]]/t0h)^wh)*EXP(-(Tabella211[[#This Row],[Day]]/t0h))</f>
        <v>0.73074472879892316</v>
      </c>
      <c r="AB13" s="65">
        <f>Tabella211[[#This Row],[Cum_D_fit]]*NOT(ISBLANK(Tabella211[[#This Row],[Cum_deaths]]))</f>
        <v>0.53837736528505087</v>
      </c>
      <c r="AC13" s="10">
        <f>Tabella211[[#This Row],[Cum_D_fit]]+CIh</f>
        <v>228.48148983349188</v>
      </c>
      <c r="AD13" s="10">
        <f>MAX(Tabella211[[#This Row],[Cum_D_fit]]-CIh,0)</f>
        <v>0</v>
      </c>
      <c r="AE13" s="1"/>
      <c r="AF13" s="68" t="s">
        <v>4</v>
      </c>
      <c r="AG13" s="122" cm="1">
        <f t="array" ref="AG13">SQRT(SUM((Tabella211[Colonna1]-Tabella211[Colonna2])^2)/df)</f>
        <v>1278.0195104818254</v>
      </c>
      <c r="AT13" s="97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Tabella211[[#This Row],[Cum_confirmed]]*NOT(ISBLANK(Tabella211[[#This Row],[Cum_confirmed]]))</f>
        <v>1694</v>
      </c>
      <c r="G14" s="50">
        <f>k*t0*_xlfn.GAMMA.DIST(Tabella211[[#This Row],[Day]]/t0,w+1,1,1)*_xlfn.GAMMA(w+1)</f>
        <v>207.67319928891715</v>
      </c>
      <c r="H14" s="10">
        <f>k*((Tabella211[[#This Row],[Day]]/t0)^w)*EXP(-(Tabella211[[#This Row],[Day]]/t0))</f>
        <v>159.89749581571292</v>
      </c>
      <c r="I14" s="56">
        <f>Tabella211[[#This Row],[Cum_fit]]*NOT(ISBLANK(Tabella211[[#This Row],[Cum_confirmed]]))</f>
        <v>207.67319928891715</v>
      </c>
      <c r="J14" s="10">
        <f>Tabella211[[#This Row],[Cum_fit]]+CI</f>
        <v>2778.7168258622896</v>
      </c>
      <c r="K14" s="10">
        <f>MAX(Tabella211[[#This Row],[Cum_fit]]-CI,0)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Tabella211[[#This Row],[New_cases_fit]]-Tabella211[[#This Row],[New_Recovered_fit]]-Tabella211[[#This Row],[New_Deaths_fit]]</f>
        <v>140.84768039026989</v>
      </c>
      <c r="O14" s="10">
        <f>'dpc-covid19-ita-andamento-naz'!J8</f>
        <v>83</v>
      </c>
      <c r="P14" s="48">
        <f>Tabella211[[#This Row],[Cum_recov]]-O13</f>
        <v>33</v>
      </c>
      <c r="Q14" s="60">
        <f>Tabella211[[#This Row],[Cum_recov]]*NOT(ISBLANK(Tabella211[[#This Row],[Cum_recov]]))</f>
        <v>83</v>
      </c>
      <c r="R14" s="50">
        <f>kr*t0r*_xlfn.GAMMA.DIST(Tabella211[[#This Row],[Day]]/t0r,wr+1,1,1)*_xlfn.GAMMA(wr+1)</f>
        <v>25.527303630058565</v>
      </c>
      <c r="S14" s="10">
        <f>kr*((Tabella211[[#This Row],[Day]]/t0r)^wr)*EXP(-(Tabella211[[#This Row],[Day]]/t0r))</f>
        <v>17.034873808826184</v>
      </c>
      <c r="T14" s="60">
        <f>Tabella211[[#This Row],[Cum_R_fit]]*NOT(ISBLANK(Tabella211[[#This Row],[Cum_recov]]))</f>
        <v>25.527303630058565</v>
      </c>
      <c r="U14" s="10">
        <f>Tabella211[[#This Row],[Cum_R_fit]]+CIr</f>
        <v>676.52612258546901</v>
      </c>
      <c r="V14" s="10">
        <f>MAX(Tabella211[[#This Row],[Cum_R_fit]]-CIr,0)</f>
        <v>0</v>
      </c>
      <c r="W14" s="10">
        <f>'dpc-covid19-ita-andamento-naz'!K8</f>
        <v>34</v>
      </c>
      <c r="X14" s="26">
        <f>Tabella211[[#This Row],[Cum_deaths]]-W13</f>
        <v>5</v>
      </c>
      <c r="Y14" s="65">
        <f>Tabella211[[#This Row],[Cum_deaths]]*NOT(ISBLANK(Tabella211[[#This Row],[Cum_deaths]]))</f>
        <v>34</v>
      </c>
      <c r="Z14" s="50">
        <f>kh*t0h*_xlfn.GAMMA.DIST(Tabella211[[#This Row],[Day]]/t0h,wh+1,1,1)*_xlfn.GAMMA(wh+1)</f>
        <v>1.8275524127773504</v>
      </c>
      <c r="AA14" s="10">
        <f>kh*((Tabella211[[#This Row],[Day]]/t0h)^wh)*EXP(-(Tabella211[[#This Row],[Day]]/t0h))</f>
        <v>2.0149416166168534</v>
      </c>
      <c r="AB14" s="65">
        <f>Tabella211[[#This Row],[Cum_D_fit]]*NOT(ISBLANK(Tabella211[[#This Row],[Cum_deaths]]))</f>
        <v>1.8275524127773504</v>
      </c>
      <c r="AC14" s="10">
        <f>Tabella211[[#This Row],[Cum_D_fit]]+CIh</f>
        <v>229.77066488098419</v>
      </c>
      <c r="AD14" s="10">
        <f>MAX(Tabella211[[#This Row],[Cum_D_fit]]-CIh,0)</f>
        <v>0</v>
      </c>
      <c r="AE14" s="1"/>
      <c r="AF14" s="68" t="s">
        <v>112</v>
      </c>
      <c r="AG14" s="123" cm="1">
        <f t="array" ref="AG14">1-SUM((Tabella211[Colonna1]-Tabella211[Colonna2])^2)/SUM((Tabella211[Colonna1]-Mean_of_y)^2)</f>
        <v>0.99965629112793208</v>
      </c>
      <c r="AT14" s="107"/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Tabella211[[#This Row],[Cum_confirmed]]*NOT(ISBLANK(Tabella211[[#This Row],[Cum_confirmed]]))</f>
        <v>2036</v>
      </c>
      <c r="G15" s="50">
        <f>k*t0*_xlfn.GAMMA.DIST(Tabella211[[#This Row],[Day]]/t0,w+1,1,1)*_xlfn.GAMMA(w+1)</f>
        <v>419.63520380497675</v>
      </c>
      <c r="H15" s="10">
        <f>k*((Tabella211[[#This Row],[Day]]/t0)^w)*EXP(-(Tabella211[[#This Row],[Day]]/t0))</f>
        <v>269.99887525156538</v>
      </c>
      <c r="I15" s="56">
        <f>Tabella211[[#This Row],[Cum_fit]]*NOT(ISBLANK(Tabella211[[#This Row],[Cum_confirmed]]))</f>
        <v>419.63520380497675</v>
      </c>
      <c r="J15" s="10">
        <f>Tabella211[[#This Row],[Cum_fit]]+CI</f>
        <v>2990.6788303783492</v>
      </c>
      <c r="K15" s="10">
        <f>MAX(Tabella211[[#This Row],[Cum_fit]]-CI,0)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Tabella211[[#This Row],[New_cases_fit]]-Tabella211[[#This Row],[New_Recovered_fit]]-Tabella211[[#This Row],[New_Deaths_fit]]</f>
        <v>238.68215079869563</v>
      </c>
      <c r="O15" s="10">
        <f>'dpc-covid19-ita-andamento-naz'!J9</f>
        <v>149</v>
      </c>
      <c r="P15" s="48">
        <f>Tabella211[[#This Row],[Cum_recov]]-O14</f>
        <v>66</v>
      </c>
      <c r="Q15" s="60">
        <f>Tabella211[[#This Row],[Cum_recov]]*NOT(ISBLANK(Tabella211[[#This Row],[Cum_recov]]))</f>
        <v>149</v>
      </c>
      <c r="R15" s="50">
        <f>kr*t0r*_xlfn.GAMMA.DIST(Tabella211[[#This Row],[Day]]/t0r,wr+1,1,1)*_xlfn.GAMMA(wr+1)</f>
        <v>47.176890461844998</v>
      </c>
      <c r="S15" s="10">
        <f>kr*((Tabella211[[#This Row],[Day]]/t0r)^wr)*EXP(-(Tabella211[[#This Row],[Day]]/t0r))</f>
        <v>26.710961169753737</v>
      </c>
      <c r="T15" s="60">
        <f>Tabella211[[#This Row],[Cum_R_fit]]*NOT(ISBLANK(Tabella211[[#This Row],[Cum_recov]]))</f>
        <v>47.176890461844998</v>
      </c>
      <c r="U15" s="10">
        <f>Tabella211[[#This Row],[Cum_R_fit]]+CIr</f>
        <v>698.17570941725546</v>
      </c>
      <c r="V15" s="10">
        <f>MAX(Tabella211[[#This Row],[Cum_R_fit]]-CIr,0)</f>
        <v>0</v>
      </c>
      <c r="W15" s="10">
        <f>'dpc-covid19-ita-andamento-naz'!K9</f>
        <v>52</v>
      </c>
      <c r="X15" s="26">
        <f>Tabella211[[#This Row],[Cum_deaths]]-W14</f>
        <v>18</v>
      </c>
      <c r="Y15" s="65">
        <f>Tabella211[[#This Row],[Cum_deaths]]*NOT(ISBLANK(Tabella211[[#This Row],[Cum_deaths]]))</f>
        <v>52</v>
      </c>
      <c r="Z15" s="50">
        <f>kh*t0h*_xlfn.GAMMA.DIST(Tabella211[[#This Row],[Day]]/t0h,wh+1,1,1)*_xlfn.GAMMA(wh+1)</f>
        <v>5.0024031867590679</v>
      </c>
      <c r="AA15" s="10">
        <f>kh*((Tabella211[[#This Row],[Day]]/t0h)^wh)*EXP(-(Tabella211[[#This Row],[Day]]/t0h))</f>
        <v>4.6057632831160014</v>
      </c>
      <c r="AB15" s="65">
        <f>Tabella211[[#This Row],[Cum_D_fit]]*NOT(ISBLANK(Tabella211[[#This Row],[Cum_deaths]]))</f>
        <v>5.0024031867590679</v>
      </c>
      <c r="AC15" s="10">
        <f>Tabella211[[#This Row],[Cum_D_fit]]+CIh</f>
        <v>232.9455156549659</v>
      </c>
      <c r="AD15" s="10">
        <f>MAX(Tabella211[[#This Row],[Cum_D_fit]]-CIh,0)</f>
        <v>0</v>
      </c>
      <c r="AE15" s="1"/>
      <c r="AF15" s="68" t="s">
        <v>6</v>
      </c>
      <c r="AG15" s="123">
        <f>TINV(0.05,df)</f>
        <v>2.0117405137297668</v>
      </c>
      <c r="AT15" s="108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Tabella211[[#This Row],[Cum_confirmed]]*NOT(ISBLANK(Tabella211[[#This Row],[Cum_confirmed]]))</f>
        <v>2502</v>
      </c>
      <c r="G16" s="50">
        <f>k*t0*_xlfn.GAMMA.DIST(Tabella211[[#This Row],[Day]]/t0,w+1,1,1)*_xlfn.GAMMA(w+1)</f>
        <v>759.97807819054958</v>
      </c>
      <c r="H16" s="10">
        <f>k*((Tabella211[[#This Row],[Day]]/t0)^w)*EXP(-(Tabella211[[#This Row],[Day]]/t0))</f>
        <v>416.9484575737261</v>
      </c>
      <c r="I16" s="56">
        <f>Tabella211[[#This Row],[Cum_fit]]*NOT(ISBLANK(Tabella211[[#This Row],[Cum_confirmed]]))</f>
        <v>759.97807819054958</v>
      </c>
      <c r="J16" s="10">
        <f>Tabella211[[#This Row],[Cum_fit]]+CI</f>
        <v>3331.0217047639221</v>
      </c>
      <c r="K16" s="10">
        <f>MAX(Tabella211[[#This Row],[Cum_fit]]-CI,0)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Tabella211[[#This Row],[New_cases_fit]]-Tabella211[[#This Row],[New_Recovered_fit]]-Tabella211[[#This Row],[New_Deaths_fit]]</f>
        <v>368.60293127082775</v>
      </c>
      <c r="O16" s="10">
        <f>'dpc-covid19-ita-andamento-naz'!J10</f>
        <v>160</v>
      </c>
      <c r="P16" s="48">
        <f>Tabella211[[#This Row],[Cum_recov]]-O15</f>
        <v>11</v>
      </c>
      <c r="Q16" s="60">
        <f>Tabella211[[#This Row],[Cum_recov]]*NOT(ISBLANK(Tabella211[[#This Row],[Cum_recov]]))</f>
        <v>160</v>
      </c>
      <c r="R16" s="50">
        <f>kr*t0r*_xlfn.GAMMA.DIST(Tabella211[[#This Row],[Day]]/t0r,wr+1,1,1)*_xlfn.GAMMA(wr+1)</f>
        <v>79.876969475922266</v>
      </c>
      <c r="S16" s="10">
        <f>kr*((Tabella211[[#This Row],[Day]]/t0r)^wr)*EXP(-(Tabella211[[#This Row],[Day]]/t0r))</f>
        <v>39.168141016440359</v>
      </c>
      <c r="T16" s="60">
        <f>Tabella211[[#This Row],[Cum_R_fit]]*NOT(ISBLANK(Tabella211[[#This Row],[Cum_recov]]))</f>
        <v>79.876969475922266</v>
      </c>
      <c r="U16" s="10">
        <f>Tabella211[[#This Row],[Cum_R_fit]]+CIr</f>
        <v>730.87578843133269</v>
      </c>
      <c r="V16" s="10">
        <f>MAX(Tabella211[[#This Row],[Cum_R_fit]]-CIr,0)</f>
        <v>0</v>
      </c>
      <c r="W16" s="10">
        <f>'dpc-covid19-ita-andamento-naz'!K10</f>
        <v>79</v>
      </c>
      <c r="X16" s="26">
        <f>Tabella211[[#This Row],[Cum_deaths]]-W15</f>
        <v>27</v>
      </c>
      <c r="Y16" s="65">
        <f>Tabella211[[#This Row],[Cum_deaths]]*NOT(ISBLANK(Tabella211[[#This Row],[Cum_deaths]]))</f>
        <v>79</v>
      </c>
      <c r="Z16" s="50">
        <f>kh*t0h*_xlfn.GAMMA.DIST(Tabella211[[#This Row],[Day]]/t0h,wh+1,1,1)*_xlfn.GAMMA(wh+1)</f>
        <v>11.698636308628711</v>
      </c>
      <c r="AA16" s="10">
        <f>kh*((Tabella211[[#This Row],[Day]]/t0h)^wh)*EXP(-(Tabella211[[#This Row],[Day]]/t0h))</f>
        <v>9.1773852864579926</v>
      </c>
      <c r="AB16" s="65">
        <f>Tabella211[[#This Row],[Cum_D_fit]]*NOT(ISBLANK(Tabella211[[#This Row],[Cum_deaths]]))</f>
        <v>11.698636308628711</v>
      </c>
      <c r="AC16" s="10">
        <f>Tabella211[[#This Row],[Cum_D_fit]]+CIh</f>
        <v>239.64174877683556</v>
      </c>
      <c r="AD16" s="10">
        <f>MAX(Tabella211[[#This Row],[Cum_D_fit]]-CIh,0)</f>
        <v>0</v>
      </c>
      <c r="AE16" s="1"/>
      <c r="AF16" s="68" t="s">
        <v>7</v>
      </c>
      <c r="AG16" s="121">
        <f>Critical_t*SE_of_y</f>
        <v>2571.0436265733724</v>
      </c>
      <c r="AT16" s="108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Tabella211[[#This Row],[Cum_confirmed]]*NOT(ISBLANK(Tabella211[[#This Row],[Cum_confirmed]]))</f>
        <v>3089</v>
      </c>
      <c r="G17" s="50">
        <f>k*t0*_xlfn.GAMMA.DIST(Tabella211[[#This Row],[Day]]/t0,w+1,1,1)*_xlfn.GAMMA(w+1)</f>
        <v>1266.0578410409928</v>
      </c>
      <c r="H17" s="10">
        <f>k*((Tabella211[[#This Row],[Day]]/t0)^w)*EXP(-(Tabella211[[#This Row],[Day]]/t0))</f>
        <v>601.40727113756213</v>
      </c>
      <c r="I17" s="56">
        <f>Tabella211[[#This Row],[Cum_fit]]*NOT(ISBLANK(Tabella211[[#This Row],[Cum_confirmed]]))</f>
        <v>1266.0578410409928</v>
      </c>
      <c r="J17" s="10">
        <f>Tabella211[[#This Row],[Cum_fit]]+CI</f>
        <v>3837.101467614365</v>
      </c>
      <c r="K17" s="10">
        <f>MAX(Tabella211[[#This Row],[Cum_fit]]-CI,0)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Tabella211[[#This Row],[New_cases_fit]]-Tabella211[[#This Row],[New_Recovered_fit]]-Tabella211[[#This Row],[New_Deaths_fit]]</f>
        <v>530.37194440020494</v>
      </c>
      <c r="O17" s="10">
        <f>'dpc-covid19-ita-andamento-naz'!J11</f>
        <v>276</v>
      </c>
      <c r="P17" s="48">
        <f>Tabella211[[#This Row],[Cum_recov]]-O16</f>
        <v>116</v>
      </c>
      <c r="Q17" s="60">
        <f>Tabella211[[#This Row],[Cum_recov]]*NOT(ISBLANK(Tabella211[[#This Row],[Cum_recov]]))</f>
        <v>276</v>
      </c>
      <c r="R17" s="50">
        <f>kr*t0r*_xlfn.GAMMA.DIST(Tabella211[[#This Row],[Day]]/t0r,wr+1,1,1)*_xlfn.GAMMA(wr+1)</f>
        <v>126.49502761202503</v>
      </c>
      <c r="S17" s="10">
        <f>kr*((Tabella211[[#This Row],[Day]]/t0r)^wr)*EXP(-(Tabella211[[#This Row],[Day]]/t0r))</f>
        <v>54.568910779721364</v>
      </c>
      <c r="T17" s="60">
        <f>Tabella211[[#This Row],[Cum_R_fit]]*NOT(ISBLANK(Tabella211[[#This Row],[Cum_recov]]))</f>
        <v>126.49502761202503</v>
      </c>
      <c r="U17" s="10">
        <f>Tabella211[[#This Row],[Cum_R_fit]]+CIr</f>
        <v>777.49384656743553</v>
      </c>
      <c r="V17" s="10">
        <f>MAX(Tabella211[[#This Row],[Cum_R_fit]]-CIr,0)</f>
        <v>0</v>
      </c>
      <c r="W17" s="10">
        <f>'dpc-covid19-ita-andamento-naz'!K11</f>
        <v>107</v>
      </c>
      <c r="X17" s="26">
        <f>Tabella211[[#This Row],[Cum_deaths]]-W16</f>
        <v>28</v>
      </c>
      <c r="Y17" s="65">
        <f>Tabella211[[#This Row],[Cum_deaths]]*NOT(ISBLANK(Tabella211[[#This Row],[Cum_deaths]]))</f>
        <v>107</v>
      </c>
      <c r="Z17" s="50">
        <f>kh*t0h*_xlfn.GAMMA.DIST(Tabella211[[#This Row],[Day]]/t0h,wh+1,1,1)*_xlfn.GAMMA(wh+1)</f>
        <v>24.263089379382691</v>
      </c>
      <c r="AA17" s="10">
        <f>kh*((Tabella211[[#This Row],[Day]]/t0h)^wh)*EXP(-(Tabella211[[#This Row],[Day]]/t0h))</f>
        <v>16.466415957635853</v>
      </c>
      <c r="AB17" s="65">
        <f>Tabella211[[#This Row],[Cum_D_fit]]*NOT(ISBLANK(Tabella211[[#This Row],[Cum_deaths]]))</f>
        <v>24.263089379382691</v>
      </c>
      <c r="AC17" s="10">
        <f>Tabella211[[#This Row],[Cum_D_fit]]+CIh</f>
        <v>252.20620184758951</v>
      </c>
      <c r="AD17" s="10">
        <f>MAX(Tabella211[[#This Row],[Cum_D_fit]]-CIh,0)</f>
        <v>0</v>
      </c>
      <c r="AE17" s="1"/>
      <c r="AF17" s="68" t="s">
        <v>99</v>
      </c>
      <c r="AG17" s="33">
        <f>k*t0*_xlfn.GAMMA(w+1)</f>
        <v>198868.80666380809</v>
      </c>
      <c r="AT17" s="109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Tabella211[[#This Row],[Cum_confirmed]]*NOT(ISBLANK(Tabella211[[#This Row],[Cum_confirmed]]))</f>
        <v>3858</v>
      </c>
      <c r="G18" s="50">
        <f>k*t0*_xlfn.GAMMA.DIST(Tabella211[[#This Row],[Day]]/t0,w+1,1,1)*_xlfn.GAMMA(w+1)</f>
        <v>1974.8613342616118</v>
      </c>
      <c r="H18" s="10">
        <f>k*((Tabella211[[#This Row],[Day]]/t0)^w)*EXP(-(Tabella211[[#This Row],[Day]]/t0))</f>
        <v>822.01393917406051</v>
      </c>
      <c r="I18" s="56">
        <f>Tabella211[[#This Row],[Cum_fit]]*NOT(ISBLANK(Tabella211[[#This Row],[Cum_confirmed]]))</f>
        <v>1974.8613342616118</v>
      </c>
      <c r="J18" s="10">
        <f>Tabella211[[#This Row],[Cum_fit]]+CI</f>
        <v>4545.9049608349842</v>
      </c>
      <c r="K18" s="10">
        <f>MAX(Tabella211[[#This Row],[Cum_fit]]-CI,0)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Tabella211[[#This Row],[New_cases_fit]]-Tabella211[[#This Row],[New_Recovered_fit]]-Tabella211[[#This Row],[New_Deaths_fit]]</f>
        <v>721.79800648233117</v>
      </c>
      <c r="O18" s="10">
        <f>'dpc-covid19-ita-andamento-naz'!J12</f>
        <v>414</v>
      </c>
      <c r="P18" s="48">
        <f>Tabella211[[#This Row],[Cum_recov]]-O17</f>
        <v>138</v>
      </c>
      <c r="Q18" s="60">
        <f>Tabella211[[#This Row],[Cum_recov]]*NOT(ISBLANK(Tabella211[[#This Row],[Cum_recov]]))</f>
        <v>414</v>
      </c>
      <c r="R18" s="50">
        <f>kr*t0r*_xlfn.GAMMA.DIST(Tabella211[[#This Row],[Day]]/t0r,wr+1,1,1)*_xlfn.GAMMA(wr+1)</f>
        <v>190.03101783768352</v>
      </c>
      <c r="S18" s="10">
        <f>kr*((Tabella211[[#This Row],[Day]]/t0r)^wr)*EXP(-(Tabella211[[#This Row],[Day]]/t0r))</f>
        <v>73.01656524426086</v>
      </c>
      <c r="T18" s="60">
        <f>Tabella211[[#This Row],[Cum_R_fit]]*NOT(ISBLANK(Tabella211[[#This Row],[Cum_recov]]))</f>
        <v>190.03101783768352</v>
      </c>
      <c r="U18" s="10">
        <f>Tabella211[[#This Row],[Cum_R_fit]]+CIr</f>
        <v>841.02983679309398</v>
      </c>
      <c r="V18" s="10">
        <f>MAX(Tabella211[[#This Row],[Cum_R_fit]]-CIr,0)</f>
        <v>0</v>
      </c>
      <c r="W18" s="10">
        <f>'dpc-covid19-ita-andamento-naz'!K12</f>
        <v>148</v>
      </c>
      <c r="X18" s="26">
        <f>Tabella211[[#This Row],[Cum_deaths]]-W17</f>
        <v>41</v>
      </c>
      <c r="Y18" s="65">
        <f>Tabella211[[#This Row],[Cum_deaths]]*NOT(ISBLANK(Tabella211[[#This Row],[Cum_deaths]]))</f>
        <v>148</v>
      </c>
      <c r="Z18" s="50">
        <f>kh*t0h*_xlfn.GAMMA.DIST(Tabella211[[#This Row],[Day]]/t0h,wh+1,1,1)*_xlfn.GAMMA(wh+1)</f>
        <v>45.78037316419384</v>
      </c>
      <c r="AA18" s="10">
        <f>kh*((Tabella211[[#This Row],[Day]]/t0h)^wh)*EXP(-(Tabella211[[#This Row],[Day]]/t0h))</f>
        <v>27.199367447468546</v>
      </c>
      <c r="AB18" s="65">
        <f>Tabella211[[#This Row],[Cum_D_fit]]*NOT(ISBLANK(Tabella211[[#This Row],[Cum_deaths]]))</f>
        <v>45.78037316419384</v>
      </c>
      <c r="AC18" s="10">
        <f>Tabella211[[#This Row],[Cum_D_fit]]+CIh</f>
        <v>273.7234856324007</v>
      </c>
      <c r="AD18" s="10">
        <f>MAX(Tabella211[[#This Row],[Cum_D_fit]]-CIh,0)</f>
        <v>0</v>
      </c>
      <c r="AE18" s="1"/>
      <c r="AF18" s="68"/>
      <c r="AG18" s="78"/>
      <c r="AT18" s="98">
        <f>MAX($AG$26)</f>
        <v>0.99936085357465376</v>
      </c>
    </row>
    <row r="19" spans="2:46" ht="19.2" customHeight="1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Tabella211[[#This Row],[Cum_confirmed]]*NOT(ISBLANK(Tabella211[[#This Row],[Cum_confirmed]]))</f>
        <v>4636</v>
      </c>
      <c r="G19" s="50">
        <f>k*t0*_xlfn.GAMMA.DIST(Tabella211[[#This Row],[Day]]/t0,w+1,1,1)*_xlfn.GAMMA(w+1)</f>
        <v>2921.1165074242931</v>
      </c>
      <c r="H19" s="10">
        <f>k*((Tabella211[[#This Row],[Day]]/t0)^w)*EXP(-(Tabella211[[#This Row],[Day]]/t0))</f>
        <v>1075.6666353608193</v>
      </c>
      <c r="I19" s="56">
        <f>Tabella211[[#This Row],[Cum_fit]]*NOT(ISBLANK(Tabella211[[#This Row],[Cum_confirmed]]))</f>
        <v>2921.1165074242931</v>
      </c>
      <c r="J19" s="10">
        <f>Tabella211[[#This Row],[Cum_fit]]+CI</f>
        <v>5492.160133997666</v>
      </c>
      <c r="K19" s="10">
        <f>MAX(Tabella211[[#This Row],[Cum_fit]]-CI,0)</f>
        <v>350.07288085092068</v>
      </c>
      <c r="L19" s="54">
        <f>'dpc-covid19-ita-andamento-naz'!G13</f>
        <v>3916</v>
      </c>
      <c r="M19" s="54">
        <f>'dpc-covid19-ita-andamento-naz'!H13</f>
        <v>620</v>
      </c>
      <c r="N19" s="54">
        <f>Tabella211[[#This Row],[New_cases_fit]]-Tabella211[[#This Row],[New_Recovered_fit]]-Tabella211[[#This Row],[New_Deaths_fit]]</f>
        <v>939.08595161406902</v>
      </c>
      <c r="O19" s="10">
        <f>'dpc-covid19-ita-andamento-naz'!J13</f>
        <v>523</v>
      </c>
      <c r="P19" s="48">
        <f>Tabella211[[#This Row],[Cum_recov]]-O18</f>
        <v>109</v>
      </c>
      <c r="Q19" s="60">
        <f>Tabella211[[#This Row],[Cum_recov]]*NOT(ISBLANK(Tabella211[[#This Row],[Cum_recov]]))</f>
        <v>523</v>
      </c>
      <c r="R19" s="50">
        <f>kr*t0r*_xlfn.GAMMA.DIST(Tabella211[[#This Row],[Day]]/t0r,wr+1,1,1)*_xlfn.GAMMA(wr+1)</f>
        <v>273.56080473933156</v>
      </c>
      <c r="S19" s="10">
        <f>kr*((Tabella211[[#This Row],[Day]]/t0r)^wr)*EXP(-(Tabella211[[#This Row],[Day]]/t0r))</f>
        <v>94.560549905537925</v>
      </c>
      <c r="T19" s="60">
        <f>Tabella211[[#This Row],[Cum_R_fit]]*NOT(ISBLANK(Tabella211[[#This Row],[Cum_recov]]))</f>
        <v>273.56080473933156</v>
      </c>
      <c r="U19" s="10">
        <f>Tabella211[[#This Row],[Cum_R_fit]]+CIr</f>
        <v>924.55962369474196</v>
      </c>
      <c r="V19" s="10">
        <f>MAX(Tabella211[[#This Row],[Cum_R_fit]]-CIr,0)</f>
        <v>0</v>
      </c>
      <c r="W19" s="10">
        <f>'dpc-covid19-ita-andamento-naz'!K13</f>
        <v>197</v>
      </c>
      <c r="X19" s="26">
        <f>Tabella211[[#This Row],[Cum_deaths]]-W18</f>
        <v>49</v>
      </c>
      <c r="Y19" s="65">
        <f>Tabella211[[#This Row],[Cum_deaths]]*NOT(ISBLANK(Tabella211[[#This Row],[Cum_deaths]]))</f>
        <v>197</v>
      </c>
      <c r="Z19" s="50">
        <f>kh*t0h*_xlfn.GAMMA.DIST(Tabella211[[#This Row],[Day]]/t0h,wh+1,1,1)*_xlfn.GAMMA(wh+1)</f>
        <v>80.02606831143062</v>
      </c>
      <c r="AA19" s="10">
        <f>kh*((Tabella211[[#This Row],[Day]]/t0h)^wh)*EXP(-(Tabella211[[#This Row],[Day]]/t0h))</f>
        <v>42.020133841212385</v>
      </c>
      <c r="AB19" s="65">
        <f>Tabella211[[#This Row],[Cum_D_fit]]*NOT(ISBLANK(Tabella211[[#This Row],[Cum_deaths]]))</f>
        <v>80.02606831143062</v>
      </c>
      <c r="AC19" s="10">
        <f>Tabella211[[#This Row],[Cum_D_fit]]+CIh</f>
        <v>307.96918077963744</v>
      </c>
      <c r="AD19" s="10">
        <f>MAX(Tabella211[[#This Row],[Cum_D_fit]]-CIh,0)</f>
        <v>0</v>
      </c>
      <c r="AE19" s="1"/>
      <c r="AF19" s="59" t="s">
        <v>81</v>
      </c>
      <c r="AG19" s="76" t="s">
        <v>97</v>
      </c>
      <c r="AT19" s="99">
        <f>COUNT($AG$20,$AG$21,$AG$22)</f>
        <v>3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Tabella211[[#This Row],[Cum_confirmed]]*NOT(ISBLANK(Tabella211[[#This Row],[Cum_confirmed]]))</f>
        <v>5883</v>
      </c>
      <c r="G20" s="50">
        <f>k*t0*_xlfn.GAMMA.DIST(Tabella211[[#This Row],[Day]]/t0,w+1,1,1)*_xlfn.GAMMA(w+1)</f>
        <v>4135.7247264594953</v>
      </c>
      <c r="H20" s="10">
        <f>k*((Tabella211[[#This Row],[Day]]/t0)^w)*EXP(-(Tabella211[[#This Row],[Day]]/t0))</f>
        <v>1357.8760550042825</v>
      </c>
      <c r="I20" s="56">
        <f>Tabella211[[#This Row],[Cum_fit]]*NOT(ISBLANK(Tabella211[[#This Row],[Cum_confirmed]]))</f>
        <v>4135.7247264594953</v>
      </c>
      <c r="J20" s="10">
        <f>Tabella211[[#This Row],[Cum_fit]]+CI</f>
        <v>6706.7683530328677</v>
      </c>
      <c r="K20" s="10">
        <f>MAX(Tabella211[[#This Row],[Cum_fit]]-CI,0)</f>
        <v>1564.6810998861229</v>
      </c>
      <c r="L20" s="54">
        <f>'dpc-covid19-ita-andamento-naz'!G14</f>
        <v>5061</v>
      </c>
      <c r="M20" s="54">
        <f>'dpc-covid19-ita-andamento-naz'!H14</f>
        <v>1145</v>
      </c>
      <c r="N20" s="54">
        <f>Tabella211[[#This Row],[New_cases_fit]]-Tabella211[[#This Row],[New_Recovered_fit]]-Tabella211[[#This Row],[New_Deaths_fit]]</f>
        <v>1177.2469950748136</v>
      </c>
      <c r="O20" s="10">
        <f>'dpc-covid19-ita-andamento-naz'!J14</f>
        <v>589</v>
      </c>
      <c r="P20" s="48">
        <f>Tabella211[[#This Row],[Cum_recov]]-O19</f>
        <v>66</v>
      </c>
      <c r="Q20" s="60">
        <f>Tabella211[[#This Row],[Cum_recov]]*NOT(ISBLANK(Tabella211[[#This Row],[Cum_recov]]))</f>
        <v>589</v>
      </c>
      <c r="R20" s="50">
        <f>kr*t0r*_xlfn.GAMMA.DIST(Tabella211[[#This Row],[Day]]/t0r,wr+1,1,1)*_xlfn.GAMMA(wr+1)</f>
        <v>380.18508622850095</v>
      </c>
      <c r="S20" s="10">
        <f>kr*((Tabella211[[#This Row],[Day]]/t0r)^wr)*EXP(-(Tabella211[[#This Row],[Day]]/t0r))</f>
        <v>119.20201587052298</v>
      </c>
      <c r="T20" s="60">
        <f>Tabella211[[#This Row],[Cum_R_fit]]*NOT(ISBLANK(Tabella211[[#This Row],[Cum_recov]]))</f>
        <v>380.18508622850095</v>
      </c>
      <c r="U20" s="10">
        <f>Tabella211[[#This Row],[Cum_R_fit]]+CIr</f>
        <v>1031.1839051839115</v>
      </c>
      <c r="V20" s="10">
        <f>MAX(Tabella211[[#This Row],[Cum_R_fit]]-CIr,0)</f>
        <v>0</v>
      </c>
      <c r="W20" s="10">
        <f>'dpc-covid19-ita-andamento-naz'!K14</f>
        <v>233</v>
      </c>
      <c r="X20" s="26">
        <f>Tabella211[[#This Row],[Cum_deaths]]-W19</f>
        <v>36</v>
      </c>
      <c r="Y20" s="65">
        <f>Tabella211[[#This Row],[Cum_deaths]]*NOT(ISBLANK(Tabella211[[#This Row],[Cum_deaths]]))</f>
        <v>233</v>
      </c>
      <c r="Z20" s="50">
        <f>kh*t0h*_xlfn.GAMMA.DIST(Tabella211[[#This Row],[Day]]/t0h,wh+1,1,1)*_xlfn.GAMMA(wh+1)</f>
        <v>131.35152143874689</v>
      </c>
      <c r="AA20" s="10">
        <f>kh*((Tabella211[[#This Row],[Day]]/t0h)^wh)*EXP(-(Tabella211[[#This Row],[Day]]/t0h))</f>
        <v>61.427044058946052</v>
      </c>
      <c r="AB20" s="65">
        <f>Tabella211[[#This Row],[Cum_D_fit]]*NOT(ISBLANK(Tabella211[[#This Row],[Cum_deaths]]))</f>
        <v>131.35152143874689</v>
      </c>
      <c r="AC20" s="10">
        <f>Tabella211[[#This Row],[Cum_D_fit]]+CIh</f>
        <v>359.29463390695372</v>
      </c>
      <c r="AD20" s="10">
        <f>MAX(Tabella211[[#This Row],[Cum_D_fit]]-CIh,0)</f>
        <v>0</v>
      </c>
      <c r="AE20" s="1"/>
      <c r="AF20" s="91" t="s">
        <v>105</v>
      </c>
      <c r="AG20" s="92">
        <v>1070.8259806288913</v>
      </c>
      <c r="AT20" s="99" t="b">
        <f>Peak_r=Peak-Peak_h</f>
        <v>0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Tabella211[[#This Row],[Cum_confirmed]]*NOT(ISBLANK(Tabella211[[#This Row],[Cum_confirmed]]))</f>
        <v>7375</v>
      </c>
      <c r="G21" s="50">
        <f>k*t0*_xlfn.GAMMA.DIST(Tabella211[[#This Row],[Day]]/t0,w+1,1,1)*_xlfn.GAMMA(w+1)</f>
        <v>5644.5613464907883</v>
      </c>
      <c r="H21" s="10">
        <f>k*((Tabella211[[#This Row],[Day]]/t0)^w)*EXP(-(Tabella211[[#This Row],[Day]]/t0))</f>
        <v>1663.1423649716255</v>
      </c>
      <c r="I21" s="56">
        <f>Tabella211[[#This Row],[Cum_fit]]*NOT(ISBLANK(Tabella211[[#This Row],[Cum_confirmed]]))</f>
        <v>5644.5613464907883</v>
      </c>
      <c r="J21" s="10">
        <f>Tabella211[[#This Row],[Cum_fit]]+CI</f>
        <v>8215.6049730641607</v>
      </c>
      <c r="K21" s="10">
        <f>MAX(Tabella211[[#This Row],[Cum_fit]]-CI,0)</f>
        <v>3073.5177199174159</v>
      </c>
      <c r="L21" s="54">
        <f>'dpc-covid19-ita-andamento-naz'!G15</f>
        <v>6387</v>
      </c>
      <c r="M21" s="54">
        <f>'dpc-covid19-ita-andamento-naz'!H15</f>
        <v>1326</v>
      </c>
      <c r="N21" s="54">
        <f>Tabella211[[#This Row],[New_cases_fit]]-Tabella211[[#This Row],[New_Recovered_fit]]-Tabella211[[#This Row],[New_Deaths_fit]]</f>
        <v>1430.5172088311033</v>
      </c>
      <c r="O21" s="10">
        <f>'dpc-covid19-ita-andamento-naz'!J15</f>
        <v>622</v>
      </c>
      <c r="P21" s="48">
        <f>Tabella211[[#This Row],[Cum_recov]]-O20</f>
        <v>33</v>
      </c>
      <c r="Q21" s="60">
        <f>Tabella211[[#This Row],[Cum_recov]]*NOT(ISBLANK(Tabella211[[#This Row],[Cum_recov]]))</f>
        <v>622</v>
      </c>
      <c r="R21" s="50">
        <f>kr*t0r*_xlfn.GAMMA.DIST(Tabella211[[#This Row],[Day]]/t0r,wr+1,1,1)*_xlfn.GAMMA(wr+1)</f>
        <v>512.98387812547651</v>
      </c>
      <c r="S21" s="10">
        <f>kr*((Tabella211[[#This Row],[Day]]/t0r)^wr)*EXP(-(Tabella211[[#This Row],[Day]]/t0r))</f>
        <v>146.89936242057252</v>
      </c>
      <c r="T21" s="60">
        <f>Tabella211[[#This Row],[Cum_R_fit]]*NOT(ISBLANK(Tabella211[[#This Row],[Cum_recov]]))</f>
        <v>512.98387812547651</v>
      </c>
      <c r="U21" s="10">
        <f>Tabella211[[#This Row],[Cum_R_fit]]+CIr</f>
        <v>1163.982697080887</v>
      </c>
      <c r="V21" s="10">
        <f>MAX(Tabella211[[#This Row],[Cum_R_fit]]-CIr,0)</f>
        <v>0</v>
      </c>
      <c r="W21" s="10">
        <f>'dpc-covid19-ita-andamento-naz'!K15</f>
        <v>366</v>
      </c>
      <c r="X21" s="26">
        <f>Tabella211[[#This Row],[Cum_deaths]]-W20</f>
        <v>133</v>
      </c>
      <c r="Y21" s="65">
        <f>Tabella211[[#This Row],[Cum_deaths]]*NOT(ISBLANK(Tabella211[[#This Row],[Cum_deaths]]))</f>
        <v>366</v>
      </c>
      <c r="Z21" s="50">
        <f>kh*t0h*_xlfn.GAMMA.DIST(Tabella211[[#This Row],[Day]]/t0h,wh+1,1,1)*_xlfn.GAMMA(wh+1)</f>
        <v>204.51324838514489</v>
      </c>
      <c r="AA21" s="10">
        <f>kh*((Tabella211[[#This Row],[Day]]/t0h)^wh)*EXP(-(Tabella211[[#This Row],[Day]]/t0h))</f>
        <v>85.725793719949607</v>
      </c>
      <c r="AB21" s="65">
        <f>Tabella211[[#This Row],[Cum_D_fit]]*NOT(ISBLANK(Tabella211[[#This Row],[Cum_deaths]]))</f>
        <v>204.51324838514489</v>
      </c>
      <c r="AC21" s="10">
        <f>Tabella211[[#This Row],[Cum_D_fit]]+CIh</f>
        <v>432.45636085335173</v>
      </c>
      <c r="AD21" s="10">
        <f>MAX(Tabella211[[#This Row],[Cum_D_fit]]-CIh,0)</f>
        <v>0</v>
      </c>
      <c r="AE21" s="1"/>
      <c r="AF21" s="91" t="s">
        <v>111</v>
      </c>
      <c r="AG21" s="92">
        <v>19.513832896873833</v>
      </c>
      <c r="AT21" s="99">
        <f>{32767;32767;0.000001;0;FALSE;FALSE;TRUE;1;1;1;0.0001;TRUE}</f>
        <v>32767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Tabella211[[#This Row],[Cum_confirmed]]*NOT(ISBLANK(Tabella211[[#This Row],[Cum_confirmed]]))</f>
        <v>9172</v>
      </c>
      <c r="G22" s="50">
        <f>k*t0*_xlfn.GAMMA.DIST(Tabella211[[#This Row],[Day]]/t0,w+1,1,1)*_xlfn.GAMMA(w+1)</f>
        <v>7467.6508972314678</v>
      </c>
      <c r="H22" s="10">
        <f>k*((Tabella211[[#This Row],[Day]]/t0)^w)*EXP(-(Tabella211[[#This Row],[Day]]/t0))</f>
        <v>1985.3229768279293</v>
      </c>
      <c r="I22" s="56">
        <f>Tabella211[[#This Row],[Cum_fit]]*NOT(ISBLANK(Tabella211[[#This Row],[Cum_confirmed]]))</f>
        <v>7467.6508972314678</v>
      </c>
      <c r="J22" s="10">
        <f>Tabella211[[#This Row],[Cum_fit]]+CI</f>
        <v>10038.694523804839</v>
      </c>
      <c r="K22" s="10">
        <f>MAX(Tabella211[[#This Row],[Cum_fit]]-CI,0)</f>
        <v>4896.6072706580953</v>
      </c>
      <c r="L22" s="54">
        <f>'dpc-covid19-ita-andamento-naz'!G16</f>
        <v>7985</v>
      </c>
      <c r="M22" s="54">
        <f>'dpc-covid19-ita-andamento-naz'!H16</f>
        <v>1598</v>
      </c>
      <c r="N22" s="54">
        <f>Tabella211[[#This Row],[New_cases_fit]]-Tabella211[[#This Row],[New_Recovered_fit]]-Tabella211[[#This Row],[New_Deaths_fit]]</f>
        <v>1692.7480339750111</v>
      </c>
      <c r="O22" s="10">
        <f>'dpc-covid19-ita-andamento-naz'!J16</f>
        <v>724</v>
      </c>
      <c r="P22" s="48">
        <f>Tabella211[[#This Row],[Cum_recov]]-O21</f>
        <v>102</v>
      </c>
      <c r="Q22" s="60">
        <f>Tabella211[[#This Row],[Cum_recov]]*NOT(ISBLANK(Tabella211[[#This Row],[Cum_recov]]))</f>
        <v>724</v>
      </c>
      <c r="R22" s="50">
        <f>kr*t0r*_xlfn.GAMMA.DIST(Tabella211[[#This Row],[Day]]/t0r,wr+1,1,1)*_xlfn.GAMMA(wr+1)</f>
        <v>674.97647530628683</v>
      </c>
      <c r="S22" s="10">
        <f>kr*((Tabella211[[#This Row],[Day]]/t0r)^wr)*EXP(-(Tabella211[[#This Row],[Day]]/t0r))</f>
        <v>177.57362933305379</v>
      </c>
      <c r="T22" s="60">
        <f>Tabella211[[#This Row],[Cum_R_fit]]*NOT(ISBLANK(Tabella211[[#This Row],[Cum_recov]]))</f>
        <v>674.97647530628683</v>
      </c>
      <c r="U22" s="10">
        <f>Tabella211[[#This Row],[Cum_R_fit]]+CIr</f>
        <v>1325.9752942616974</v>
      </c>
      <c r="V22" s="10">
        <f>MAX(Tabella211[[#This Row],[Cum_R_fit]]-CIr,0)</f>
        <v>23.977656350876373</v>
      </c>
      <c r="W22" s="10">
        <f>'dpc-covid19-ita-andamento-naz'!K16</f>
        <v>463</v>
      </c>
      <c r="X22" s="26">
        <f>Tabella211[[#This Row],[Cum_deaths]]-W21</f>
        <v>97</v>
      </c>
      <c r="Y22" s="65">
        <f>Tabella211[[#This Row],[Cum_deaths]]*NOT(ISBLANK(Tabella211[[#This Row],[Cum_deaths]]))</f>
        <v>463</v>
      </c>
      <c r="Z22" s="50">
        <f>kh*t0h*_xlfn.GAMMA.DIST(Tabella211[[#This Row],[Day]]/t0h,wh+1,1,1)*_xlfn.GAMMA(wh+1)</f>
        <v>304.46460741422607</v>
      </c>
      <c r="AA22" s="10">
        <f>kh*((Tabella211[[#This Row],[Day]]/t0h)^wh)*EXP(-(Tabella211[[#This Row],[Day]]/t0h))</f>
        <v>115.00131351986445</v>
      </c>
      <c r="AB22" s="65">
        <f>Tabella211[[#This Row],[Cum_D_fit]]*NOT(ISBLANK(Tabella211[[#This Row],[Cum_deaths]]))</f>
        <v>304.46460741422607</v>
      </c>
      <c r="AC22" s="10">
        <f>Tabella211[[#This Row],[Cum_D_fit]]+CIh</f>
        <v>532.40771988243296</v>
      </c>
      <c r="AD22" s="10">
        <f>MAX(Tabella211[[#This Row],[Cum_D_fit]]-CIh,0)</f>
        <v>76.521494946019232</v>
      </c>
      <c r="AE22" s="1"/>
      <c r="AF22" s="91" t="s">
        <v>1</v>
      </c>
      <c r="AG22" s="92">
        <v>3.2504369603929812</v>
      </c>
      <c r="AT22" s="99">
        <f>{0;0;1;100;0;FALSE;TRUE;0.075;0;0;FALSE;30}</f>
        <v>0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Tabella211[[#This Row],[Cum_confirmed]]*NOT(ISBLANK(Tabella211[[#This Row],[Cum_confirmed]]))</f>
        <v>10149</v>
      </c>
      <c r="G23" s="50">
        <f>k*t0*_xlfn.GAMMA.DIST(Tabella211[[#This Row],[Day]]/t0,w+1,1,1)*_xlfn.GAMMA(w+1)</f>
        <v>9618.6959608471316</v>
      </c>
      <c r="H23" s="10">
        <f>k*((Tabella211[[#This Row],[Day]]/t0)^w)*EXP(-(Tabella211[[#This Row],[Day]]/t0))</f>
        <v>2317.9693366893043</v>
      </c>
      <c r="I23" s="56">
        <f>Tabella211[[#This Row],[Cum_fit]]*NOT(ISBLANK(Tabella211[[#This Row],[Cum_confirmed]]))</f>
        <v>9618.6959608471316</v>
      </c>
      <c r="J23" s="10">
        <f>Tabella211[[#This Row],[Cum_fit]]+CI</f>
        <v>12189.739587420503</v>
      </c>
      <c r="K23" s="10">
        <f>MAX(Tabella211[[#This Row],[Cum_fit]]-CI,0)</f>
        <v>7047.6523342737592</v>
      </c>
      <c r="L23" s="54">
        <f>'dpc-covid19-ita-andamento-naz'!G17</f>
        <v>8514</v>
      </c>
      <c r="M23" s="54">
        <f>'dpc-covid19-ita-andamento-naz'!H17</f>
        <v>529</v>
      </c>
      <c r="N23" s="54">
        <f>Tabella211[[#This Row],[New_cases_fit]]-Tabella211[[#This Row],[New_Recovered_fit]]-Tabella211[[#This Row],[New_Deaths_fit]]</f>
        <v>1957.7468109994825</v>
      </c>
      <c r="O23" s="10">
        <f>'dpc-covid19-ita-andamento-naz'!J17</f>
        <v>1004</v>
      </c>
      <c r="P23" s="48">
        <f>Tabella211[[#This Row],[Cum_recov]]-O22</f>
        <v>280</v>
      </c>
      <c r="Q23" s="60">
        <f>Tabella211[[#This Row],[Cum_recov]]*NOT(ISBLANK(Tabella211[[#This Row],[Cum_recov]]))</f>
        <v>1004</v>
      </c>
      <c r="R23" s="50">
        <f>kr*t0r*_xlfn.GAMMA.DIST(Tabella211[[#This Row],[Day]]/t0r,wr+1,1,1)*_xlfn.GAMMA(wr+1)</f>
        <v>869.0866916491774</v>
      </c>
      <c r="S23" s="10">
        <f>kr*((Tabella211[[#This Row],[Day]]/t0r)^wr)*EXP(-(Tabella211[[#This Row],[Day]]/t0r))</f>
        <v>211.11365059712406</v>
      </c>
      <c r="T23" s="60">
        <f>Tabella211[[#This Row],[Cum_R_fit]]*NOT(ISBLANK(Tabella211[[#This Row],[Cum_recov]]))</f>
        <v>869.0866916491774</v>
      </c>
      <c r="U23" s="10">
        <f>Tabella211[[#This Row],[Cum_R_fit]]+CIr</f>
        <v>1520.0855106045879</v>
      </c>
      <c r="V23" s="10">
        <f>MAX(Tabella211[[#This Row],[Cum_R_fit]]-CIr,0)</f>
        <v>218.08787269376694</v>
      </c>
      <c r="W23" s="10">
        <f>'dpc-covid19-ita-andamento-naz'!K17</f>
        <v>631</v>
      </c>
      <c r="X23" s="26">
        <f>Tabella211[[#This Row],[Cum_deaths]]-W22</f>
        <v>168</v>
      </c>
      <c r="Y23" s="65">
        <f>Tabella211[[#This Row],[Cum_deaths]]*NOT(ISBLANK(Tabella211[[#This Row],[Cum_deaths]]))</f>
        <v>631</v>
      </c>
      <c r="Z23" s="50">
        <f>kh*t0h*_xlfn.GAMMA.DIST(Tabella211[[#This Row],[Day]]/t0h,wh+1,1,1)*_xlfn.GAMMA(wh+1)</f>
        <v>436.1290315539116</v>
      </c>
      <c r="AA23" s="10">
        <f>kh*((Tabella211[[#This Row],[Day]]/t0h)^wh)*EXP(-(Tabella211[[#This Row],[Day]]/t0h))</f>
        <v>149.10887509269799</v>
      </c>
      <c r="AB23" s="65">
        <f>Tabella211[[#This Row],[Cum_D_fit]]*NOT(ISBLANK(Tabella211[[#This Row],[Cum_deaths]]))</f>
        <v>436.1290315539116</v>
      </c>
      <c r="AC23" s="10">
        <f>Tabella211[[#This Row],[Cum_D_fit]]+CIh</f>
        <v>664.07214402211844</v>
      </c>
      <c r="AD23" s="10">
        <f>MAX(Tabella211[[#This Row],[Cum_D_fit]]-CIh,0)</f>
        <v>208.18591908570477</v>
      </c>
      <c r="AE23" s="1"/>
      <c r="AF23" s="124" t="s">
        <v>2</v>
      </c>
      <c r="AG23" s="125">
        <f>AVERAGE(Tabella211[Cum_recov])</f>
        <v>9596.52</v>
      </c>
      <c r="AT23" s="100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Tabella211[[#This Row],[Cum_confirmed]]*NOT(ISBLANK(Tabella211[[#This Row],[Cum_confirmed]]))</f>
        <v>12462</v>
      </c>
      <c r="G24" s="50">
        <f>k*t0*_xlfn.GAMMA.DIST(Tabella211[[#This Row],[Day]]/t0,w+1,1,1)*_xlfn.GAMMA(w+1)</f>
        <v>12104.921655382574</v>
      </c>
      <c r="H24" s="10">
        <f>k*((Tabella211[[#This Row],[Day]]/t0)^w)*EXP(-(Tabella211[[#This Row],[Day]]/t0))</f>
        <v>2654.6198135266723</v>
      </c>
      <c r="I24" s="56">
        <f>Tabella211[[#This Row],[Cum_fit]]*NOT(ISBLANK(Tabella211[[#This Row],[Cum_confirmed]]))</f>
        <v>12104.921655382574</v>
      </c>
      <c r="J24" s="10">
        <f>Tabella211[[#This Row],[Cum_fit]]+CI</f>
        <v>14675.965281955945</v>
      </c>
      <c r="K24" s="10">
        <f>MAX(Tabella211[[#This Row],[Cum_fit]]-CI,0)</f>
        <v>9533.8780288092021</v>
      </c>
      <c r="L24" s="54">
        <f>'dpc-covid19-ita-andamento-naz'!G18</f>
        <v>10590</v>
      </c>
      <c r="M24" s="54">
        <f>'dpc-covid19-ita-andamento-naz'!H18</f>
        <v>2076</v>
      </c>
      <c r="N24" s="54">
        <f>Tabella211[[#This Row],[New_cases_fit]]-Tabella211[[#This Row],[New_Recovered_fit]]-Tabella211[[#This Row],[New_Deaths_fit]]</f>
        <v>2219.5562219336662</v>
      </c>
      <c r="O24" s="10">
        <f>'dpc-covid19-ita-andamento-naz'!J18</f>
        <v>1045</v>
      </c>
      <c r="P24" s="48">
        <f>Tabella211[[#This Row],[Cum_recov]]-O23</f>
        <v>41</v>
      </c>
      <c r="Q24" s="60">
        <f>Tabella211[[#This Row],[Cum_recov]]*NOT(ISBLANK(Tabella211[[#This Row],[Cum_recov]]))</f>
        <v>1045</v>
      </c>
      <c r="R24" s="50">
        <f>kr*t0r*_xlfn.GAMMA.DIST(Tabella211[[#This Row],[Day]]/t0r,wr+1,1,1)*_xlfn.GAMMA(wr+1)</f>
        <v>1098.1131103877392</v>
      </c>
      <c r="S24" s="10">
        <f>kr*((Tabella211[[#This Row],[Day]]/t0r)^wr)*EXP(-(Tabella211[[#This Row],[Day]]/t0r))</f>
        <v>247.38091450993758</v>
      </c>
      <c r="T24" s="60">
        <f>Tabella211[[#This Row],[Cum_R_fit]]*NOT(ISBLANK(Tabella211[[#This Row],[Cum_recov]]))</f>
        <v>1098.1131103877392</v>
      </c>
      <c r="U24" s="10">
        <f>Tabella211[[#This Row],[Cum_R_fit]]+CIr</f>
        <v>1749.1119293431498</v>
      </c>
      <c r="V24" s="10">
        <f>MAX(Tabella211[[#This Row],[Cum_R_fit]]-CIr,0)</f>
        <v>447.11429143232874</v>
      </c>
      <c r="W24" s="10">
        <f>'dpc-covid19-ita-andamento-naz'!K18</f>
        <v>827</v>
      </c>
      <c r="X24" s="26">
        <f>Tabella211[[#This Row],[Cum_deaths]]-W23</f>
        <v>196</v>
      </c>
      <c r="Y24" s="65">
        <f>Tabella211[[#This Row],[Cum_deaths]]*NOT(ISBLANK(Tabella211[[#This Row],[Cum_deaths]]))</f>
        <v>827</v>
      </c>
      <c r="Z24" s="50">
        <f>kh*t0h*_xlfn.GAMMA.DIST(Tabella211[[#This Row],[Day]]/t0h,wh+1,1,1)*_xlfn.GAMMA(wh+1)</f>
        <v>604.17331952961706</v>
      </c>
      <c r="AA24" s="10">
        <f>kh*((Tabella211[[#This Row],[Day]]/t0h)^wh)*EXP(-(Tabella211[[#This Row],[Day]]/t0h))</f>
        <v>187.68267708306851</v>
      </c>
      <c r="AB24" s="65">
        <f>Tabella211[[#This Row],[Cum_D_fit]]*NOT(ISBLANK(Tabella211[[#This Row],[Cum_deaths]]))</f>
        <v>604.17331952961706</v>
      </c>
      <c r="AC24" s="10">
        <f>Tabella211[[#This Row],[Cum_D_fit]]+CIh</f>
        <v>832.11643199782384</v>
      </c>
      <c r="AD24" s="10">
        <f>MAX(Tabella211[[#This Row],[Cum_D_fit]]-CIh,0)</f>
        <v>376.23020706141023</v>
      </c>
      <c r="AE24" s="1"/>
      <c r="AF24" s="124" t="s">
        <v>3</v>
      </c>
      <c r="AG24" s="125">
        <f>COUNT(Tabella211[Cum_recov])-COUNT(AG20:AG22)</f>
        <v>47</v>
      </c>
      <c r="AT24" s="110"/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Tabella211[[#This Row],[Cum_confirmed]]*NOT(ISBLANK(Tabella211[[#This Row],[Cum_confirmed]]))</f>
        <v>15113</v>
      </c>
      <c r="G25" s="50">
        <f>k*t0*_xlfn.GAMMA.DIST(Tabella211[[#This Row],[Day]]/t0,w+1,1,1)*_xlfn.GAMMA(w+1)</f>
        <v>14927.188236478683</v>
      </c>
      <c r="H25" s="10">
        <f>k*((Tabella211[[#This Row],[Day]]/t0)^w)*EXP(-(Tabella211[[#This Row],[Day]]/t0))</f>
        <v>2989.0424660406079</v>
      </c>
      <c r="I25" s="56">
        <f>Tabella211[[#This Row],[Cum_fit]]*NOT(ISBLANK(Tabella211[[#This Row],[Cum_confirmed]]))</f>
        <v>14927.188236478683</v>
      </c>
      <c r="J25" s="10">
        <f>Tabella211[[#This Row],[Cum_fit]]+CI</f>
        <v>17498.231863052057</v>
      </c>
      <c r="K25" s="10">
        <f>MAX(Tabella211[[#This Row],[Cum_fit]]-CI,0)</f>
        <v>12356.14460990531</v>
      </c>
      <c r="L25" s="54">
        <f>'dpc-covid19-ita-andamento-naz'!G19</f>
        <v>12839</v>
      </c>
      <c r="M25" s="54">
        <f>'dpc-covid19-ita-andamento-naz'!H19</f>
        <v>2249</v>
      </c>
      <c r="N25" s="54">
        <f>Tabella211[[#This Row],[New_cases_fit]]-Tabella211[[#This Row],[New_Recovered_fit]]-Tabella211[[#This Row],[New_Deaths_fit]]</f>
        <v>2472.6695429905812</v>
      </c>
      <c r="O25" s="10">
        <f>'dpc-covid19-ita-andamento-naz'!J19</f>
        <v>1258</v>
      </c>
      <c r="P25" s="48">
        <f>Tabella211[[#This Row],[Cum_recov]]-O24</f>
        <v>213</v>
      </c>
      <c r="Q25" s="60">
        <f>Tabella211[[#This Row],[Cum_recov]]*NOT(ISBLANK(Tabella211[[#This Row],[Cum_recov]]))</f>
        <v>1258</v>
      </c>
      <c r="R25" s="50">
        <f>kr*t0r*_xlfn.GAMMA.DIST(Tabella211[[#This Row],[Day]]/t0r,wr+1,1,1)*_xlfn.GAMMA(wr+1)</f>
        <v>1364.7040336427783</v>
      </c>
      <c r="S25" s="10">
        <f>kr*((Tabella211[[#This Row],[Day]]/t0r)^wr)*EXP(-(Tabella211[[#This Row],[Day]]/t0r))</f>
        <v>286.21409810669695</v>
      </c>
      <c r="T25" s="60">
        <f>Tabella211[[#This Row],[Cum_R_fit]]*NOT(ISBLANK(Tabella211[[#This Row],[Cum_recov]]))</f>
        <v>1364.7040336427783</v>
      </c>
      <c r="U25" s="10">
        <f>Tabella211[[#This Row],[Cum_R_fit]]+CIr</f>
        <v>2015.7028525981887</v>
      </c>
      <c r="V25" s="10">
        <f>MAX(Tabella211[[#This Row],[Cum_R_fit]]-CIr,0)</f>
        <v>713.70521468736786</v>
      </c>
      <c r="W25" s="10">
        <f>'dpc-covid19-ita-andamento-naz'!K19</f>
        <v>1016</v>
      </c>
      <c r="X25" s="26">
        <f>Tabella211[[#This Row],[Cum_deaths]]-W24</f>
        <v>189</v>
      </c>
      <c r="Y25" s="65">
        <f>Tabella211[[#This Row],[Cum_deaths]]*NOT(ISBLANK(Tabella211[[#This Row],[Cum_deaths]]))</f>
        <v>1016</v>
      </c>
      <c r="Z25" s="50">
        <f>kh*t0h*_xlfn.GAMMA.DIST(Tabella211[[#This Row],[Day]]/t0h,wh+1,1,1)*_xlfn.GAMMA(wh+1)</f>
        <v>812.79700408447763</v>
      </c>
      <c r="AA25" s="10">
        <f>kh*((Tabella211[[#This Row],[Day]]/t0h)^wh)*EXP(-(Tabella211[[#This Row],[Day]]/t0h))</f>
        <v>230.15882494332973</v>
      </c>
      <c r="AB25" s="65">
        <f>Tabella211[[#This Row],[Cum_D_fit]]*NOT(ISBLANK(Tabella211[[#This Row],[Cum_deaths]]))</f>
        <v>812.79700408447763</v>
      </c>
      <c r="AC25" s="10">
        <f>Tabella211[[#This Row],[Cum_D_fit]]+CIh</f>
        <v>1040.7401165526844</v>
      </c>
      <c r="AD25" s="10">
        <f>MAX(Tabella211[[#This Row],[Cum_D_fit]]-CIh,0)</f>
        <v>584.85389161627086</v>
      </c>
      <c r="AE25" s="1"/>
      <c r="AF25" s="124" t="s">
        <v>4</v>
      </c>
      <c r="AG25" s="126" cm="1">
        <f t="array" ref="AG25">SQRT(SUM((Tabella211[Colonna3]-Tabella211[Colonna4])^2)/dfr)</f>
        <v>323.59979555636562</v>
      </c>
      <c r="AT25" s="111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Tabella211[[#This Row],[Cum_confirmed]]*NOT(ISBLANK(Tabella211[[#This Row],[Cum_confirmed]]))</f>
        <v>17660</v>
      </c>
      <c r="G26" s="50">
        <f>k*t0*_xlfn.GAMMA.DIST(Tabella211[[#This Row],[Day]]/t0,w+1,1,1)*_xlfn.GAMMA(w+1)</f>
        <v>18080.320674496241</v>
      </c>
      <c r="H26" s="10">
        <f>k*((Tabella211[[#This Row],[Day]]/t0)^w)*EXP(-(Tabella211[[#This Row],[Day]]/t0))</f>
        <v>3315.4263179687323</v>
      </c>
      <c r="I26" s="56">
        <f>Tabella211[[#This Row],[Cum_fit]]*NOT(ISBLANK(Tabella211[[#This Row],[Cum_confirmed]]))</f>
        <v>18080.320674496241</v>
      </c>
      <c r="J26" s="10">
        <f>Tabella211[[#This Row],[Cum_fit]]+CI</f>
        <v>20651.364301069614</v>
      </c>
      <c r="K26" s="10">
        <f>MAX(Tabella211[[#This Row],[Cum_fit]]-CI,0)</f>
        <v>15509.277047922867</v>
      </c>
      <c r="L26" s="54">
        <f>'dpc-covid19-ita-andamento-naz'!G20</f>
        <v>14955</v>
      </c>
      <c r="M26" s="54">
        <f>'dpc-covid19-ita-andamento-naz'!H20</f>
        <v>2116</v>
      </c>
      <c r="N26" s="54">
        <f>Tabella211[[#This Row],[New_cases_fit]]-Tabella211[[#This Row],[New_Recovered_fit]]-Tabella211[[#This Row],[New_Deaths_fit]]</f>
        <v>2712.1841149298198</v>
      </c>
      <c r="O26" s="10">
        <f>'dpc-covid19-ita-andamento-naz'!J20</f>
        <v>1439</v>
      </c>
      <c r="P26" s="48">
        <f>Tabella211[[#This Row],[Cum_recov]]-O25</f>
        <v>181</v>
      </c>
      <c r="Q26" s="60">
        <f>Tabella211[[#This Row],[Cum_recov]]*NOT(ISBLANK(Tabella211[[#This Row],[Cum_recov]]))</f>
        <v>1439</v>
      </c>
      <c r="R26" s="50">
        <f>kr*t0r*_xlfn.GAMMA.DIST(Tabella211[[#This Row],[Day]]/t0r,wr+1,1,1)*_xlfn.GAMMA(wr+1)</f>
        <v>1671.3367963564588</v>
      </c>
      <c r="S26" s="10">
        <f>kr*((Tabella211[[#This Row],[Day]]/t0r)^wr)*EXP(-(Tabella211[[#This Row],[Day]]/t0r))</f>
        <v>327.43325993210323</v>
      </c>
      <c r="T26" s="60">
        <f>Tabella211[[#This Row],[Cum_R_fit]]*NOT(ISBLANK(Tabella211[[#This Row],[Cum_recov]]))</f>
        <v>1671.3367963564588</v>
      </c>
      <c r="U26" s="10">
        <f>Tabella211[[#This Row],[Cum_R_fit]]+CIr</f>
        <v>2322.3356153118693</v>
      </c>
      <c r="V26" s="10">
        <f>MAX(Tabella211[[#This Row],[Cum_R_fit]]-CIr,0)</f>
        <v>1020.3379774010483</v>
      </c>
      <c r="W26" s="10">
        <f>'dpc-covid19-ita-andamento-naz'!K20</f>
        <v>1266</v>
      </c>
      <c r="X26" s="26">
        <f>Tabella211[[#This Row],[Cum_deaths]]-W25</f>
        <v>250</v>
      </c>
      <c r="Y26" s="65">
        <f>Tabella211[[#This Row],[Cum_deaths]]*NOT(ISBLANK(Tabella211[[#This Row],[Cum_deaths]]))</f>
        <v>1266</v>
      </c>
      <c r="Z26" s="50">
        <f>kh*t0h*_xlfn.GAMMA.DIST(Tabella211[[#This Row],[Day]]/t0h,wh+1,1,1)*_xlfn.GAMMA(wh+1)</f>
        <v>1065.5503428413692</v>
      </c>
      <c r="AA26" s="10">
        <f>kh*((Tabella211[[#This Row],[Day]]/t0h)^wh)*EXP(-(Tabella211[[#This Row],[Day]]/t0h))</f>
        <v>275.80894310680929</v>
      </c>
      <c r="AB26" s="65">
        <f>Tabella211[[#This Row],[Cum_D_fit]]*NOT(ISBLANK(Tabella211[[#This Row],[Cum_deaths]]))</f>
        <v>1065.5503428413692</v>
      </c>
      <c r="AC26" s="10">
        <f>Tabella211[[#This Row],[Cum_D_fit]]+CIh</f>
        <v>1293.4934553095761</v>
      </c>
      <c r="AD26" s="10">
        <f>MAX(Tabella211[[#This Row],[Cum_D_fit]]-CIh,0)</f>
        <v>837.60723037316234</v>
      </c>
      <c r="AE26" s="1"/>
      <c r="AF26" s="124" t="s">
        <v>113</v>
      </c>
      <c r="AG26" s="127" cm="1">
        <f t="array" ref="AG26">1-SUM((Tabella211[Colonna3]-Tabella211[Colonna4])^2)/SUM((Tabella211[Colonna3]-Mean_of_yr)^2)</f>
        <v>0.99936085357465376</v>
      </c>
      <c r="AT26" s="111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Tabella211[[#This Row],[Cum_confirmed]]*NOT(ISBLANK(Tabella211[[#This Row],[Cum_confirmed]]))</f>
        <v>21157</v>
      </c>
      <c r="G27" s="50">
        <f>k*t0*_xlfn.GAMMA.DIST(Tabella211[[#This Row],[Day]]/t0,w+1,1,1)*_xlfn.GAMMA(w+1)</f>
        <v>21553.604478829315</v>
      </c>
      <c r="H27" s="10">
        <f>k*((Tabella211[[#This Row],[Day]]/t0)^w)*EXP(-(Tabella211[[#This Row],[Day]]/t0))</f>
        <v>3628.5231184481031</v>
      </c>
      <c r="I27" s="56">
        <f>Tabella211[[#This Row],[Cum_fit]]*NOT(ISBLANK(Tabella211[[#This Row],[Cum_confirmed]]))</f>
        <v>21553.604478829315</v>
      </c>
      <c r="J27" s="10">
        <f>Tabella211[[#This Row],[Cum_fit]]+CI</f>
        <v>24124.648105402688</v>
      </c>
      <c r="K27" s="10">
        <f>MAX(Tabella211[[#This Row],[Cum_fit]]-CI,0)</f>
        <v>18982.560852255941</v>
      </c>
      <c r="L27" s="54">
        <f>'dpc-covid19-ita-andamento-naz'!G21</f>
        <v>17750</v>
      </c>
      <c r="M27" s="54">
        <f>'dpc-covid19-ita-andamento-naz'!H21</f>
        <v>2795</v>
      </c>
      <c r="N27" s="54">
        <f>Tabella211[[#This Row],[New_cases_fit]]-Tabella211[[#This Row],[New_Recovered_fit]]-Tabella211[[#This Row],[New_Deaths_fit]]</f>
        <v>2933.89892080354</v>
      </c>
      <c r="O27" s="10">
        <f>'dpc-covid19-ita-andamento-naz'!J21</f>
        <v>1966</v>
      </c>
      <c r="P27" s="48">
        <f>Tabella211[[#This Row],[Cum_recov]]-O26</f>
        <v>527</v>
      </c>
      <c r="Q27" s="60">
        <f>Tabella211[[#This Row],[Cum_recov]]*NOT(ISBLANK(Tabella211[[#This Row],[Cum_recov]]))</f>
        <v>1966</v>
      </c>
      <c r="R27" s="50">
        <f>kr*t0r*_xlfn.GAMMA.DIST(Tabella211[[#This Row],[Day]]/t0r,wr+1,1,1)*_xlfn.GAMMA(wr+1)</f>
        <v>2020.3010998433842</v>
      </c>
      <c r="S27" s="10">
        <f>kr*((Tabella211[[#This Row],[Day]]/t0r)^wr)*EXP(-(Tabella211[[#This Row],[Day]]/t0r))</f>
        <v>370.84368647282338</v>
      </c>
      <c r="T27" s="60">
        <f>Tabella211[[#This Row],[Cum_R_fit]]*NOT(ISBLANK(Tabella211[[#This Row],[Cum_recov]]))</f>
        <v>2020.3010998433842</v>
      </c>
      <c r="U27" s="10">
        <f>Tabella211[[#This Row],[Cum_R_fit]]+CIr</f>
        <v>2671.2999187987948</v>
      </c>
      <c r="V27" s="10">
        <f>MAX(Tabella211[[#This Row],[Cum_R_fit]]-CIr,0)</f>
        <v>1369.3022808879737</v>
      </c>
      <c r="W27" s="10">
        <f>'dpc-covid19-ita-andamento-naz'!K21</f>
        <v>1441</v>
      </c>
      <c r="X27" s="26">
        <f>Tabella211[[#This Row],[Cum_deaths]]-W26</f>
        <v>175</v>
      </c>
      <c r="Y27" s="65">
        <f>Tabella211[[#This Row],[Cum_deaths]]*NOT(ISBLANK(Tabella211[[#This Row],[Cum_deaths]]))</f>
        <v>1441</v>
      </c>
      <c r="Z27" s="50">
        <f>kh*t0h*_xlfn.GAMMA.DIST(Tabella211[[#This Row],[Day]]/t0h,wh+1,1,1)*_xlfn.GAMMA(wh+1)</f>
        <v>1365.189603904184</v>
      </c>
      <c r="AA27" s="10">
        <f>kh*((Tabella211[[#This Row],[Day]]/t0h)^wh)*EXP(-(Tabella211[[#This Row],[Day]]/t0h))</f>
        <v>323.78051117173976</v>
      </c>
      <c r="AB27" s="65">
        <f>Tabella211[[#This Row],[Cum_D_fit]]*NOT(ISBLANK(Tabella211[[#This Row],[Cum_deaths]]))</f>
        <v>1365.189603904184</v>
      </c>
      <c r="AC27" s="10">
        <f>Tabella211[[#This Row],[Cum_D_fit]]+CIh</f>
        <v>1593.1327163723909</v>
      </c>
      <c r="AD27" s="10">
        <f>MAX(Tabella211[[#This Row],[Cum_D_fit]]-CIh,0)</f>
        <v>1137.2464914359771</v>
      </c>
      <c r="AE27" s="1"/>
      <c r="AF27" s="124" t="s">
        <v>6</v>
      </c>
      <c r="AG27" s="127">
        <f>TINV(0.05,dfr)</f>
        <v>2.0117405137297668</v>
      </c>
      <c r="AT27" s="112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Tabella211[[#This Row],[Cum_confirmed]]*NOT(ISBLANK(Tabella211[[#This Row],[Cum_confirmed]]))</f>
        <v>24747</v>
      </c>
      <c r="G28" s="50">
        <f>k*t0*_xlfn.GAMMA.DIST(Tabella211[[#This Row],[Day]]/t0,w+1,1,1)*_xlfn.GAMMA(w+1)</f>
        <v>25331.400185332339</v>
      </c>
      <c r="H28" s="10">
        <f>k*((Tabella211[[#This Row],[Day]]/t0)^w)*EXP(-(Tabella211[[#This Row],[Day]]/t0))</f>
        <v>3923.7437261026857</v>
      </c>
      <c r="I28" s="56">
        <f>Tabella211[[#This Row],[Cum_fit]]*NOT(ISBLANK(Tabella211[[#This Row],[Cum_confirmed]]))</f>
        <v>25331.400185332339</v>
      </c>
      <c r="J28" s="10">
        <f>Tabella211[[#This Row],[Cum_fit]]+CI</f>
        <v>27902.443811905712</v>
      </c>
      <c r="K28" s="10">
        <f>MAX(Tabella211[[#This Row],[Cum_fit]]-CI,0)</f>
        <v>22760.356558758966</v>
      </c>
      <c r="L28" s="54">
        <f>'dpc-covid19-ita-andamento-naz'!G22</f>
        <v>20603</v>
      </c>
      <c r="M28" s="54">
        <f>'dpc-covid19-ita-andamento-naz'!H22</f>
        <v>2853</v>
      </c>
      <c r="N28" s="54">
        <f>Tabella211[[#This Row],[New_cases_fit]]-Tabella211[[#This Row],[New_Recovered_fit]]-Tabella211[[#This Row],[New_Deaths_fit]]</f>
        <v>3134.3640758745778</v>
      </c>
      <c r="O28" s="10">
        <f>'dpc-covid19-ita-andamento-naz'!J22</f>
        <v>2335</v>
      </c>
      <c r="P28" s="48">
        <f>Tabella211[[#This Row],[Cum_recov]]-O27</f>
        <v>369</v>
      </c>
      <c r="Q28" s="60">
        <f>Tabella211[[#This Row],[Cum_recov]]*NOT(ISBLANK(Tabella211[[#This Row],[Cum_recov]]))</f>
        <v>2335</v>
      </c>
      <c r="R28" s="50">
        <f>kr*t0r*_xlfn.GAMMA.DIST(Tabella211[[#This Row],[Day]]/t0r,wr+1,1,1)*_xlfn.GAMMA(wr+1)</f>
        <v>2413.6860197157239</v>
      </c>
      <c r="S28" s="10">
        <f>kr*((Tabella211[[#This Row],[Day]]/t0r)^wr)*EXP(-(Tabella211[[#This Row],[Day]]/t0r))</f>
        <v>416.239395550734</v>
      </c>
      <c r="T28" s="60">
        <f>Tabella211[[#This Row],[Cum_R_fit]]*NOT(ISBLANK(Tabella211[[#This Row],[Cum_recov]]))</f>
        <v>2413.6860197157239</v>
      </c>
      <c r="U28" s="10">
        <f>Tabella211[[#This Row],[Cum_R_fit]]+CIr</f>
        <v>3064.6848386711345</v>
      </c>
      <c r="V28" s="10">
        <f>MAX(Tabella211[[#This Row],[Cum_R_fit]]-CIr,0)</f>
        <v>1762.6872007603133</v>
      </c>
      <c r="W28" s="10">
        <f>'dpc-covid19-ita-andamento-naz'!K22</f>
        <v>1809</v>
      </c>
      <c r="X28" s="26">
        <f>Tabella211[[#This Row],[Cum_deaths]]-W27</f>
        <v>368</v>
      </c>
      <c r="Y28" s="65">
        <f>Tabella211[[#This Row],[Cum_deaths]]*NOT(ISBLANK(Tabella211[[#This Row],[Cum_deaths]]))</f>
        <v>1809</v>
      </c>
      <c r="Z28" s="50">
        <f>kh*t0h*_xlfn.GAMMA.DIST(Tabella211[[#This Row],[Day]]/t0h,wh+1,1,1)*_xlfn.GAMMA(wh+1)</f>
        <v>1713.574503183816</v>
      </c>
      <c r="AA28" s="10">
        <f>kh*((Tabella211[[#This Row],[Day]]/t0h)^wh)*EXP(-(Tabella211[[#This Row],[Day]]/t0h))</f>
        <v>373.14025467737366</v>
      </c>
      <c r="AB28" s="65">
        <f>Tabella211[[#This Row],[Cum_D_fit]]*NOT(ISBLANK(Tabella211[[#This Row],[Cum_deaths]]))</f>
        <v>1713.574503183816</v>
      </c>
      <c r="AC28" s="10">
        <f>Tabella211[[#This Row],[Cum_D_fit]]+CIh</f>
        <v>1941.5176156520229</v>
      </c>
      <c r="AD28" s="10">
        <f>MAX(Tabella211[[#This Row],[Cum_D_fit]]-CIh,0)</f>
        <v>1485.6313907156091</v>
      </c>
      <c r="AE28" s="1"/>
      <c r="AF28" s="124" t="s">
        <v>7</v>
      </c>
      <c r="AG28" s="125">
        <f>Critical_tr*SE_of_yr</f>
        <v>650.99881895541046</v>
      </c>
      <c r="AT28" s="87">
        <f>MAX($AG$38)</f>
        <v>0.99982322112815314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Tabella211[[#This Row],[Cum_confirmed]]*NOT(ISBLANK(Tabella211[[#This Row],[Cum_confirmed]]))</f>
        <v>27980</v>
      </c>
      <c r="G29" s="50">
        <f>k*t0*_xlfn.GAMMA.DIST(Tabella211[[#This Row],[Day]]/t0,w+1,1,1)*_xlfn.GAMMA(w+1)</f>
        <v>29393.833754034298</v>
      </c>
      <c r="H29" s="10">
        <f>k*((Tabella211[[#This Row],[Day]]/t0)^w)*EXP(-(Tabella211[[#This Row],[Day]]/t0))</f>
        <v>4197.2145102232498</v>
      </c>
      <c r="I29" s="56">
        <f>Tabella211[[#This Row],[Cum_fit]]*NOT(ISBLANK(Tabella211[[#This Row],[Cum_confirmed]]))</f>
        <v>29393.833754034298</v>
      </c>
      <c r="J29" s="10">
        <f>Tabella211[[#This Row],[Cum_fit]]+CI</f>
        <v>31964.877380607672</v>
      </c>
      <c r="K29" s="10">
        <f>MAX(Tabella211[[#This Row],[Cum_fit]]-CI,0)</f>
        <v>26822.790127460925</v>
      </c>
      <c r="L29" s="54">
        <f>'dpc-covid19-ita-andamento-naz'!G23</f>
        <v>23073</v>
      </c>
      <c r="M29" s="54">
        <f>'dpc-covid19-ita-andamento-naz'!H23</f>
        <v>2470</v>
      </c>
      <c r="N29" s="54">
        <f>Tabella211[[#This Row],[New_cases_fit]]-Tabella211[[#This Row],[New_Recovered_fit]]-Tabella211[[#This Row],[New_Deaths_fit]]</f>
        <v>3310.8907934273552</v>
      </c>
      <c r="O29" s="10">
        <f>'dpc-covid19-ita-andamento-naz'!J23</f>
        <v>2749</v>
      </c>
      <c r="P29" s="48">
        <f>Tabella211[[#This Row],[Cum_recov]]-O28</f>
        <v>414</v>
      </c>
      <c r="Q29" s="60">
        <f>Tabella211[[#This Row],[Cum_recov]]*NOT(ISBLANK(Tabella211[[#This Row],[Cum_recov]]))</f>
        <v>2749</v>
      </c>
      <c r="R29" s="50">
        <f>kr*t0r*_xlfn.GAMMA.DIST(Tabella211[[#This Row],[Day]]/t0r,wr+1,1,1)*_xlfn.GAMMA(wr+1)</f>
        <v>2853.3703492043487</v>
      </c>
      <c r="S29" s="10">
        <f>kr*((Tabella211[[#This Row],[Day]]/t0r)^wr)*EXP(-(Tabella211[[#This Row],[Day]]/t0r))</f>
        <v>463.40630557052936</v>
      </c>
      <c r="T29" s="60">
        <f>Tabella211[[#This Row],[Cum_R_fit]]*NOT(ISBLANK(Tabella211[[#This Row],[Cum_recov]]))</f>
        <v>2853.3703492043487</v>
      </c>
      <c r="U29" s="10">
        <f>Tabella211[[#This Row],[Cum_R_fit]]+CIr</f>
        <v>3504.3691681597593</v>
      </c>
      <c r="V29" s="10">
        <f>MAX(Tabella211[[#This Row],[Cum_R_fit]]-CIr,0)</f>
        <v>2202.3715302489381</v>
      </c>
      <c r="W29" s="10">
        <f>'dpc-covid19-ita-andamento-naz'!K23</f>
        <v>2158</v>
      </c>
      <c r="X29" s="26">
        <f>Tabella211[[#This Row],[Cum_deaths]]-W28</f>
        <v>349</v>
      </c>
      <c r="Y29" s="65">
        <f>Tabella211[[#This Row],[Cum_deaths]]*NOT(ISBLANK(Tabella211[[#This Row],[Cum_deaths]]))</f>
        <v>2158</v>
      </c>
      <c r="Z29" s="50">
        <f>kh*t0h*_xlfn.GAMMA.DIST(Tabella211[[#This Row],[Day]]/t0h,wh+1,1,1)*_xlfn.GAMMA(wh+1)</f>
        <v>2111.6092103268288</v>
      </c>
      <c r="AA29" s="10">
        <f>kh*((Tabella211[[#This Row],[Day]]/t0h)^wh)*EXP(-(Tabella211[[#This Row],[Day]]/t0h))</f>
        <v>422.91741122536547</v>
      </c>
      <c r="AB29" s="65">
        <f>Tabella211[[#This Row],[Cum_D_fit]]*NOT(ISBLANK(Tabella211[[#This Row],[Cum_deaths]]))</f>
        <v>2111.6092103268288</v>
      </c>
      <c r="AC29" s="10">
        <f>Tabella211[[#This Row],[Cum_D_fit]]+CIh</f>
        <v>2339.5523227950357</v>
      </c>
      <c r="AD29" s="10">
        <f>MAX(Tabella211[[#This Row],[Cum_D_fit]]-CIh,0)</f>
        <v>1883.6660978586219</v>
      </c>
      <c r="AE29" s="1"/>
      <c r="AF29" s="93" t="s">
        <v>99</v>
      </c>
      <c r="AG29" s="125">
        <f>kr*t0r*_xlfn.GAMMA(wr+1)</f>
        <v>173224.71382270989</v>
      </c>
      <c r="AT29" s="88">
        <f>COUNT($AG$32,$AG$33,$AG$34)</f>
        <v>3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Tabella211[[#This Row],[Cum_confirmed]]*NOT(ISBLANK(Tabella211[[#This Row],[Cum_confirmed]]))</f>
        <v>31506</v>
      </c>
      <c r="G30" s="50">
        <f>k*t0*_xlfn.GAMMA.DIST(Tabella211[[#This Row],[Day]]/t0,w+1,1,1)*_xlfn.GAMMA(w+1)</f>
        <v>33717.525855455606</v>
      </c>
      <c r="H30" s="10">
        <f>k*((Tabella211[[#This Row],[Day]]/t0)^w)*EXP(-(Tabella211[[#This Row],[Day]]/t0))</f>
        <v>4445.7997426347474</v>
      </c>
      <c r="I30" s="56">
        <f>Tabella211[[#This Row],[Cum_fit]]*NOT(ISBLANK(Tabella211[[#This Row],[Cum_confirmed]]))</f>
        <v>33717.525855455606</v>
      </c>
      <c r="J30" s="10">
        <f>Tabella211[[#This Row],[Cum_fit]]+CI</f>
        <v>36288.569482028979</v>
      </c>
      <c r="K30" s="10">
        <f>MAX(Tabella211[[#This Row],[Cum_fit]]-CI,0)</f>
        <v>31146.482228882232</v>
      </c>
      <c r="L30" s="54">
        <f>'dpc-covid19-ita-andamento-naz'!G24</f>
        <v>26062</v>
      </c>
      <c r="M30" s="54">
        <f>'dpc-covid19-ita-andamento-naz'!H24</f>
        <v>2989</v>
      </c>
      <c r="N30" s="54">
        <f>Tabella211[[#This Row],[New_cases_fit]]-Tabella211[[#This Row],[New_Recovered_fit]]-Tabella211[[#This Row],[New_Deaths_fit]]</f>
        <v>3461.53034058609</v>
      </c>
      <c r="O30" s="10">
        <f>'dpc-covid19-ita-andamento-naz'!J24</f>
        <v>2941</v>
      </c>
      <c r="P30" s="48">
        <f>Tabella211[[#This Row],[Cum_recov]]-O29</f>
        <v>192</v>
      </c>
      <c r="Q30" s="60">
        <f>Tabella211[[#This Row],[Cum_recov]]*NOT(ISBLANK(Tabella211[[#This Row],[Cum_recov]]))</f>
        <v>2941</v>
      </c>
      <c r="R30" s="50">
        <f>kr*t0r*_xlfn.GAMMA.DIST(Tabella211[[#This Row],[Day]]/t0r,wr+1,1,1)*_xlfn.GAMMA(wr+1)</f>
        <v>3341.0159498440453</v>
      </c>
      <c r="S30" s="10">
        <f>kr*((Tabella211[[#This Row],[Day]]/t0r)^wr)*EXP(-(Tabella211[[#This Row],[Day]]/t0r))</f>
        <v>512.12508337431257</v>
      </c>
      <c r="T30" s="60">
        <f>Tabella211[[#This Row],[Cum_R_fit]]*NOT(ISBLANK(Tabella211[[#This Row],[Cum_recov]]))</f>
        <v>3341.0159498440453</v>
      </c>
      <c r="U30" s="10">
        <f>Tabella211[[#This Row],[Cum_R_fit]]+CIr</f>
        <v>3992.0147687994559</v>
      </c>
      <c r="V30" s="10">
        <f>MAX(Tabella211[[#This Row],[Cum_R_fit]]-CIr,0)</f>
        <v>2690.0171308886347</v>
      </c>
      <c r="W30" s="10">
        <f>'dpc-covid19-ita-andamento-naz'!K24</f>
        <v>2503</v>
      </c>
      <c r="X30" s="26">
        <f>Tabella211[[#This Row],[Cum_deaths]]-W29</f>
        <v>345</v>
      </c>
      <c r="Y30" s="65">
        <f>Tabella211[[#This Row],[Cum_deaths]]*NOT(ISBLANK(Tabella211[[#This Row],[Cum_deaths]]))</f>
        <v>2503</v>
      </c>
      <c r="Z30" s="50">
        <f>kh*t0h*_xlfn.GAMMA.DIST(Tabella211[[#This Row],[Day]]/t0h,wh+1,1,1)*_xlfn.GAMMA(wh+1)</f>
        <v>2559.225466730119</v>
      </c>
      <c r="AA30" s="10">
        <f>kh*((Tabella211[[#This Row],[Day]]/t0h)^wh)*EXP(-(Tabella211[[#This Row],[Day]]/t0h))</f>
        <v>472.14431867434485</v>
      </c>
      <c r="AB30" s="65">
        <f>Tabella211[[#This Row],[Cum_D_fit]]*NOT(ISBLANK(Tabella211[[#This Row],[Cum_deaths]]))</f>
        <v>2559.225466730119</v>
      </c>
      <c r="AC30" s="10">
        <f>Tabella211[[#This Row],[Cum_D_fit]]+CIh</f>
        <v>2787.1685791983259</v>
      </c>
      <c r="AD30" s="10">
        <f>MAX(Tabella211[[#This Row],[Cum_D_fit]]-CIh,0)</f>
        <v>2331.2823542619121</v>
      </c>
      <c r="AE30" s="1"/>
      <c r="AF30" s="93"/>
      <c r="AG30" s="94"/>
      <c r="AT30" s="88">
        <f>{32767;32767;0.000001;0;FALSE;FALSE;TRUE;1;1;1;0.0001;TRUE}</f>
        <v>32767</v>
      </c>
    </row>
    <row r="31" spans="2:46" ht="14.4" customHeight="1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Tabella211[[#This Row],[Cum_confirmed]]*NOT(ISBLANK(Tabella211[[#This Row],[Cum_confirmed]]))</f>
        <v>35713</v>
      </c>
      <c r="G31" s="50">
        <f>k*t0*_xlfn.GAMMA.DIST(Tabella211[[#This Row],[Day]]/t0,w+1,1,1)*_xlfn.GAMMA(w+1)</f>
        <v>38276.329078842056</v>
      </c>
      <c r="H31" s="10">
        <f>k*((Tabella211[[#This Row],[Day]]/t0)^w)*EXP(-(Tabella211[[#This Row],[Day]]/t0))</f>
        <v>4667.096049636838</v>
      </c>
      <c r="I31" s="56">
        <f>Tabella211[[#This Row],[Cum_fit]]*NOT(ISBLANK(Tabella211[[#This Row],[Cum_confirmed]]))</f>
        <v>38276.329078842056</v>
      </c>
      <c r="J31" s="10">
        <f>Tabella211[[#This Row],[Cum_fit]]+CI</f>
        <v>40847.37270541543</v>
      </c>
      <c r="K31" s="10">
        <f>MAX(Tabella211[[#This Row],[Cum_fit]]-CI,0)</f>
        <v>35705.285452268683</v>
      </c>
      <c r="L31" s="54">
        <f>'dpc-covid19-ita-andamento-naz'!G25</f>
        <v>28710</v>
      </c>
      <c r="M31" s="54">
        <f>'dpc-covid19-ita-andamento-naz'!H25</f>
        <v>2648</v>
      </c>
      <c r="N31" s="54">
        <f>Tabella211[[#This Row],[New_cases_fit]]-Tabella211[[#This Row],[New_Recovered_fit]]-Tabella211[[#This Row],[New_Deaths_fit]]</f>
        <v>3585.0299207947328</v>
      </c>
      <c r="O31" s="10">
        <f>'dpc-covid19-ita-andamento-naz'!J25</f>
        <v>4025</v>
      </c>
      <c r="P31" s="48">
        <f>Tabella211[[#This Row],[Cum_recov]]-O30</f>
        <v>1084</v>
      </c>
      <c r="Q31" s="60">
        <f>Tabella211[[#This Row],[Cum_recov]]*NOT(ISBLANK(Tabella211[[#This Row],[Cum_recov]]))</f>
        <v>4025</v>
      </c>
      <c r="R31" s="50">
        <f>kr*t0r*_xlfn.GAMMA.DIST(Tabella211[[#This Row],[Day]]/t0r,wr+1,1,1)*_xlfn.GAMMA(wr+1)</f>
        <v>3878.0637956262854</v>
      </c>
      <c r="S31" s="10">
        <f>kr*((Tabella211[[#This Row],[Day]]/t0r)^wr)*EXP(-(Tabella211[[#This Row],[Day]]/t0r))</f>
        <v>562.17368603937575</v>
      </c>
      <c r="T31" s="60">
        <f>Tabella211[[#This Row],[Cum_R_fit]]*NOT(ISBLANK(Tabella211[[#This Row],[Cum_recov]]))</f>
        <v>3878.0637956262854</v>
      </c>
      <c r="U31" s="10">
        <f>Tabella211[[#This Row],[Cum_R_fit]]+CIr</f>
        <v>4529.0626145816959</v>
      </c>
      <c r="V31" s="10">
        <f>MAX(Tabella211[[#This Row],[Cum_R_fit]]-CIr,0)</f>
        <v>3227.0649766708748</v>
      </c>
      <c r="W31" s="10">
        <f>'dpc-covid19-ita-andamento-naz'!K25</f>
        <v>2978</v>
      </c>
      <c r="X31" s="26">
        <f>Tabella211[[#This Row],[Cum_deaths]]-W30</f>
        <v>475</v>
      </c>
      <c r="Y31" s="65">
        <f>Tabella211[[#This Row],[Cum_deaths]]*NOT(ISBLANK(Tabella211[[#This Row],[Cum_deaths]]))</f>
        <v>2978</v>
      </c>
      <c r="Z31" s="50">
        <f>kh*t0h*_xlfn.GAMMA.DIST(Tabella211[[#This Row],[Day]]/t0h,wh+1,1,1)*_xlfn.GAMMA(wh+1)</f>
        <v>3055.4041405950684</v>
      </c>
      <c r="AA31" s="10">
        <f>kh*((Tabella211[[#This Row],[Day]]/t0h)^wh)*EXP(-(Tabella211[[#This Row],[Day]]/t0h))</f>
        <v>519.89244280272931</v>
      </c>
      <c r="AB31" s="65">
        <f>Tabella211[[#This Row],[Cum_D_fit]]*NOT(ISBLANK(Tabella211[[#This Row],[Cum_deaths]]))</f>
        <v>3055.4041405950684</v>
      </c>
      <c r="AC31" s="10">
        <f>Tabella211[[#This Row],[Cum_D_fit]]+CIh</f>
        <v>3283.3472530632753</v>
      </c>
      <c r="AD31" s="10">
        <f>MAX(Tabella211[[#This Row],[Cum_D_fit]]-CIh,0)</f>
        <v>2827.4610281268615</v>
      </c>
      <c r="AE31" s="1"/>
      <c r="AF31" s="23" t="s">
        <v>53</v>
      </c>
      <c r="AG31" s="69" t="s">
        <v>55</v>
      </c>
      <c r="AT31" s="88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Tabella211[[#This Row],[Cum_confirmed]]*NOT(ISBLANK(Tabella211[[#This Row],[Cum_confirmed]]))</f>
        <v>41035</v>
      </c>
      <c r="G32" s="50">
        <f>k*t0*_xlfn.GAMMA.DIST(Tabella211[[#This Row],[Day]]/t0,w+1,1,1)*_xlfn.GAMMA(w+1)</f>
        <v>43042.048068744916</v>
      </c>
      <c r="H32" s="10">
        <f>k*((Tabella211[[#This Row],[Day]]/t0)^w)*EXP(-(Tabella211[[#This Row],[Day]]/t0))</f>
        <v>4859.404756100399</v>
      </c>
      <c r="I32" s="56">
        <f>Tabella211[[#This Row],[Cum_fit]]*NOT(ISBLANK(Tabella211[[#This Row],[Cum_confirmed]]))</f>
        <v>43042.048068744916</v>
      </c>
      <c r="J32" s="10">
        <f>Tabella211[[#This Row],[Cum_fit]]+CI</f>
        <v>45613.09169531829</v>
      </c>
      <c r="K32" s="10">
        <f>MAX(Tabella211[[#This Row],[Cum_fit]]-CI,0)</f>
        <v>40471.004442171543</v>
      </c>
      <c r="L32" s="54">
        <f>'dpc-covid19-ita-andamento-naz'!G26</f>
        <v>33190</v>
      </c>
      <c r="M32" s="54">
        <f>'dpc-covid19-ita-andamento-naz'!H26</f>
        <v>4480</v>
      </c>
      <c r="N32" s="54">
        <f>Tabella211[[#This Row],[New_cases_fit]]-Tabella211[[#This Row],[New_Recovered_fit]]-Tabella211[[#This Row],[New_Deaths_fit]]</f>
        <v>3680.7725317377794</v>
      </c>
      <c r="O32" s="10">
        <f>'dpc-covid19-ita-andamento-naz'!J26</f>
        <v>4440</v>
      </c>
      <c r="P32" s="48">
        <f>Tabella211[[#This Row],[Cum_recov]]-O31</f>
        <v>415</v>
      </c>
      <c r="Q32" s="60">
        <f>Tabella211[[#This Row],[Cum_recov]]*NOT(ISBLANK(Tabella211[[#This Row],[Cum_recov]]))</f>
        <v>4440</v>
      </c>
      <c r="R32" s="50">
        <f>kr*t0r*_xlfn.GAMMA.DIST(Tabella211[[#This Row],[Day]]/t0r,wr+1,1,1)*_xlfn.GAMMA(wr+1)</f>
        <v>4465.732412945973</v>
      </c>
      <c r="S32" s="10">
        <f>kr*((Tabella211[[#This Row],[Day]]/t0r)^wr)*EXP(-(Tabella211[[#This Row],[Day]]/t0r))</f>
        <v>613.3296135938059</v>
      </c>
      <c r="T32" s="60">
        <f>Tabella211[[#This Row],[Cum_R_fit]]*NOT(ISBLANK(Tabella211[[#This Row],[Cum_recov]]))</f>
        <v>4465.732412945973</v>
      </c>
      <c r="U32" s="10">
        <f>Tabella211[[#This Row],[Cum_R_fit]]+CIr</f>
        <v>5116.7312319013836</v>
      </c>
      <c r="V32" s="10">
        <f>MAX(Tabella211[[#This Row],[Cum_R_fit]]-CIr,0)</f>
        <v>3814.7335939905624</v>
      </c>
      <c r="W32" s="10">
        <f>'dpc-covid19-ita-andamento-naz'!K26</f>
        <v>3405</v>
      </c>
      <c r="X32" s="26">
        <f>Tabella211[[#This Row],[Cum_deaths]]-W31</f>
        <v>427</v>
      </c>
      <c r="Y32" s="65">
        <f>Tabella211[[#This Row],[Cum_deaths]]*NOT(ISBLANK(Tabella211[[#This Row],[Cum_deaths]]))</f>
        <v>3405</v>
      </c>
      <c r="Z32" s="50">
        <f>kh*t0h*_xlfn.GAMMA.DIST(Tabella211[[#This Row],[Day]]/t0h,wh+1,1,1)*_xlfn.GAMMA(wh+1)</f>
        <v>3598.2299898000206</v>
      </c>
      <c r="AA32" s="10">
        <f>kh*((Tabella211[[#This Row],[Day]]/t0h)^wh)*EXP(-(Tabella211[[#This Row],[Day]]/t0h))</f>
        <v>565.30261076881345</v>
      </c>
      <c r="AB32" s="65">
        <f>Tabella211[[#This Row],[Cum_D_fit]]*NOT(ISBLANK(Tabella211[[#This Row],[Cum_deaths]]))</f>
        <v>3598.2299898000206</v>
      </c>
      <c r="AC32" s="10">
        <f>Tabella211[[#This Row],[Cum_D_fit]]+CIh</f>
        <v>3826.1731022682275</v>
      </c>
      <c r="AD32" s="10">
        <f>MAX(Tabella211[[#This Row],[Cum_D_fit]]-CIh,0)</f>
        <v>3370.2868773318137</v>
      </c>
      <c r="AE32" s="1"/>
      <c r="AF32" s="70" t="s">
        <v>105</v>
      </c>
      <c r="AG32" s="71">
        <v>2.0075885154267463</v>
      </c>
      <c r="AT32" s="88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Tabella211[[#This Row],[Cum_confirmed]]*NOT(ISBLANK(Tabella211[[#This Row],[Cum_confirmed]]))</f>
        <v>47021</v>
      </c>
      <c r="G33" s="50">
        <f>k*t0*_xlfn.GAMMA.DIST(Tabella211[[#This Row],[Day]]/t0,w+1,1,1)*_xlfn.GAMMA(w+1)</f>
        <v>47985.123215984298</v>
      </c>
      <c r="H33" s="10">
        <f>k*((Tabella211[[#This Row],[Day]]/t0)^w)*EXP(-(Tabella211[[#This Row],[Day]]/t0))</f>
        <v>5021.6875012318742</v>
      </c>
      <c r="I33" s="56">
        <f>Tabella211[[#This Row],[Cum_fit]]*NOT(ISBLANK(Tabella211[[#This Row],[Cum_confirmed]]))</f>
        <v>47985.123215984298</v>
      </c>
      <c r="J33" s="10">
        <f>Tabella211[[#This Row],[Cum_fit]]+CI</f>
        <v>50556.166842557672</v>
      </c>
      <c r="K33" s="10">
        <f>MAX(Tabella211[[#This Row],[Cum_fit]]-CI,0)</f>
        <v>45414.079589410925</v>
      </c>
      <c r="L33" s="54">
        <f>'dpc-covid19-ita-andamento-naz'!G27</f>
        <v>37860</v>
      </c>
      <c r="M33" s="54">
        <f>'dpc-covid19-ita-andamento-naz'!H27</f>
        <v>4670</v>
      </c>
      <c r="N33" s="54">
        <f>Tabella211[[#This Row],[New_cases_fit]]-Tabella211[[#This Row],[New_Recovered_fit]]-Tabella211[[#This Row],[New_Deaths_fit]]</f>
        <v>3748.7068108306012</v>
      </c>
      <c r="O33" s="10">
        <f>'dpc-covid19-ita-andamento-naz'!J27</f>
        <v>5129</v>
      </c>
      <c r="P33" s="48">
        <f>Tabella211[[#This Row],[Cum_recov]]-O32</f>
        <v>689</v>
      </c>
      <c r="Q33" s="60">
        <f>Tabella211[[#This Row],[Cum_recov]]*NOT(ISBLANK(Tabella211[[#This Row],[Cum_recov]]))</f>
        <v>5129</v>
      </c>
      <c r="R33" s="50">
        <f>kr*t0r*_xlfn.GAMMA.DIST(Tabella211[[#This Row],[Day]]/t0r,wr+1,1,1)*_xlfn.GAMMA(wr+1)</f>
        <v>5105.0184361609572</v>
      </c>
      <c r="S33" s="10">
        <f>kr*((Tabella211[[#This Row],[Day]]/t0r)^wr)*EXP(-(Tabella211[[#This Row],[Day]]/t0r))</f>
        <v>665.37189055928604</v>
      </c>
      <c r="T33" s="60">
        <f>Tabella211[[#This Row],[Cum_R_fit]]*NOT(ISBLANK(Tabella211[[#This Row],[Cum_recov]]))</f>
        <v>5105.0184361609572</v>
      </c>
      <c r="U33" s="10">
        <f>Tabella211[[#This Row],[Cum_R_fit]]+CIr</f>
        <v>5756.0172551163678</v>
      </c>
      <c r="V33" s="10">
        <f>MAX(Tabella211[[#This Row],[Cum_R_fit]]-CIr,0)</f>
        <v>4454.0196172055466</v>
      </c>
      <c r="W33" s="10">
        <f>'dpc-covid19-ita-andamento-naz'!K27</f>
        <v>4032</v>
      </c>
      <c r="X33" s="26">
        <f>Tabella211[[#This Row],[Cum_deaths]]-W32</f>
        <v>627</v>
      </c>
      <c r="Y33" s="65">
        <f>Tabella211[[#This Row],[Cum_deaths]]*NOT(ISBLANK(Tabella211[[#This Row],[Cum_deaths]]))</f>
        <v>4032</v>
      </c>
      <c r="Z33" s="50">
        <f>kh*t0h*_xlfn.GAMMA.DIST(Tabella211[[#This Row],[Day]]/t0h,wh+1,1,1)*_xlfn.GAMMA(wh+1)</f>
        <v>4184.973468064336</v>
      </c>
      <c r="AA33" s="10">
        <f>kh*((Tabella211[[#This Row],[Day]]/t0h)^wh)*EXP(-(Tabella211[[#This Row],[Day]]/t0h))</f>
        <v>607.60879984198721</v>
      </c>
      <c r="AB33" s="65">
        <f>Tabella211[[#This Row],[Cum_D_fit]]*NOT(ISBLANK(Tabella211[[#This Row],[Cum_deaths]]))</f>
        <v>4184.973468064336</v>
      </c>
      <c r="AC33" s="10">
        <f>Tabella211[[#This Row],[Cum_D_fit]]+CIh</f>
        <v>4412.9165805325429</v>
      </c>
      <c r="AD33" s="10">
        <f>MAX(Tabella211[[#This Row],[Cum_D_fit]]-CIh,0)</f>
        <v>3957.0303555961291</v>
      </c>
      <c r="AE33" s="1"/>
      <c r="AF33" s="70" t="s">
        <v>86</v>
      </c>
      <c r="AG33" s="71">
        <v>5.0093968449710848</v>
      </c>
      <c r="AT33" s="89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Tabella211[[#This Row],[Cum_confirmed]]*NOT(ISBLANK(Tabella211[[#This Row],[Cum_confirmed]]))</f>
        <v>53578</v>
      </c>
      <c r="G34" s="50">
        <f>k*t0*_xlfn.GAMMA.DIST(Tabella211[[#This Row],[Day]]/t0,w+1,1,1)*_xlfn.GAMMA(w+1)</f>
        <v>53075.263626824664</v>
      </c>
      <c r="H34" s="10">
        <f>k*((Tabella211[[#This Row],[Day]]/t0)^w)*EXP(-(Tabella211[[#This Row],[Day]]/t0))</f>
        <v>5153.5099273076185</v>
      </c>
      <c r="I34" s="56">
        <f>Tabella211[[#This Row],[Cum_fit]]*NOT(ISBLANK(Tabella211[[#This Row],[Cum_confirmed]]))</f>
        <v>53075.263626824664</v>
      </c>
      <c r="J34" s="10">
        <f>Tabella211[[#This Row],[Cum_fit]]+CI</f>
        <v>55646.307253398038</v>
      </c>
      <c r="K34" s="10">
        <f>MAX(Tabella211[[#This Row],[Cum_fit]]-CI,0)</f>
        <v>50504.220000251291</v>
      </c>
      <c r="L34" s="54">
        <f>'dpc-covid19-ita-andamento-naz'!G28</f>
        <v>42681</v>
      </c>
      <c r="M34" s="54">
        <f>'dpc-covid19-ita-andamento-naz'!H28</f>
        <v>4821</v>
      </c>
      <c r="N34" s="54">
        <f>Tabella211[[#This Row],[New_cases_fit]]-Tabella211[[#This Row],[New_Recovered_fit]]-Tabella211[[#This Row],[New_Deaths_fit]]</f>
        <v>3789.2718097624202</v>
      </c>
      <c r="O34" s="10">
        <f>'dpc-covid19-ita-andamento-naz'!J28</f>
        <v>6072</v>
      </c>
      <c r="P34" s="48">
        <f>Tabella211[[#This Row],[Cum_recov]]-O33</f>
        <v>943</v>
      </c>
      <c r="Q34" s="60">
        <f>Tabella211[[#This Row],[Cum_recov]]*NOT(ISBLANK(Tabella211[[#This Row],[Cum_recov]]))</f>
        <v>6072</v>
      </c>
      <c r="R34" s="50">
        <f>kr*t0r*_xlfn.GAMMA.DIST(Tabella211[[#This Row],[Day]]/t0r,wr+1,1,1)*_xlfn.GAMMA(wr+1)</f>
        <v>5796.699016735196</v>
      </c>
      <c r="S34" s="10">
        <f>kr*((Tabella211[[#This Row],[Day]]/t0r)^wr)*EXP(-(Tabella211[[#This Row],[Day]]/t0r))</f>
        <v>718.08279464060502</v>
      </c>
      <c r="T34" s="60">
        <f>Tabella211[[#This Row],[Cum_R_fit]]*NOT(ISBLANK(Tabella211[[#This Row],[Cum_recov]]))</f>
        <v>5796.699016735196</v>
      </c>
      <c r="U34" s="10">
        <f>Tabella211[[#This Row],[Cum_R_fit]]+CIr</f>
        <v>6447.6978356906066</v>
      </c>
      <c r="V34" s="10">
        <f>MAX(Tabella211[[#This Row],[Cum_R_fit]]-CIr,0)</f>
        <v>5145.7001977797854</v>
      </c>
      <c r="W34" s="10">
        <f>'dpc-covid19-ita-andamento-naz'!K28</f>
        <v>4825</v>
      </c>
      <c r="X34" s="26">
        <f>Tabella211[[#This Row],[Cum_deaths]]-W33</f>
        <v>793</v>
      </c>
      <c r="Y34" s="65">
        <f>Tabella211[[#This Row],[Cum_deaths]]*NOT(ISBLANK(Tabella211[[#This Row],[Cum_deaths]]))</f>
        <v>4825</v>
      </c>
      <c r="Z34" s="50">
        <f>kh*t0h*_xlfn.GAMMA.DIST(Tabella211[[#This Row],[Day]]/t0h,wh+1,1,1)*_xlfn.GAMMA(wh+1)</f>
        <v>4812.1930135948587</v>
      </c>
      <c r="AA34" s="10">
        <f>kh*((Tabella211[[#This Row],[Day]]/t0h)^wh)*EXP(-(Tabella211[[#This Row],[Day]]/t0h))</f>
        <v>646.15532290459316</v>
      </c>
      <c r="AB34" s="65">
        <f>Tabella211[[#This Row],[Cum_D_fit]]*NOT(ISBLANK(Tabella211[[#This Row],[Cum_deaths]]))</f>
        <v>4812.1930135948587</v>
      </c>
      <c r="AC34" s="10">
        <f>Tabella211[[#This Row],[Cum_D_fit]]+CIh</f>
        <v>5040.1361260630656</v>
      </c>
      <c r="AD34" s="10">
        <f>MAX(Tabella211[[#This Row],[Cum_D_fit]]-CIh,0)</f>
        <v>4584.2499011266518</v>
      </c>
      <c r="AE34" s="1"/>
      <c r="AF34" s="70" t="s">
        <v>1</v>
      </c>
      <c r="AG34" s="71">
        <v>6.6580505435120383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Tabella211[[#This Row],[Cum_confirmed]]*NOT(ISBLANK(Tabella211[[#This Row],[Cum_confirmed]]))</f>
        <v>59138</v>
      </c>
      <c r="G35" s="50">
        <f>k*t0*_xlfn.GAMMA.DIST(Tabella211[[#This Row],[Day]]/t0,w+1,1,1)*_xlfn.GAMMA(w+1)</f>
        <v>58282.019579486412</v>
      </c>
      <c r="H35" s="10">
        <f>k*((Tabella211[[#This Row],[Day]]/t0)^w)*EXP(-(Tabella211[[#This Row],[Day]]/t0))</f>
        <v>5254.9776052959041</v>
      </c>
      <c r="I35" s="56">
        <f>Tabella211[[#This Row],[Cum_fit]]*NOT(ISBLANK(Tabella211[[#This Row],[Cum_confirmed]]))</f>
        <v>58282.019579486412</v>
      </c>
      <c r="J35" s="10">
        <f>Tabella211[[#This Row],[Cum_fit]]+CI</f>
        <v>60853.063206059785</v>
      </c>
      <c r="K35" s="10">
        <f>MAX(Tabella211[[#This Row],[Cum_fit]]-CI,0)</f>
        <v>55710.975952913039</v>
      </c>
      <c r="L35" s="54">
        <f>'dpc-covid19-ita-andamento-naz'!G29</f>
        <v>46638</v>
      </c>
      <c r="M35" s="54">
        <f>'dpc-covid19-ita-andamento-naz'!H29</f>
        <v>3957</v>
      </c>
      <c r="N35" s="54">
        <f>Tabella211[[#This Row],[New_cases_fit]]-Tabella211[[#This Row],[New_Recovered_fit]]-Tabella211[[#This Row],[New_Deaths_fit]]</f>
        <v>3803.320611928832</v>
      </c>
      <c r="O35" s="10">
        <f>'dpc-covid19-ita-andamento-naz'!J29</f>
        <v>7024</v>
      </c>
      <c r="P35" s="48">
        <f>Tabella211[[#This Row],[Cum_recov]]-O34</f>
        <v>952</v>
      </c>
      <c r="Q35" s="60">
        <f>Tabella211[[#This Row],[Cum_recov]]*NOT(ISBLANK(Tabella211[[#This Row],[Cum_recov]]))</f>
        <v>7024</v>
      </c>
      <c r="R35" s="50">
        <f>kr*t0r*_xlfn.GAMMA.DIST(Tabella211[[#This Row],[Day]]/t0r,wr+1,1,1)*_xlfn.GAMMA(wr+1)</f>
        <v>6541.3358422935798</v>
      </c>
      <c r="S35" s="10">
        <f>kr*((Tabella211[[#This Row],[Day]]/t0r)^wr)*EXP(-(Tabella211[[#This Row],[Day]]/t0r))</f>
        <v>771.24935090122483</v>
      </c>
      <c r="T35" s="60">
        <f>Tabella211[[#This Row],[Cum_R_fit]]*NOT(ISBLANK(Tabella211[[#This Row],[Cum_recov]]))</f>
        <v>6541.3358422935798</v>
      </c>
      <c r="U35" s="10">
        <f>Tabella211[[#This Row],[Cum_R_fit]]+CIr</f>
        <v>7192.3346612489904</v>
      </c>
      <c r="V35" s="10">
        <f>MAX(Tabella211[[#This Row],[Cum_R_fit]]-CIr,0)</f>
        <v>5890.3370233381693</v>
      </c>
      <c r="W35" s="10">
        <f>'dpc-covid19-ita-andamento-naz'!K29</f>
        <v>5476</v>
      </c>
      <c r="X35" s="26">
        <f>Tabella211[[#This Row],[Cum_deaths]]-W34</f>
        <v>651</v>
      </c>
      <c r="Y35" s="65">
        <f>Tabella211[[#This Row],[Cum_deaths]]*NOT(ISBLANK(Tabella211[[#This Row],[Cum_deaths]]))</f>
        <v>5476</v>
      </c>
      <c r="Z35" s="50">
        <f>kh*t0h*_xlfn.GAMMA.DIST(Tabella211[[#This Row],[Day]]/t0h,wh+1,1,1)*_xlfn.GAMMA(wh+1)</f>
        <v>5475.8513046403714</v>
      </c>
      <c r="AA35" s="10">
        <f>kh*((Tabella211[[#This Row],[Day]]/t0h)^wh)*EXP(-(Tabella211[[#This Row],[Day]]/t0h))</f>
        <v>680.40764246584752</v>
      </c>
      <c r="AB35" s="65">
        <f>Tabella211[[#This Row],[Cum_D_fit]]*NOT(ISBLANK(Tabella211[[#This Row],[Cum_deaths]]))</f>
        <v>5475.8513046403714</v>
      </c>
      <c r="AC35" s="10">
        <f>Tabella211[[#This Row],[Cum_D_fit]]+CIh</f>
        <v>5703.7944171085783</v>
      </c>
      <c r="AD35" s="10">
        <f>MAX(Tabella211[[#This Row],[Cum_D_fit]]-CIh,0)</f>
        <v>5247.9081921721645</v>
      </c>
      <c r="AF35" s="72" t="s">
        <v>2</v>
      </c>
      <c r="AG35" s="35">
        <f>AVERAGE(Tabella211[Cum_deaths])</f>
        <v>6758.82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Tabella211[[#This Row],[Cum_confirmed]]*NOT(ISBLANK(Tabella211[[#This Row],[Cum_confirmed]]))</f>
        <v>63927</v>
      </c>
      <c r="G36" s="50">
        <f>k*t0*_xlfn.GAMMA.DIST(Tabella211[[#This Row],[Day]]/t0,w+1,1,1)*_xlfn.GAMMA(w+1)</f>
        <v>63575.288516031142</v>
      </c>
      <c r="H36" s="10">
        <f>k*((Tabella211[[#This Row],[Day]]/t0)^w)*EXP(-(Tabella211[[#This Row],[Day]]/t0))</f>
        <v>5326.6677125317165</v>
      </c>
      <c r="I36" s="56">
        <f>Tabella211[[#This Row],[Cum_fit]]*NOT(ISBLANK(Tabella211[[#This Row],[Cum_confirmed]]))</f>
        <v>63575.288516031142</v>
      </c>
      <c r="J36" s="10">
        <f>Tabella211[[#This Row],[Cum_fit]]+CI</f>
        <v>66146.332142604515</v>
      </c>
      <c r="K36" s="10">
        <f>MAX(Tabella211[[#This Row],[Cum_fit]]-CI,0)</f>
        <v>61004.244889457768</v>
      </c>
      <c r="L36" s="54">
        <f>'dpc-covid19-ita-andamento-naz'!G30</f>
        <v>50418</v>
      </c>
      <c r="M36" s="54">
        <f>'dpc-covid19-ita-andamento-naz'!H30</f>
        <v>3780</v>
      </c>
      <c r="N36" s="54">
        <f>Tabella211[[#This Row],[New_cases_fit]]-Tabella211[[#This Row],[New_Recovered_fit]]-Tabella211[[#This Row],[New_Deaths_fit]]</f>
        <v>3792.0457695640607</v>
      </c>
      <c r="O36" s="10">
        <f>'dpc-covid19-ita-andamento-naz'!J30</f>
        <v>7432</v>
      </c>
      <c r="P36" s="48">
        <f>Tabella211[[#This Row],[Cum_recov]]-O35</f>
        <v>408</v>
      </c>
      <c r="Q36" s="60">
        <f>Tabella211[[#This Row],[Cum_recov]]*NOT(ISBLANK(Tabella211[[#This Row],[Cum_recov]]))</f>
        <v>7432</v>
      </c>
      <c r="R36" s="50">
        <f>kr*t0r*_xlfn.GAMMA.DIST(Tabella211[[#This Row],[Day]]/t0r,wr+1,1,1)*_xlfn.GAMMA(wr+1)</f>
        <v>7339.2805401421174</v>
      </c>
      <c r="S36" s="10">
        <f>kr*((Tabella211[[#This Row],[Day]]/t0r)^wr)*EXP(-(Tabella211[[#This Row],[Day]]/t0r))</f>
        <v>824.66460949563918</v>
      </c>
      <c r="T36" s="60">
        <f>Tabella211[[#This Row],[Cum_R_fit]]*NOT(ISBLANK(Tabella211[[#This Row],[Cum_recov]]))</f>
        <v>7339.2805401421174</v>
      </c>
      <c r="U36" s="10">
        <f>Tabella211[[#This Row],[Cum_R_fit]]+CIr</f>
        <v>7990.279359097528</v>
      </c>
      <c r="V36" s="10">
        <f>MAX(Tabella211[[#This Row],[Cum_R_fit]]-CIr,0)</f>
        <v>6688.2817211867068</v>
      </c>
      <c r="W36" s="10">
        <f>'dpc-covid19-ita-andamento-naz'!K30</f>
        <v>6077</v>
      </c>
      <c r="X36" s="26">
        <f>Tabella211[[#This Row],[Cum_deaths]]-W35</f>
        <v>601</v>
      </c>
      <c r="Y36" s="65">
        <f>Tabella211[[#This Row],[Cum_deaths]]*NOT(ISBLANK(Tabella211[[#This Row],[Cum_deaths]]))</f>
        <v>6077</v>
      </c>
      <c r="Z36" s="50">
        <f>kh*t0h*_xlfn.GAMMA.DIST(Tabella211[[#This Row],[Day]]/t0h,wh+1,1,1)*_xlfn.GAMMA(wh+1)</f>
        <v>6171.4393506477199</v>
      </c>
      <c r="AA36" s="10">
        <f>kh*((Tabella211[[#This Row],[Day]]/t0h)^wh)*EXP(-(Tabella211[[#This Row],[Day]]/t0h))</f>
        <v>709.95733347201599</v>
      </c>
      <c r="AB36" s="65">
        <f>Tabella211[[#This Row],[Cum_D_fit]]*NOT(ISBLANK(Tabella211[[#This Row],[Cum_deaths]]))</f>
        <v>6171.4393506477199</v>
      </c>
      <c r="AC36" s="10">
        <f>Tabella211[[#This Row],[Cum_D_fit]]+CIh</f>
        <v>6399.3824631159268</v>
      </c>
      <c r="AD36" s="10">
        <f>MAX(Tabella211[[#This Row],[Cum_D_fit]]-CIh,0)</f>
        <v>5943.4962381795131</v>
      </c>
      <c r="AF36" s="72" t="s">
        <v>3</v>
      </c>
      <c r="AG36" s="35">
        <f>COUNT(Tabella211[Cum_deaths])-COUNT(AG32:AG34)</f>
        <v>47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Tabella211[[#This Row],[Cum_confirmed]]*NOT(ISBLANK(Tabella211[[#This Row],[Cum_confirmed]]))</f>
        <v>69176</v>
      </c>
      <c r="G37" s="50">
        <f>k*t0*_xlfn.GAMMA.DIST(Tabella211[[#This Row],[Day]]/t0,w+1,1,1)*_xlfn.GAMMA(w+1)</f>
        <v>68925.751816432428</v>
      </c>
      <c r="H37" s="10">
        <f>k*((Tabella211[[#This Row],[Day]]/t0)^w)*EXP(-(Tabella211[[#This Row],[Day]]/t0))</f>
        <v>5369.5593505518118</v>
      </c>
      <c r="I37" s="56">
        <f>Tabella211[[#This Row],[Cum_fit]]*NOT(ISBLANK(Tabella211[[#This Row],[Cum_confirmed]]))</f>
        <v>68925.751816432428</v>
      </c>
      <c r="J37" s="10">
        <f>Tabella211[[#This Row],[Cum_fit]]+CI</f>
        <v>71496.795443005802</v>
      </c>
      <c r="K37" s="10">
        <f>MAX(Tabella211[[#This Row],[Cum_fit]]-CI,0)</f>
        <v>66354.708189859055</v>
      </c>
      <c r="L37" s="54">
        <f>'dpc-covid19-ita-andamento-naz'!G31</f>
        <v>54030</v>
      </c>
      <c r="M37" s="54">
        <f>'dpc-covid19-ita-andamento-naz'!H31</f>
        <v>3612</v>
      </c>
      <c r="N37" s="54">
        <f>Tabella211[[#This Row],[New_cases_fit]]-Tabella211[[#This Row],[New_Recovered_fit]]-Tabella211[[#This Row],[New_Deaths_fit]]</f>
        <v>3756.9087165870897</v>
      </c>
      <c r="O37" s="10">
        <f>'dpc-covid19-ita-andamento-naz'!J31</f>
        <v>8326</v>
      </c>
      <c r="P37" s="48">
        <f>Tabella211[[#This Row],[Cum_recov]]-O36</f>
        <v>894</v>
      </c>
      <c r="Q37" s="60">
        <f>Tabella211[[#This Row],[Cum_recov]]*NOT(ISBLANK(Tabella211[[#This Row],[Cum_recov]]))</f>
        <v>8326</v>
      </c>
      <c r="R37" s="50">
        <f>kr*t0r*_xlfn.GAMMA.DIST(Tabella211[[#This Row],[Day]]/t0r,wr+1,1,1)*_xlfn.GAMMA(wr+1)</f>
        <v>8190.6812576529128</v>
      </c>
      <c r="S37" s="10">
        <f>kr*((Tabella211[[#This Row],[Day]]/t0r)^wr)*EXP(-(Tabella211[[#This Row],[Day]]/t0r))</f>
        <v>878.12872454983449</v>
      </c>
      <c r="T37" s="60">
        <f>Tabella211[[#This Row],[Cum_R_fit]]*NOT(ISBLANK(Tabella211[[#This Row],[Cum_recov]]))</f>
        <v>8190.6812576529128</v>
      </c>
      <c r="U37" s="10">
        <f>Tabella211[[#This Row],[Cum_R_fit]]+CIr</f>
        <v>8841.6800766083234</v>
      </c>
      <c r="V37" s="10">
        <f>MAX(Tabella211[[#This Row],[Cum_R_fit]]-CIr,0)</f>
        <v>7539.6824386975022</v>
      </c>
      <c r="W37" s="10">
        <f>'dpc-covid19-ita-andamento-naz'!K31</f>
        <v>6820</v>
      </c>
      <c r="X37" s="26">
        <f>Tabella211[[#This Row],[Cum_deaths]]-W36</f>
        <v>743</v>
      </c>
      <c r="Y37" s="65">
        <f>Tabella211[[#This Row],[Cum_deaths]]*NOT(ISBLANK(Tabella211[[#This Row],[Cum_deaths]]))</f>
        <v>6820</v>
      </c>
      <c r="Z37" s="50">
        <f>kh*t0h*_xlfn.GAMMA.DIST(Tabella211[[#This Row],[Day]]/t0h,wh+1,1,1)*_xlfn.GAMMA(wh+1)</f>
        <v>6894.1029125236855</v>
      </c>
      <c r="AA37" s="10">
        <f>kh*((Tabella211[[#This Row],[Day]]/t0h)^wh)*EXP(-(Tabella211[[#This Row],[Day]]/t0h))</f>
        <v>734.521909414888</v>
      </c>
      <c r="AB37" s="65">
        <f>Tabella211[[#This Row],[Cum_D_fit]]*NOT(ISBLANK(Tabella211[[#This Row],[Cum_deaths]]))</f>
        <v>6894.1029125236855</v>
      </c>
      <c r="AC37" s="10">
        <f>Tabella211[[#This Row],[Cum_D_fit]]+CIh</f>
        <v>7122.0460249918924</v>
      </c>
      <c r="AD37" s="10">
        <f>MAX(Tabella211[[#This Row],[Cum_D_fit]]-CIh,0)</f>
        <v>6666.1598000554786</v>
      </c>
      <c r="AF37" s="72" t="s">
        <v>4</v>
      </c>
      <c r="AG37" s="73" cm="1">
        <f t="array" ref="AG37">SQRT(SUM((Tabella211[Colonna5]-Tabella211[Colonna6])^2)/dfh)</f>
        <v>113.30641845334233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Tabella211[[#This Row],[Cum_confirmed]]*NOT(ISBLANK(Tabella211[[#This Row],[Cum_confirmed]]))</f>
        <v>74386</v>
      </c>
      <c r="G38" s="50">
        <f>k*t0*_xlfn.GAMMA.DIST(Tabella211[[#This Row],[Day]]/t0,w+1,1,1)*_xlfn.GAMMA(w+1)</f>
        <v>74305.242193620506</v>
      </c>
      <c r="H38" s="10">
        <f>k*((Tabella211[[#This Row],[Day]]/t0)^w)*EXP(-(Tabella211[[#This Row],[Day]]/t0))</f>
        <v>5384.9648074574961</v>
      </c>
      <c r="I38" s="56">
        <f>Tabella211[[#This Row],[Cum_fit]]*NOT(ISBLANK(Tabella211[[#This Row],[Cum_confirmed]]))</f>
        <v>74305.242193620506</v>
      </c>
      <c r="J38" s="10">
        <f>Tabella211[[#This Row],[Cum_fit]]+CI</f>
        <v>76876.28582019388</v>
      </c>
      <c r="K38" s="10">
        <f>MAX(Tabella211[[#This Row],[Cum_fit]]-CI,0)</f>
        <v>71734.198567047133</v>
      </c>
      <c r="L38" s="54">
        <f>'dpc-covid19-ita-andamento-naz'!G32</f>
        <v>57521</v>
      </c>
      <c r="M38" s="54">
        <f>'dpc-covid19-ita-andamento-naz'!H32</f>
        <v>3491</v>
      </c>
      <c r="N38" s="54">
        <f>Tabella211[[#This Row],[New_cases_fit]]-Tabella211[[#This Row],[New_Recovered_fit]]-Tabella211[[#This Row],[New_Deaths_fit]]</f>
        <v>3699.5746183739789</v>
      </c>
      <c r="O38" s="10">
        <f>'dpc-covid19-ita-andamento-naz'!J32</f>
        <v>9362</v>
      </c>
      <c r="P38" s="48">
        <f>Tabella211[[#This Row],[Cum_recov]]-O37</f>
        <v>1036</v>
      </c>
      <c r="Q38" s="60">
        <f>Tabella211[[#This Row],[Cum_recov]]*NOT(ISBLANK(Tabella211[[#This Row],[Cum_recov]]))</f>
        <v>9362</v>
      </c>
      <c r="R38" s="50">
        <f>kr*t0r*_xlfn.GAMMA.DIST(Tabella211[[#This Row],[Day]]/t0r,wr+1,1,1)*_xlfn.GAMMA(wr+1)</f>
        <v>9095.4902292000461</v>
      </c>
      <c r="S38" s="10">
        <f>kr*((Tabella211[[#This Row],[Day]]/t0r)^wr)*EXP(-(Tabella211[[#This Row],[Day]]/t0r))</f>
        <v>931.44985115066925</v>
      </c>
      <c r="T38" s="60">
        <f>Tabella211[[#This Row],[Cum_R_fit]]*NOT(ISBLANK(Tabella211[[#This Row],[Cum_recov]]))</f>
        <v>9095.4902292000461</v>
      </c>
      <c r="U38" s="10">
        <f>Tabella211[[#This Row],[Cum_R_fit]]+CIr</f>
        <v>9746.4890481554557</v>
      </c>
      <c r="V38" s="10">
        <f>MAX(Tabella211[[#This Row],[Cum_R_fit]]-CIr,0)</f>
        <v>8444.4914102446364</v>
      </c>
      <c r="W38" s="10">
        <f>'dpc-covid19-ita-andamento-naz'!K32</f>
        <v>7503</v>
      </c>
      <c r="X38" s="26">
        <f>Tabella211[[#This Row],[Cum_deaths]]-W37</f>
        <v>683</v>
      </c>
      <c r="Y38" s="65">
        <f>Tabella211[[#This Row],[Cum_deaths]]*NOT(ISBLANK(Tabella211[[#This Row],[Cum_deaths]]))</f>
        <v>7503</v>
      </c>
      <c r="Z38" s="50">
        <f>kh*t0h*_xlfn.GAMMA.DIST(Tabella211[[#This Row],[Day]]/t0h,wh+1,1,1)*_xlfn.GAMMA(wh+1)</f>
        <v>7638.7665221683283</v>
      </c>
      <c r="AA38" s="10">
        <f>kh*((Tabella211[[#This Row],[Day]]/t0h)^wh)*EXP(-(Tabella211[[#This Row],[Day]]/t0h))</f>
        <v>753.94033793284837</v>
      </c>
      <c r="AB38" s="65">
        <f>Tabella211[[#This Row],[Cum_D_fit]]*NOT(ISBLANK(Tabella211[[#This Row],[Cum_deaths]]))</f>
        <v>7638.7665221683283</v>
      </c>
      <c r="AC38" s="10">
        <f>Tabella211[[#This Row],[Cum_D_fit]]+CIh</f>
        <v>7866.7096346365352</v>
      </c>
      <c r="AD38" s="10">
        <f>MAX(Tabella211[[#This Row],[Cum_D_fit]]-CIh,0)</f>
        <v>7410.8234097001214</v>
      </c>
      <c r="AF38" s="72" t="s">
        <v>87</v>
      </c>
      <c r="AG38" s="74" cm="1">
        <f t="array" ref="AG38">1-SUM((Tabella211[Colonna5]-Tabella211[Colonna6])^2)/SUM((Tabella211[Colonna5]-Mean_of_yh)^2)</f>
        <v>0.99982322112815314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Tabella211[[#This Row],[Cum_confirmed]]*NOT(ISBLANK(Tabella211[[#This Row],[Cum_confirmed]]))</f>
        <v>80539</v>
      </c>
      <c r="G39" s="50">
        <f>k*t0*_xlfn.GAMMA.DIST(Tabella211[[#This Row],[Day]]/t0,w+1,1,1)*_xlfn.GAMMA(w+1)</f>
        <v>79687.04358386551</v>
      </c>
      <c r="H39" s="10">
        <f>k*((Tabella211[[#This Row],[Day]]/t0)^w)*EXP(-(Tabella211[[#This Row],[Day]]/t0))</f>
        <v>5374.4635416735646</v>
      </c>
      <c r="I39" s="56">
        <f>Tabella211[[#This Row],[Cum_fit]]*NOT(ISBLANK(Tabella211[[#This Row],[Cum_confirmed]]))</f>
        <v>79687.04358386551</v>
      </c>
      <c r="J39" s="10">
        <f>Tabella211[[#This Row],[Cum_fit]]+CI</f>
        <v>82258.087210438884</v>
      </c>
      <c r="K39" s="10">
        <f>MAX(Tabella211[[#This Row],[Cum_fit]]-CI,0)</f>
        <v>77115.999957292137</v>
      </c>
      <c r="L39" s="54">
        <f>'dpc-covid19-ita-andamento-naz'!G33</f>
        <v>62013</v>
      </c>
      <c r="M39" s="54">
        <f>'dpc-covid19-ita-andamento-naz'!H33</f>
        <v>4492</v>
      </c>
      <c r="N39" s="54">
        <f>Tabella211[[#This Row],[New_cases_fit]]-Tabella211[[#This Row],[New_Recovered_fit]]-Tabella211[[#This Row],[New_Deaths_fit]]</f>
        <v>3621.8535497549174</v>
      </c>
      <c r="O39" s="10">
        <f>'dpc-covid19-ita-andamento-naz'!J33</f>
        <v>10361</v>
      </c>
      <c r="P39" s="48">
        <f>Tabella211[[#This Row],[Cum_recov]]-O38</f>
        <v>999</v>
      </c>
      <c r="Q39" s="60">
        <f>Tabella211[[#This Row],[Cum_recov]]*NOT(ISBLANK(Tabella211[[#This Row],[Cum_recov]]))</f>
        <v>10361</v>
      </c>
      <c r="R39" s="50">
        <f>kr*t0r*_xlfn.GAMMA.DIST(Tabella211[[#This Row],[Day]]/t0r,wr+1,1,1)*_xlfn.GAMMA(wr+1)</f>
        <v>10053.472155932479</v>
      </c>
      <c r="S39" s="10">
        <f>kr*((Tabella211[[#This Row],[Day]]/t0r)^wr)*EXP(-(Tabella211[[#This Row],[Day]]/t0r))</f>
        <v>984.44487666945417</v>
      </c>
      <c r="T39" s="60">
        <f>Tabella211[[#This Row],[Cum_R_fit]]*NOT(ISBLANK(Tabella211[[#This Row],[Cum_recov]]))</f>
        <v>10053.472155932479</v>
      </c>
      <c r="U39" s="10">
        <f>Tabella211[[#This Row],[Cum_R_fit]]+CIr</f>
        <v>10704.470974887889</v>
      </c>
      <c r="V39" s="10">
        <f>MAX(Tabella211[[#This Row],[Cum_R_fit]]-CIr,0)</f>
        <v>9402.4733369770693</v>
      </c>
      <c r="W39" s="10">
        <f>'dpc-covid19-ita-andamento-naz'!K33</f>
        <v>8165</v>
      </c>
      <c r="X39" s="26">
        <f>Tabella211[[#This Row],[Cum_deaths]]-W38</f>
        <v>662</v>
      </c>
      <c r="Y39" s="65">
        <f>Tabella211[[#This Row],[Cum_deaths]]*NOT(ISBLANK(Tabella211[[#This Row],[Cum_deaths]]))</f>
        <v>8165</v>
      </c>
      <c r="Z39" s="50">
        <f>kh*t0h*_xlfn.GAMMA.DIST(Tabella211[[#This Row],[Day]]/t0h,wh+1,1,1)*_xlfn.GAMMA(wh+1)</f>
        <v>8400.2512243200163</v>
      </c>
      <c r="AA39" s="10">
        <f>kh*((Tabella211[[#This Row],[Day]]/t0h)^wh)*EXP(-(Tabella211[[#This Row],[Day]]/t0h))</f>
        <v>768.16511524919326</v>
      </c>
      <c r="AB39" s="65">
        <f>Tabella211[[#This Row],[Cum_D_fit]]*NOT(ISBLANK(Tabella211[[#This Row],[Cum_deaths]]))</f>
        <v>8400.2512243200163</v>
      </c>
      <c r="AC39" s="10">
        <f>Tabella211[[#This Row],[Cum_D_fit]]+CIh</f>
        <v>8628.1943367882232</v>
      </c>
      <c r="AD39" s="10">
        <f>MAX(Tabella211[[#This Row],[Cum_D_fit]]-CIh,0)</f>
        <v>8172.3081118518094</v>
      </c>
      <c r="AF39" s="72" t="s">
        <v>6</v>
      </c>
      <c r="AG39" s="74">
        <f>TINV(0.05,dfh)</f>
        <v>2.0117405137297668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Tabella211[[#This Row],[Cum_confirmed]]*NOT(ISBLANK(Tabella211[[#This Row],[Cum_confirmed]]))</f>
        <v>86498</v>
      </c>
      <c r="G40" s="50">
        <f>k*t0*_xlfn.GAMMA.DIST(Tabella211[[#This Row],[Day]]/t0,w+1,1,1)*_xlfn.GAMMA(w+1)</f>
        <v>85046.126945972501</v>
      </c>
      <c r="H40" s="10">
        <f>k*((Tabella211[[#This Row],[Day]]/t0)^w)*EXP(-(Tabella211[[#This Row],[Day]]/t0))</f>
        <v>5339.8401991635728</v>
      </c>
      <c r="I40" s="56">
        <f>Tabella211[[#This Row],[Cum_fit]]*NOT(ISBLANK(Tabella211[[#This Row],[Cum_confirmed]]))</f>
        <v>85046.126945972501</v>
      </c>
      <c r="J40" s="10">
        <f>Tabella211[[#This Row],[Cum_fit]]+CI</f>
        <v>87617.170572545874</v>
      </c>
      <c r="K40" s="10">
        <f>MAX(Tabella211[[#This Row],[Cum_fit]]-CI,0)</f>
        <v>82475.083319399128</v>
      </c>
      <c r="L40" s="54">
        <f>'dpc-covid19-ita-andamento-naz'!G34</f>
        <v>66414</v>
      </c>
      <c r="M40" s="54">
        <f>'dpc-covid19-ita-andamento-naz'!H34</f>
        <v>4401</v>
      </c>
      <c r="N40" s="54">
        <f>Tabella211[[#This Row],[New_cases_fit]]-Tabella211[[#This Row],[New_Recovered_fit]]-Tabella211[[#This Row],[New_Deaths_fit]]</f>
        <v>3525.6484394132704</v>
      </c>
      <c r="O40" s="10">
        <f>'dpc-covid19-ita-andamento-naz'!J34</f>
        <v>10950</v>
      </c>
      <c r="P40" s="48">
        <f>Tabella211[[#This Row],[Cum_recov]]-O39</f>
        <v>589</v>
      </c>
      <c r="Q40" s="60">
        <f>Tabella211[[#This Row],[Cum_recov]]*NOT(ISBLANK(Tabella211[[#This Row],[Cum_recov]]))</f>
        <v>10950</v>
      </c>
      <c r="R40" s="50">
        <f>kr*t0r*_xlfn.GAMMA.DIST(Tabella211[[#This Row],[Day]]/t0r,wr+1,1,1)*_xlfn.GAMMA(wr+1)</f>
        <v>11064.213240497631</v>
      </c>
      <c r="S40" s="10">
        <f>kr*((Tabella211[[#This Row],[Day]]/t0r)^wr)*EXP(-(Tabella211[[#This Row],[Day]]/t0r))</f>
        <v>1036.9400018399824</v>
      </c>
      <c r="T40" s="60">
        <f>Tabella211[[#This Row],[Cum_R_fit]]*NOT(ISBLANK(Tabella211[[#This Row],[Cum_recov]]))</f>
        <v>11064.213240497631</v>
      </c>
      <c r="U40" s="10">
        <f>Tabella211[[#This Row],[Cum_R_fit]]+CIr</f>
        <v>11715.212059453041</v>
      </c>
      <c r="V40" s="10">
        <f>MAX(Tabella211[[#This Row],[Cum_R_fit]]-CIr,0)</f>
        <v>10413.214421542221</v>
      </c>
      <c r="W40" s="10">
        <f>'dpc-covid19-ita-andamento-naz'!K34</f>
        <v>9134</v>
      </c>
      <c r="X40" s="26">
        <f>Tabella211[[#This Row],[Cum_deaths]]-W39</f>
        <v>969</v>
      </c>
      <c r="Y40" s="65">
        <f>Tabella211[[#This Row],[Cum_deaths]]*NOT(ISBLANK(Tabella211[[#This Row],[Cum_deaths]]))</f>
        <v>9134</v>
      </c>
      <c r="Z40" s="50">
        <f>kh*t0h*_xlfn.GAMMA.DIST(Tabella211[[#This Row],[Day]]/t0h,wh+1,1,1)*_xlfn.GAMMA(wh+1)</f>
        <v>9173.3830315638043</v>
      </c>
      <c r="AA40" s="10">
        <f>kh*((Tabella211[[#This Row],[Day]]/t0h)^wh)*EXP(-(Tabella211[[#This Row],[Day]]/t0h))</f>
        <v>777.25175791031961</v>
      </c>
      <c r="AB40" s="65">
        <f>Tabella211[[#This Row],[Cum_D_fit]]*NOT(ISBLANK(Tabella211[[#This Row],[Cum_deaths]]))</f>
        <v>9173.3830315638043</v>
      </c>
      <c r="AC40" s="10">
        <f>Tabella211[[#This Row],[Cum_D_fit]]+CIh</f>
        <v>9401.3261440320111</v>
      </c>
      <c r="AD40" s="10">
        <f>MAX(Tabella211[[#This Row],[Cum_D_fit]]-CIh,0)</f>
        <v>8945.4399190955974</v>
      </c>
      <c r="AF40" s="72" t="s">
        <v>7</v>
      </c>
      <c r="AG40" s="35">
        <f>Critical_th*SE_of_yh</f>
        <v>227.94311246820683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Tabella211[[#This Row],[Cum_confirmed]]*NOT(ISBLANK(Tabella211[[#This Row],[Cum_confirmed]]))</f>
        <v>92472</v>
      </c>
      <c r="G41" s="50">
        <f>k*t0*_xlfn.GAMMA.DIST(Tabella211[[#This Row],[Day]]/t0,w+1,1,1)*_xlfn.GAMMA(w+1)</f>
        <v>90359.326489296829</v>
      </c>
      <c r="H41" s="10">
        <f>k*((Tabella211[[#This Row],[Day]]/t0)^w)*EXP(-(Tabella211[[#This Row],[Day]]/t0))</f>
        <v>5283.0275758115986</v>
      </c>
      <c r="I41" s="56">
        <f>Tabella211[[#This Row],[Cum_fit]]*NOT(ISBLANK(Tabella211[[#This Row],[Cum_confirmed]]))</f>
        <v>90359.326489296829</v>
      </c>
      <c r="J41" s="10">
        <f>Tabella211[[#This Row],[Cum_fit]]+CI</f>
        <v>92930.370115870202</v>
      </c>
      <c r="K41" s="10">
        <f>MAX(Tabella211[[#This Row],[Cum_fit]]-CI,0)</f>
        <v>87788.282862723456</v>
      </c>
      <c r="L41" s="54">
        <f>'dpc-covid19-ita-andamento-naz'!G35</f>
        <v>70065</v>
      </c>
      <c r="M41" s="54">
        <f>'dpc-covid19-ita-andamento-naz'!H35</f>
        <v>3651</v>
      </c>
      <c r="N41" s="54">
        <f>Tabella211[[#This Row],[New_cases_fit]]-Tabella211[[#This Row],[New_Recovered_fit]]-Tabella211[[#This Row],[New_Deaths_fit]]</f>
        <v>3412.9098703885179</v>
      </c>
      <c r="O41" s="10">
        <f>'dpc-covid19-ita-andamento-naz'!J35</f>
        <v>12384</v>
      </c>
      <c r="P41" s="48">
        <f>Tabella211[[#This Row],[Cum_recov]]-O40</f>
        <v>1434</v>
      </c>
      <c r="Q41" s="60">
        <f>Tabella211[[#This Row],[Cum_recov]]*NOT(ISBLANK(Tabella211[[#This Row],[Cum_recov]]))</f>
        <v>12384</v>
      </c>
      <c r="R41" s="50">
        <f>kr*t0r*_xlfn.GAMMA.DIST(Tabella211[[#This Row],[Day]]/t0r,wr+1,1,1)*_xlfn.GAMMA(wr+1)</f>
        <v>12127.13073382836</v>
      </c>
      <c r="S41" s="10">
        <f>kr*((Tabella211[[#This Row],[Day]]/t0r)^wr)*EXP(-(Tabella211[[#This Row],[Day]]/t0r))</f>
        <v>1088.7711861643479</v>
      </c>
      <c r="T41" s="60">
        <f>Tabella211[[#This Row],[Cum_R_fit]]*NOT(ISBLANK(Tabella211[[#This Row],[Cum_recov]]))</f>
        <v>12127.13073382836</v>
      </c>
      <c r="U41" s="10">
        <f>Tabella211[[#This Row],[Cum_R_fit]]+CIr</f>
        <v>12778.12955278377</v>
      </c>
      <c r="V41" s="10">
        <f>MAX(Tabella211[[#This Row],[Cum_R_fit]]-CIr,0)</f>
        <v>11476.131914872951</v>
      </c>
      <c r="W41" s="10">
        <f>'dpc-covid19-ita-andamento-naz'!K35</f>
        <v>10023</v>
      </c>
      <c r="X41" s="26">
        <f>Tabella211[[#This Row],[Cum_deaths]]-W40</f>
        <v>889</v>
      </c>
      <c r="Y41" s="65">
        <f>Tabella211[[#This Row],[Cum_deaths]]*NOT(ISBLANK(Tabella211[[#This Row],[Cum_deaths]]))</f>
        <v>10023</v>
      </c>
      <c r="Z41" s="50">
        <f>kh*t0h*_xlfn.GAMMA.DIST(Tabella211[[#This Row],[Day]]/t0h,wh+1,1,1)*_xlfn.GAMMA(wh+1)</f>
        <v>9953.08991910228</v>
      </c>
      <c r="AA41" s="10">
        <f>kh*((Tabella211[[#This Row],[Day]]/t0h)^wh)*EXP(-(Tabella211[[#This Row],[Day]]/t0h))</f>
        <v>781.34651925873322</v>
      </c>
      <c r="AB41" s="65">
        <f>Tabella211[[#This Row],[Cum_D_fit]]*NOT(ISBLANK(Tabella211[[#This Row],[Cum_deaths]]))</f>
        <v>9953.08991910228</v>
      </c>
      <c r="AC41" s="10">
        <f>Tabella211[[#This Row],[Cum_D_fit]]+CIh</f>
        <v>10181.033031570487</v>
      </c>
      <c r="AD41" s="10">
        <f>MAX(Tabella211[[#This Row],[Cum_D_fit]]-CIh,0)</f>
        <v>9725.1468066340731</v>
      </c>
      <c r="AF41" s="34" t="s">
        <v>99</v>
      </c>
      <c r="AG41" s="35">
        <f>kh*t0h*_xlfn.GAMMA(wh+1)</f>
        <v>25644.083179051395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Tabella211[[#This Row],[Cum_confirmed]]*NOT(ISBLANK(Tabella211[[#This Row],[Cum_confirmed]]))</f>
        <v>97689</v>
      </c>
      <c r="G42" s="50">
        <f>k*t0*_xlfn.GAMMA.DIST(Tabella211[[#This Row],[Day]]/t0,w+1,1,1)*_xlfn.GAMMA(w+1)</f>
        <v>95605.461588477483</v>
      </c>
      <c r="H42" s="10">
        <f>k*((Tabella211[[#This Row],[Day]]/t0)^w)*EXP(-(Tabella211[[#This Row],[Day]]/t0))</f>
        <v>5206.05509927617</v>
      </c>
      <c r="I42" s="56">
        <f>Tabella211[[#This Row],[Cum_fit]]*NOT(ISBLANK(Tabella211[[#This Row],[Cum_confirmed]]))</f>
        <v>95605.461588477483</v>
      </c>
      <c r="J42" s="10">
        <f>Tabella211[[#This Row],[Cum_fit]]+CI</f>
        <v>98176.505215050856</v>
      </c>
      <c r="K42" s="10">
        <f>MAX(Tabella211[[#This Row],[Cum_fit]]-CI,0)</f>
        <v>93034.41796190411</v>
      </c>
      <c r="L42" s="54">
        <f>'dpc-covid19-ita-andamento-naz'!G36</f>
        <v>73880</v>
      </c>
      <c r="M42" s="54">
        <f>'dpc-covid19-ita-andamento-naz'!H36</f>
        <v>3815</v>
      </c>
      <c r="N42" s="54">
        <f>Tabella211[[#This Row],[New_cases_fit]]-Tabella211[[#This Row],[New_Recovered_fit]]-Tabella211[[#This Row],[New_Deaths_fit]]</f>
        <v>3285.5975684892901</v>
      </c>
      <c r="O42" s="10">
        <f>'dpc-covid19-ita-andamento-naz'!J36</f>
        <v>13030</v>
      </c>
      <c r="P42" s="48">
        <f>Tabella211[[#This Row],[Cum_recov]]-O41</f>
        <v>646</v>
      </c>
      <c r="Q42" s="60">
        <f>Tabella211[[#This Row],[Cum_recov]]*NOT(ISBLANK(Tabella211[[#This Row],[Cum_recov]]))</f>
        <v>13030</v>
      </c>
      <c r="R42" s="50">
        <f>kr*t0r*_xlfn.GAMMA.DIST(Tabella211[[#This Row],[Day]]/t0r,wr+1,1,1)*_xlfn.GAMMA(wr+1)</f>
        <v>13241.482865246777</v>
      </c>
      <c r="S42" s="10">
        <f>kr*((Tabella211[[#This Row],[Day]]/t0r)^wr)*EXP(-(Tabella211[[#This Row],[Day]]/t0r))</f>
        <v>1139.7844713522668</v>
      </c>
      <c r="T42" s="60">
        <f>Tabella211[[#This Row],[Cum_R_fit]]*NOT(ISBLANK(Tabella211[[#This Row],[Cum_recov]]))</f>
        <v>13241.482865246777</v>
      </c>
      <c r="U42" s="10">
        <f>Tabella211[[#This Row],[Cum_R_fit]]+CIr</f>
        <v>13892.481684202186</v>
      </c>
      <c r="V42" s="10">
        <f>MAX(Tabella211[[#This Row],[Cum_R_fit]]-CIr,0)</f>
        <v>12590.484046291367</v>
      </c>
      <c r="W42" s="10">
        <f>'dpc-covid19-ita-andamento-naz'!K36</f>
        <v>10779</v>
      </c>
      <c r="X42" s="26">
        <f>Tabella211[[#This Row],[Cum_deaths]]-W41</f>
        <v>756</v>
      </c>
      <c r="Y42" s="65">
        <f>Tabella211[[#This Row],[Cum_deaths]]*NOT(ISBLANK(Tabella211[[#This Row],[Cum_deaths]]))</f>
        <v>10779</v>
      </c>
      <c r="Z42" s="50">
        <f>kh*t0h*_xlfn.GAMMA.DIST(Tabella211[[#This Row],[Day]]/t0h,wh+1,1,1)*_xlfn.GAMMA(wh+1)</f>
        <v>10734.485955825689</v>
      </c>
      <c r="AA42" s="10">
        <f>kh*((Tabella211[[#This Row],[Day]]/t0h)^wh)*EXP(-(Tabella211[[#This Row],[Day]]/t0h))</f>
        <v>780.67305943461292</v>
      </c>
      <c r="AB42" s="65">
        <f>Tabella211[[#This Row],[Cum_D_fit]]*NOT(ISBLANK(Tabella211[[#This Row],[Cum_deaths]]))</f>
        <v>10734.485955825689</v>
      </c>
      <c r="AC42" s="10">
        <f>Tabella211[[#This Row],[Cum_D_fit]]+CIh</f>
        <v>10962.429068293895</v>
      </c>
      <c r="AD42" s="10">
        <f>MAX(Tabella211[[#This Row],[Cum_D_fit]]-CIh,0)</f>
        <v>10506.542843357482</v>
      </c>
      <c r="AF42" s="34"/>
      <c r="AG42" s="77"/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Tabella211[[#This Row],[Cum_confirmed]]*NOT(ISBLANK(Tabella211[[#This Row],[Cum_confirmed]]))</f>
        <v>101739</v>
      </c>
      <c r="G43" s="50">
        <f>k*t0*_xlfn.GAMMA.DIST(Tabella211[[#This Row],[Day]]/t0,w+1,1,1)*_xlfn.GAMMA(w+1)</f>
        <v>100765.4100732755</v>
      </c>
      <c r="H43" s="10">
        <f>k*((Tabella211[[#This Row],[Day]]/t0)^w)*EXP(-(Tabella211[[#This Row],[Day]]/t0))</f>
        <v>5111.0031264706431</v>
      </c>
      <c r="I43" s="56">
        <f>Tabella211[[#This Row],[Cum_fit]]*NOT(ISBLANK(Tabella211[[#This Row],[Cum_confirmed]]))</f>
        <v>100765.4100732755</v>
      </c>
      <c r="J43" s="10">
        <f>Tabella211[[#This Row],[Cum_fit]]+CI</f>
        <v>103336.45369984888</v>
      </c>
      <c r="K43" s="10">
        <f>MAX(Tabella211[[#This Row],[Cum_fit]]-CI,0)</f>
        <v>98194.36644670213</v>
      </c>
      <c r="L43" s="54">
        <f>'dpc-covid19-ita-andamento-naz'!G37</f>
        <v>75528</v>
      </c>
      <c r="M43" s="54">
        <f>'dpc-covid19-ita-andamento-naz'!H37</f>
        <v>1648</v>
      </c>
      <c r="N43" s="54">
        <f>Tabella211[[#This Row],[New_cases_fit]]-Tabella211[[#This Row],[New_Recovered_fit]]-Tabella211[[#This Row],[New_Deaths_fit]]</f>
        <v>3145.6482286212927</v>
      </c>
      <c r="O43" s="10">
        <f>'dpc-covid19-ita-andamento-naz'!J37</f>
        <v>14620</v>
      </c>
      <c r="P43" s="48">
        <f>Tabella211[[#This Row],[Cum_recov]]-O42</f>
        <v>1590</v>
      </c>
      <c r="Q43" s="60">
        <f>Tabella211[[#This Row],[Cum_recov]]*NOT(ISBLANK(Tabella211[[#This Row],[Cum_recov]]))</f>
        <v>14620</v>
      </c>
      <c r="R43" s="50">
        <f>kr*t0r*_xlfn.GAMMA.DIST(Tabella211[[#This Row],[Day]]/t0r,wr+1,1,1)*_xlfn.GAMMA(wr+1)</f>
        <v>14406.379040407779</v>
      </c>
      <c r="S43" s="10">
        <f>kr*((Tabella211[[#This Row],[Day]]/t0r)^wr)*EXP(-(Tabella211[[#This Row],[Day]]/t0r))</f>
        <v>1189.836195627709</v>
      </c>
      <c r="T43" s="60">
        <f>Tabella211[[#This Row],[Cum_R_fit]]*NOT(ISBLANK(Tabella211[[#This Row],[Cum_recov]]))</f>
        <v>14406.379040407779</v>
      </c>
      <c r="U43" s="10">
        <f>Tabella211[[#This Row],[Cum_R_fit]]+CIr</f>
        <v>15057.377859363189</v>
      </c>
      <c r="V43" s="10">
        <f>MAX(Tabella211[[#This Row],[Cum_R_fit]]-CIr,0)</f>
        <v>13755.380221452369</v>
      </c>
      <c r="W43" s="10">
        <f>'dpc-covid19-ita-andamento-naz'!K37</f>
        <v>11591</v>
      </c>
      <c r="X43" s="26">
        <f>Tabella211[[#This Row],[Cum_deaths]]-W42</f>
        <v>812</v>
      </c>
      <c r="Y43" s="65">
        <f>Tabella211[[#This Row],[Cum_deaths]]*NOT(ISBLANK(Tabella211[[#This Row],[Cum_deaths]]))</f>
        <v>11591</v>
      </c>
      <c r="Z43" s="50">
        <f>kh*t0h*_xlfn.GAMMA.DIST(Tabella211[[#This Row],[Day]]/t0h,wh+1,1,1)*_xlfn.GAMMA(wh+1)</f>
        <v>11512.941850277233</v>
      </c>
      <c r="AA43" s="10">
        <f>kh*((Tabella211[[#This Row],[Day]]/t0h)^wh)*EXP(-(Tabella211[[#This Row],[Day]]/t0h))</f>
        <v>775.51870222164143</v>
      </c>
      <c r="AB43" s="65">
        <f>Tabella211[[#This Row],[Cum_D_fit]]*NOT(ISBLANK(Tabella211[[#This Row],[Cum_deaths]]))</f>
        <v>11512.941850277233</v>
      </c>
      <c r="AC43" s="10">
        <f>Tabella211[[#This Row],[Cum_D_fit]]+CIh</f>
        <v>11740.88496274544</v>
      </c>
      <c r="AD43" s="10">
        <f>MAX(Tabella211[[#This Row],[Cum_D_fit]]-CIh,0)</f>
        <v>11284.998737809026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Tabella211[[#This Row],[Cum_confirmed]]*NOT(ISBLANK(Tabella211[[#This Row],[Cum_confirmed]]))</f>
        <v>105792</v>
      </c>
      <c r="G44" s="50">
        <f>k*t0*_xlfn.GAMMA.DIST(Tabella211[[#This Row],[Day]]/t0,w+1,1,1)*_xlfn.GAMMA(w+1)</f>
        <v>105822.13876180045</v>
      </c>
      <c r="H44" s="10">
        <f>k*((Tabella211[[#This Row],[Day]]/t0)^w)*EXP(-(Tabella211[[#This Row],[Day]]/t0))</f>
        <v>4999.9631288836272</v>
      </c>
      <c r="I44" s="56">
        <f>Tabella211[[#This Row],[Cum_fit]]*NOT(ISBLANK(Tabella211[[#This Row],[Cum_confirmed]]))</f>
        <v>105822.13876180045</v>
      </c>
      <c r="J44" s="10">
        <f>Tabella211[[#This Row],[Cum_fit]]+CI</f>
        <v>108393.18238837383</v>
      </c>
      <c r="K44" s="10">
        <f>MAX(Tabella211[[#This Row],[Cum_fit]]-CI,0)</f>
        <v>103251.09513522708</v>
      </c>
      <c r="L44" s="54">
        <f>'dpc-covid19-ita-andamento-naz'!G38</f>
        <v>77635</v>
      </c>
      <c r="M44" s="54">
        <f>'dpc-covid19-ita-andamento-naz'!H38</f>
        <v>2107</v>
      </c>
      <c r="N44" s="54">
        <f>Tabella211[[#This Row],[New_cases_fit]]-Tabella211[[#This Row],[New_Recovered_fit]]-Tabella211[[#This Row],[New_Deaths_fit]]</f>
        <v>2994.9492094088073</v>
      </c>
      <c r="O44" s="10">
        <f>'dpc-covid19-ita-andamento-naz'!J38</f>
        <v>15729</v>
      </c>
      <c r="P44" s="48">
        <f>Tabella211[[#This Row],[Cum_recov]]-O43</f>
        <v>1109</v>
      </c>
      <c r="Q44" s="60">
        <f>Tabella211[[#This Row],[Cum_recov]]*NOT(ISBLANK(Tabella211[[#This Row],[Cum_recov]]))</f>
        <v>15729</v>
      </c>
      <c r="R44" s="50">
        <f>kr*t0r*_xlfn.GAMMA.DIST(Tabella211[[#This Row],[Day]]/t0r,wr+1,1,1)*_xlfn.GAMMA(wr+1)</f>
        <v>15620.790204005842</v>
      </c>
      <c r="S44" s="10">
        <f>kr*((Tabella211[[#This Row],[Day]]/t0r)^wr)*EXP(-(Tabella211[[#This Row],[Day]]/t0r))</f>
        <v>1238.7931108729374</v>
      </c>
      <c r="T44" s="60">
        <f>Tabella211[[#This Row],[Cum_R_fit]]*NOT(ISBLANK(Tabella211[[#This Row],[Cum_recov]]))</f>
        <v>15620.790204005842</v>
      </c>
      <c r="U44" s="10">
        <f>Tabella211[[#This Row],[Cum_R_fit]]+CIr</f>
        <v>16271.789022961251</v>
      </c>
      <c r="V44" s="10">
        <f>MAX(Tabella211[[#This Row],[Cum_R_fit]]-CIr,0)</f>
        <v>14969.791385050432</v>
      </c>
      <c r="W44" s="10">
        <f>'dpc-covid19-ita-andamento-naz'!K38</f>
        <v>12428</v>
      </c>
      <c r="X44" s="26">
        <f>Tabella211[[#This Row],[Cum_deaths]]-W43</f>
        <v>837</v>
      </c>
      <c r="Y44" s="65">
        <f>Tabella211[[#This Row],[Cum_deaths]]*NOT(ISBLANK(Tabella211[[#This Row],[Cum_deaths]]))</f>
        <v>12428</v>
      </c>
      <c r="Z44" s="50">
        <f>kh*t0h*_xlfn.GAMMA.DIST(Tabella211[[#This Row],[Day]]/t0h,wh+1,1,1)*_xlfn.GAMMA(wh+1)</f>
        <v>12284.141772045245</v>
      </c>
      <c r="AA44" s="10">
        <f>kh*((Tabella211[[#This Row],[Day]]/t0h)^wh)*EXP(-(Tabella211[[#This Row],[Day]]/t0h))</f>
        <v>766.2208086018826</v>
      </c>
      <c r="AB44" s="65">
        <f>Tabella211[[#This Row],[Cum_D_fit]]*NOT(ISBLANK(Tabella211[[#This Row],[Cum_deaths]]))</f>
        <v>12284.141772045245</v>
      </c>
      <c r="AC44" s="10">
        <f>Tabella211[[#This Row],[Cum_D_fit]]+CIh</f>
        <v>12512.084884513451</v>
      </c>
      <c r="AD44" s="10">
        <f>MAX(Tabella211[[#This Row],[Cum_D_fit]]-CIh,0)</f>
        <v>12056.198659577038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Tabella211[[#This Row],[Cum_confirmed]]*NOT(ISBLANK(Tabella211[[#This Row],[Cum_confirmed]]))</f>
        <v>110574</v>
      </c>
      <c r="G45" s="50">
        <f>k*t0*_xlfn.GAMMA.DIST(Tabella211[[#This Row],[Day]]/t0,w+1,1,1)*_xlfn.GAMMA(w+1)</f>
        <v>110760.69708609102</v>
      </c>
      <c r="H45" s="10">
        <f>k*((Tabella211[[#This Row],[Day]]/t0)^w)*EXP(-(Tabella211[[#This Row],[Day]]/t0))</f>
        <v>4875.0036624576296</v>
      </c>
      <c r="I45" s="56">
        <f>Tabella211[[#This Row],[Cum_fit]]*NOT(ISBLANK(Tabella211[[#This Row],[Cum_confirmed]]))</f>
        <v>110760.69708609102</v>
      </c>
      <c r="J45" s="10">
        <f>Tabella211[[#This Row],[Cum_fit]]+CI</f>
        <v>113331.7407126644</v>
      </c>
      <c r="K45" s="10">
        <f>MAX(Tabella211[[#This Row],[Cum_fit]]-CI,0)</f>
        <v>108189.65345951765</v>
      </c>
      <c r="L45" s="54">
        <f>'dpc-covid19-ita-andamento-naz'!G39</f>
        <v>80572</v>
      </c>
      <c r="M45" s="54">
        <f>'dpc-covid19-ita-andamento-naz'!H39</f>
        <v>2937</v>
      </c>
      <c r="N45" s="54">
        <f>Tabella211[[#This Row],[New_cases_fit]]-Tabella211[[#This Row],[New_Recovered_fit]]-Tabella211[[#This Row],[New_Deaths_fit]]</f>
        <v>2835.3175562928732</v>
      </c>
      <c r="O45" s="10">
        <f>'dpc-covid19-ita-andamento-naz'!J39</f>
        <v>16847</v>
      </c>
      <c r="P45" s="48">
        <f>Tabella211[[#This Row],[Cum_recov]]-O44</f>
        <v>1118</v>
      </c>
      <c r="Q45" s="60">
        <f>Tabella211[[#This Row],[Cum_recov]]*NOT(ISBLANK(Tabella211[[#This Row],[Cum_recov]]))</f>
        <v>16847</v>
      </c>
      <c r="R45" s="50">
        <f>kr*t0r*_xlfn.GAMMA.DIST(Tabella211[[#This Row],[Day]]/t0r,wr+1,1,1)*_xlfn.GAMMA(wr+1)</f>
        <v>16883.559275714437</v>
      </c>
      <c r="S45" s="10">
        <f>kr*((Tabella211[[#This Row],[Day]]/t0r)^wr)*EXP(-(Tabella211[[#This Row],[Day]]/t0r))</f>
        <v>1286.5324137339849</v>
      </c>
      <c r="T45" s="60">
        <f>Tabella211[[#This Row],[Cum_R_fit]]*NOT(ISBLANK(Tabella211[[#This Row],[Cum_recov]]))</f>
        <v>16883.559275714437</v>
      </c>
      <c r="U45" s="10">
        <f>Tabella211[[#This Row],[Cum_R_fit]]+CIr</f>
        <v>17534.558094669846</v>
      </c>
      <c r="V45" s="10">
        <f>MAX(Tabella211[[#This Row],[Cum_R_fit]]-CIr,0)</f>
        <v>16232.560456759027</v>
      </c>
      <c r="W45" s="10">
        <f>'dpc-covid19-ita-andamento-naz'!K39</f>
        <v>13155</v>
      </c>
      <c r="X45" s="26">
        <f>Tabella211[[#This Row],[Cum_deaths]]-W44</f>
        <v>727</v>
      </c>
      <c r="Y45" s="65">
        <f>Tabella211[[#This Row],[Cum_deaths]]*NOT(ISBLANK(Tabella211[[#This Row],[Cum_deaths]]))</f>
        <v>13155</v>
      </c>
      <c r="Z45" s="50">
        <f>kh*t0h*_xlfn.GAMMA.DIST(Tabella211[[#This Row],[Day]]/t0h,wh+1,1,1)*_xlfn.GAMMA(wh+1)</f>
        <v>13044.126786593126</v>
      </c>
      <c r="AA45" s="10">
        <f>kh*((Tabella211[[#This Row],[Day]]/t0h)^wh)*EXP(-(Tabella211[[#This Row],[Day]]/t0h))</f>
        <v>753.15369243077168</v>
      </c>
      <c r="AB45" s="65">
        <f>Tabella211[[#This Row],[Cum_D_fit]]*NOT(ISBLANK(Tabella211[[#This Row],[Cum_deaths]]))</f>
        <v>13044.126786593126</v>
      </c>
      <c r="AC45" s="10">
        <f>Tabella211[[#This Row],[Cum_D_fit]]+CIh</f>
        <v>13272.069899061333</v>
      </c>
      <c r="AD45" s="10">
        <f>MAX(Tabella211[[#This Row],[Cum_D_fit]]-CIh,0)</f>
        <v>12816.183674124919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Tabella211[[#This Row],[Cum_confirmed]]*NOT(ISBLANK(Tabella211[[#This Row],[Cum_confirmed]]))</f>
        <v>115242</v>
      </c>
      <c r="G46" s="50">
        <f>k*t0*_xlfn.GAMMA.DIST(Tabella211[[#This Row],[Day]]/t0,w+1,1,1)*_xlfn.GAMMA(w+1)</f>
        <v>115568.17948590679</v>
      </c>
      <c r="H46" s="10">
        <f>k*((Tabella211[[#This Row],[Day]]/t0)^w)*EXP(-(Tabella211[[#This Row],[Day]]/t0))</f>
        <v>4738.1418856615019</v>
      </c>
      <c r="I46" s="56">
        <f>Tabella211[[#This Row],[Cum_fit]]*NOT(ISBLANK(Tabella211[[#This Row],[Cum_confirmed]]))</f>
        <v>115568.17948590679</v>
      </c>
      <c r="J46" s="10">
        <f>Tabella211[[#This Row],[Cum_fit]]+CI</f>
        <v>118139.22311248016</v>
      </c>
      <c r="K46" s="10">
        <f>MAX(Tabella211[[#This Row],[Cum_fit]]-CI,0)</f>
        <v>112997.13585933342</v>
      </c>
      <c r="L46" s="54">
        <f>'dpc-covid19-ita-andamento-naz'!G40</f>
        <v>83049</v>
      </c>
      <c r="M46" s="54">
        <f>'dpc-covid19-ita-andamento-naz'!H40</f>
        <v>2477</v>
      </c>
      <c r="N46" s="54">
        <f>Tabella211[[#This Row],[New_cases_fit]]-Tabella211[[#This Row],[New_Recovered_fit]]-Tabella211[[#This Row],[New_Deaths_fit]]</f>
        <v>2668.4837812765677</v>
      </c>
      <c r="O46" s="10">
        <f>'dpc-covid19-ita-andamento-naz'!J40</f>
        <v>18278</v>
      </c>
      <c r="P46" s="48">
        <f>Tabella211[[#This Row],[Cum_recov]]-O45</f>
        <v>1431</v>
      </c>
      <c r="Q46" s="60">
        <f>Tabella211[[#This Row],[Cum_recov]]*NOT(ISBLANK(Tabella211[[#This Row],[Cum_recov]]))</f>
        <v>18278</v>
      </c>
      <c r="R46" s="50">
        <f>kr*t0r*_xlfn.GAMMA.DIST(Tabella211[[#This Row],[Day]]/t0r,wr+1,1,1)*_xlfn.GAMMA(wr+1)</f>
        <v>18193.411578537696</v>
      </c>
      <c r="S46" s="10">
        <f>kr*((Tabella211[[#This Row],[Day]]/t0r)^wr)*EXP(-(Tabella211[[#This Row],[Day]]/t0r))</f>
        <v>1332.941700990239</v>
      </c>
      <c r="T46" s="60">
        <f>Tabella211[[#This Row],[Cum_R_fit]]*NOT(ISBLANK(Tabella211[[#This Row],[Cum_recov]]))</f>
        <v>18193.411578537696</v>
      </c>
      <c r="U46" s="10">
        <f>Tabella211[[#This Row],[Cum_R_fit]]+CIr</f>
        <v>18844.410397493106</v>
      </c>
      <c r="V46" s="10">
        <f>MAX(Tabella211[[#This Row],[Cum_R_fit]]-CIr,0)</f>
        <v>17542.412759582287</v>
      </c>
      <c r="W46" s="10">
        <f>'dpc-covid19-ita-andamento-naz'!K40</f>
        <v>13915</v>
      </c>
      <c r="X46" s="26">
        <f>Tabella211[[#This Row],[Cum_deaths]]-W45</f>
        <v>760</v>
      </c>
      <c r="Y46" s="65">
        <f>Tabella211[[#This Row],[Cum_deaths]]*NOT(ISBLANK(Tabella211[[#This Row],[Cum_deaths]]))</f>
        <v>13915</v>
      </c>
      <c r="Z46" s="50">
        <f>kh*t0h*_xlfn.GAMMA.DIST(Tabella211[[#This Row],[Day]]/t0h,wh+1,1,1)*_xlfn.GAMMA(wh+1)</f>
        <v>13789.325616299981</v>
      </c>
      <c r="AA46" s="10">
        <f>kh*((Tabella211[[#This Row],[Day]]/t0h)^wh)*EXP(-(Tabella211[[#This Row],[Day]]/t0h))</f>
        <v>736.71640339469513</v>
      </c>
      <c r="AB46" s="65">
        <f>Tabella211[[#This Row],[Cum_D_fit]]*NOT(ISBLANK(Tabella211[[#This Row],[Cum_deaths]]))</f>
        <v>13789.325616299981</v>
      </c>
      <c r="AC46" s="10">
        <f>Tabella211[[#This Row],[Cum_D_fit]]+CIh</f>
        <v>14017.268728768187</v>
      </c>
      <c r="AD46" s="10">
        <f>MAX(Tabella211[[#This Row],[Cum_D_fit]]-CIh,0)</f>
        <v>13561.382503831774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Tabella211[[#This Row],[Cum_confirmed]]*NOT(ISBLANK(Tabella211[[#This Row],[Cum_confirmed]]))</f>
        <v>119827</v>
      </c>
      <c r="G47" s="50">
        <f>k*t0*_xlfn.GAMMA.DIST(Tabella211[[#This Row],[Day]]/t0,w+1,1,1)*_xlfn.GAMMA(w+1)</f>
        <v>120233.66195910878</v>
      </c>
      <c r="H47" s="10">
        <f>k*((Tabella211[[#This Row],[Day]]/t0)^w)*EXP(-(Tabella211[[#This Row],[Day]]/t0))</f>
        <v>4591.3202927461007</v>
      </c>
      <c r="I47" s="56">
        <f>Tabella211[[#This Row],[Cum_fit]]*NOT(ISBLANK(Tabella211[[#This Row],[Cum_confirmed]]))</f>
        <v>120233.66195910878</v>
      </c>
      <c r="J47" s="10">
        <f>Tabella211[[#This Row],[Cum_fit]]+CI</f>
        <v>122804.70558568215</v>
      </c>
      <c r="K47" s="10">
        <f>MAX(Tabella211[[#This Row],[Cum_fit]]-CI,0)</f>
        <v>117662.61833253541</v>
      </c>
      <c r="L47" s="54">
        <f>'dpc-covid19-ita-andamento-naz'!G41</f>
        <v>85388</v>
      </c>
      <c r="M47" s="54">
        <f>'dpc-covid19-ita-andamento-naz'!H41</f>
        <v>2339</v>
      </c>
      <c r="N47" s="54">
        <f>Tabella211[[#This Row],[New_cases_fit]]-Tabella211[[#This Row],[New_Recovered_fit]]-Tabella211[[#This Row],[New_Deaths_fit]]</f>
        <v>2496.0798240286085</v>
      </c>
      <c r="O47" s="10">
        <f>'dpc-covid19-ita-andamento-naz'!J41</f>
        <v>19758</v>
      </c>
      <c r="P47" s="48">
        <f>Tabella211[[#This Row],[Cum_recov]]-O46</f>
        <v>1480</v>
      </c>
      <c r="Q47" s="60">
        <f>Tabella211[[#This Row],[Cum_recov]]*NOT(ISBLANK(Tabella211[[#This Row],[Cum_recov]]))</f>
        <v>19758</v>
      </c>
      <c r="R47" s="50">
        <f>kr*t0r*_xlfn.GAMMA.DIST(Tabella211[[#This Row],[Day]]/t0r,wr+1,1,1)*_xlfn.GAMMA(wr+1)</f>
        <v>19548.965188658924</v>
      </c>
      <c r="S47" s="10">
        <f>kr*((Tabella211[[#This Row],[Day]]/t0r)^wr)*EXP(-(Tabella211[[#This Row],[Day]]/t0r))</f>
        <v>1377.9188586992861</v>
      </c>
      <c r="T47" s="60">
        <f>Tabella211[[#This Row],[Cum_R_fit]]*NOT(ISBLANK(Tabella211[[#This Row],[Cum_recov]]))</f>
        <v>19548.965188658924</v>
      </c>
      <c r="U47" s="10">
        <f>Tabella211[[#This Row],[Cum_R_fit]]+CIr</f>
        <v>20199.964007614333</v>
      </c>
      <c r="V47" s="10">
        <f>MAX(Tabella211[[#This Row],[Cum_R_fit]]-CIr,0)</f>
        <v>18897.966369703514</v>
      </c>
      <c r="W47" s="10">
        <f>'dpc-covid19-ita-andamento-naz'!K41</f>
        <v>14681</v>
      </c>
      <c r="X47" s="26">
        <f>Tabella211[[#This Row],[Cum_deaths]]-W46</f>
        <v>766</v>
      </c>
      <c r="Y47" s="65">
        <f>Tabella211[[#This Row],[Cum_deaths]]*NOT(ISBLANK(Tabella211[[#This Row],[Cum_deaths]]))</f>
        <v>14681</v>
      </c>
      <c r="Z47" s="50">
        <f>kh*t0h*_xlfn.GAMMA.DIST(Tabella211[[#This Row],[Day]]/t0h,wh+1,1,1)*_xlfn.GAMMA(wh+1)</f>
        <v>14516.573718680251</v>
      </c>
      <c r="AA47" s="10">
        <f>kh*((Tabella211[[#This Row],[Day]]/t0h)^wh)*EXP(-(Tabella211[[#This Row],[Day]]/t0h))</f>
        <v>717.32161001820612</v>
      </c>
      <c r="AB47" s="65">
        <f>Tabella211[[#This Row],[Cum_D_fit]]*NOT(ISBLANK(Tabella211[[#This Row],[Cum_deaths]]))</f>
        <v>14516.573718680251</v>
      </c>
      <c r="AC47" s="10">
        <f>Tabella211[[#This Row],[Cum_D_fit]]+CIh</f>
        <v>14744.516831148458</v>
      </c>
      <c r="AD47" s="10">
        <f>MAX(Tabella211[[#This Row],[Cum_D_fit]]-CIh,0)</f>
        <v>14288.630606212044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Tabella211[[#This Row],[Cum_confirmed]]*NOT(ISBLANK(Tabella211[[#This Row],[Cum_confirmed]]))</f>
        <v>124632</v>
      </c>
      <c r="G48" s="50">
        <f>k*t0*_xlfn.GAMMA.DIST(Tabella211[[#This Row],[Day]]/t0,w+1,1,1)*_xlfn.GAMMA(w+1)</f>
        <v>124748.11778870685</v>
      </c>
      <c r="H48" s="10">
        <f>k*((Tabella211[[#This Row],[Day]]/t0)^w)*EXP(-(Tabella211[[#This Row],[Day]]/t0))</f>
        <v>4436.3882632629438</v>
      </c>
      <c r="I48" s="56">
        <f>Tabella211[[#This Row],[Cum_fit]]*NOT(ISBLANK(Tabella211[[#This Row],[Cum_confirmed]]))</f>
        <v>124748.11778870685</v>
      </c>
      <c r="J48" s="10">
        <f>Tabella211[[#This Row],[Cum_fit]]+CI</f>
        <v>127319.16141528022</v>
      </c>
      <c r="K48" s="10">
        <f>MAX(Tabella211[[#This Row],[Cum_fit]]-CI,0)</f>
        <v>122177.07416213347</v>
      </c>
      <c r="L48" s="54">
        <f>'dpc-covid19-ita-andamento-naz'!G42</f>
        <v>88274</v>
      </c>
      <c r="M48" s="54">
        <f>'dpc-covid19-ita-andamento-naz'!H42</f>
        <v>2886</v>
      </c>
      <c r="N48" s="54">
        <f>Tabella211[[#This Row],[New_cases_fit]]-Tabella211[[#This Row],[New_Recovered_fit]]-Tabella211[[#This Row],[New_Deaths_fit]]</f>
        <v>2319.6306361260813</v>
      </c>
      <c r="O48" s="10">
        <f>'dpc-covid19-ita-andamento-naz'!J42</f>
        <v>20996</v>
      </c>
      <c r="P48" s="48">
        <f>Tabella211[[#This Row],[Cum_recov]]-O47</f>
        <v>1238</v>
      </c>
      <c r="Q48" s="60">
        <f>Tabella211[[#This Row],[Cum_recov]]*NOT(ISBLANK(Tabella211[[#This Row],[Cum_recov]]))</f>
        <v>20996</v>
      </c>
      <c r="R48" s="50">
        <f>kr*t0r*_xlfn.GAMMA.DIST(Tabella211[[#This Row],[Day]]/t0r,wr+1,1,1)*_xlfn.GAMMA(wr+1)</f>
        <v>20948.741144999265</v>
      </c>
      <c r="S48" s="10">
        <f>kr*((Tabella211[[#This Row],[Day]]/t0r)^wr)*EXP(-(Tabella211[[#This Row],[Day]]/t0r))</f>
        <v>1421.371893870072</v>
      </c>
      <c r="T48" s="60">
        <f>Tabella211[[#This Row],[Cum_R_fit]]*NOT(ISBLANK(Tabella211[[#This Row],[Cum_recov]]))</f>
        <v>20948.741144999265</v>
      </c>
      <c r="U48" s="10">
        <f>Tabella211[[#This Row],[Cum_R_fit]]+CIr</f>
        <v>21599.739963954675</v>
      </c>
      <c r="V48" s="10">
        <f>MAX(Tabella211[[#This Row],[Cum_R_fit]]-CIr,0)</f>
        <v>20297.742326043855</v>
      </c>
      <c r="W48" s="10">
        <f>'dpc-covid19-ita-andamento-naz'!K42</f>
        <v>15362</v>
      </c>
      <c r="X48" s="26">
        <f>Tabella211[[#This Row],[Cum_deaths]]-W47</f>
        <v>681</v>
      </c>
      <c r="Y48" s="65">
        <f>Tabella211[[#This Row],[Cum_deaths]]*NOT(ISBLANK(Tabella211[[#This Row],[Cum_deaths]]))</f>
        <v>15362</v>
      </c>
      <c r="Z48" s="50">
        <f>kh*t0h*_xlfn.GAMMA.DIST(Tabella211[[#This Row],[Day]]/t0h,wh+1,1,1)*_xlfn.GAMMA(wh+1)</f>
        <v>15223.121863492852</v>
      </c>
      <c r="AA48" s="10">
        <f>kh*((Tabella211[[#This Row],[Day]]/t0h)^wh)*EXP(-(Tabella211[[#This Row],[Day]]/t0h))</f>
        <v>695.38573326679045</v>
      </c>
      <c r="AB48" s="65">
        <f>Tabella211[[#This Row],[Cum_D_fit]]*NOT(ISBLANK(Tabella211[[#This Row],[Cum_deaths]]))</f>
        <v>15223.121863492852</v>
      </c>
      <c r="AC48" s="10">
        <f>Tabella211[[#This Row],[Cum_D_fit]]+CIh</f>
        <v>15451.064975961059</v>
      </c>
      <c r="AD48" s="10">
        <f>MAX(Tabella211[[#This Row],[Cum_D_fit]]-CIh,0)</f>
        <v>14995.178751024645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Tabella211[[#This Row],[Cum_confirmed]]*NOT(ISBLANK(Tabella211[[#This Row],[Cum_confirmed]]))</f>
        <v>128948</v>
      </c>
      <c r="G49" s="50">
        <f>k*t0*_xlfn.GAMMA.DIST(Tabella211[[#This Row],[Day]]/t0,w+1,1,1)*_xlfn.GAMMA(w+1)</f>
        <v>129104.31704559058</v>
      </c>
      <c r="H49" s="10">
        <f>k*((Tabella211[[#This Row],[Day]]/t0)^w)*EXP(-(Tabella211[[#This Row],[Day]]/t0))</f>
        <v>4275.0879884705</v>
      </c>
      <c r="I49" s="56">
        <f>Tabella211[[#This Row],[Cum_fit]]*NOT(ISBLANK(Tabella211[[#This Row],[Cum_confirmed]]))</f>
        <v>129104.31704559058</v>
      </c>
      <c r="J49" s="10">
        <f>Tabella211[[#This Row],[Cum_fit]]+CI</f>
        <v>131675.36067216395</v>
      </c>
      <c r="K49" s="10">
        <f>MAX(Tabella211[[#This Row],[Cum_fit]]-CI,0)</f>
        <v>126533.27341901721</v>
      </c>
      <c r="L49" s="54">
        <f>'dpc-covid19-ita-andamento-naz'!G43</f>
        <v>91246</v>
      </c>
      <c r="M49" s="54">
        <f>'dpc-covid19-ita-andamento-naz'!H43</f>
        <v>2972</v>
      </c>
      <c r="N49" s="54">
        <f>Tabella211[[#This Row],[New_cases_fit]]-Tabella211[[#This Row],[New_Recovered_fit]]-Tabella211[[#This Row],[New_Deaths_fit]]</f>
        <v>2140.5488612940208</v>
      </c>
      <c r="O49" s="10">
        <f>'dpc-covid19-ita-andamento-naz'!J43</f>
        <v>21815</v>
      </c>
      <c r="P49" s="48">
        <f>Tabella211[[#This Row],[Cum_recov]]-O48</f>
        <v>819</v>
      </c>
      <c r="Q49" s="60">
        <f>Tabella211[[#This Row],[Cum_recov]]*NOT(ISBLANK(Tabella211[[#This Row],[Cum_recov]]))</f>
        <v>21815</v>
      </c>
      <c r="R49" s="50">
        <f>kr*t0r*_xlfn.GAMMA.DIST(Tabella211[[#This Row],[Day]]/t0r,wr+1,1,1)*_xlfn.GAMMA(wr+1)</f>
        <v>22391.173465089149</v>
      </c>
      <c r="S49" s="10">
        <f>kr*((Tabella211[[#This Row],[Day]]/t0r)^wr)*EXP(-(Tabella211[[#This Row],[Day]]/t0r))</f>
        <v>1463.2187166952021</v>
      </c>
      <c r="T49" s="60">
        <f>Tabella211[[#This Row],[Cum_R_fit]]*NOT(ISBLANK(Tabella211[[#This Row],[Cum_recov]]))</f>
        <v>22391.173465089149</v>
      </c>
      <c r="U49" s="10">
        <f>Tabella211[[#This Row],[Cum_R_fit]]+CIr</f>
        <v>23042.172284044558</v>
      </c>
      <c r="V49" s="10">
        <f>MAX(Tabella211[[#This Row],[Cum_R_fit]]-CIr,0)</f>
        <v>21740.174646133739</v>
      </c>
      <c r="W49" s="10">
        <f>'dpc-covid19-ita-andamento-naz'!K43</f>
        <v>15887</v>
      </c>
      <c r="X49" s="26">
        <f>Tabella211[[#This Row],[Cum_deaths]]-W48</f>
        <v>525</v>
      </c>
      <c r="Y49" s="65">
        <f>Tabella211[[#This Row],[Cum_deaths]]*NOT(ISBLANK(Tabella211[[#This Row],[Cum_deaths]]))</f>
        <v>15887</v>
      </c>
      <c r="Z49" s="50">
        <f>kh*t0h*_xlfn.GAMMA.DIST(Tabella211[[#This Row],[Day]]/t0h,wh+1,1,1)*_xlfn.GAMMA(wh+1)</f>
        <v>15906.635504613081</v>
      </c>
      <c r="AA49" s="10">
        <f>kh*((Tabella211[[#This Row],[Day]]/t0h)^wh)*EXP(-(Tabella211[[#This Row],[Day]]/t0h))</f>
        <v>671.32041048127701</v>
      </c>
      <c r="AB49" s="65">
        <f>Tabella211[[#This Row],[Cum_D_fit]]*NOT(ISBLANK(Tabella211[[#This Row],[Cum_deaths]]))</f>
        <v>15906.635504613081</v>
      </c>
      <c r="AC49" s="10">
        <f>Tabella211[[#This Row],[Cum_D_fit]]+CIh</f>
        <v>16134.578617081288</v>
      </c>
      <c r="AD49" s="10">
        <f>MAX(Tabella211[[#This Row],[Cum_D_fit]]-CIh,0)</f>
        <v>15678.692392144874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Tabella211[[#This Row],[Cum_confirmed]]*NOT(ISBLANK(Tabella211[[#This Row],[Cum_confirmed]]))</f>
        <v>132547</v>
      </c>
      <c r="G50" s="50">
        <f>k*t0*_xlfn.GAMMA.DIST(Tabella211[[#This Row],[Day]]/t0,w+1,1,1)*_xlfn.GAMMA(w+1)</f>
        <v>133296.71401515396</v>
      </c>
      <c r="H50" s="10">
        <f>k*((Tabella211[[#This Row],[Day]]/t0)^w)*EXP(-(Tabella211[[#This Row],[Day]]/t0))</f>
        <v>4109.0443154677478</v>
      </c>
      <c r="I50" s="56">
        <f>Tabella211[[#This Row],[Cum_fit]]*NOT(ISBLANK(Tabella211[[#This Row],[Cum_confirmed]]))</f>
        <v>133296.71401515396</v>
      </c>
      <c r="J50" s="10">
        <f>Tabella211[[#This Row],[Cum_fit]]+CI</f>
        <v>135867.75764172734</v>
      </c>
      <c r="K50" s="10">
        <f>MAX(Tabella211[[#This Row],[Cum_fit]]-CI,0)</f>
        <v>130725.67038858059</v>
      </c>
      <c r="L50" s="54">
        <f>'dpc-covid19-ita-andamento-naz'!G44</f>
        <v>93187</v>
      </c>
      <c r="M50" s="54">
        <f>'dpc-covid19-ita-andamento-naz'!H44</f>
        <v>1941</v>
      </c>
      <c r="N50" s="54">
        <f>Tabella211[[#This Row],[New_cases_fit]]-Tabella211[[#This Row],[New_Recovered_fit]]-Tabella211[[#This Row],[New_Deaths_fit]]</f>
        <v>1960.1321244130631</v>
      </c>
      <c r="O50" s="10">
        <f>'dpc-covid19-ita-andamento-naz'!J44</f>
        <v>22837</v>
      </c>
      <c r="P50" s="48">
        <f>Tabella211[[#This Row],[Cum_recov]]-O49</f>
        <v>1022</v>
      </c>
      <c r="Q50" s="60">
        <f>Tabella211[[#This Row],[Cum_recov]]*NOT(ISBLANK(Tabella211[[#This Row],[Cum_recov]]))</f>
        <v>22837</v>
      </c>
      <c r="R50" s="50">
        <f>kr*t0r*_xlfn.GAMMA.DIST(Tabella211[[#This Row],[Day]]/t0r,wr+1,1,1)*_xlfn.GAMMA(wr+1)</f>
        <v>23874.618921539644</v>
      </c>
      <c r="S50" s="10">
        <f>kr*((Tabella211[[#This Row],[Day]]/t0r)^wr)*EXP(-(Tabella211[[#This Row],[Day]]/t0r))</f>
        <v>1503.3868806882756</v>
      </c>
      <c r="T50" s="60">
        <f>Tabella211[[#This Row],[Cum_R_fit]]*NOT(ISBLANK(Tabella211[[#This Row],[Cum_recov]]))</f>
        <v>23874.618921539644</v>
      </c>
      <c r="U50" s="10">
        <f>Tabella211[[#This Row],[Cum_R_fit]]+CIr</f>
        <v>24525.617740495054</v>
      </c>
      <c r="V50" s="10">
        <f>MAX(Tabella211[[#This Row],[Cum_R_fit]]-CIr,0)</f>
        <v>23223.620102584235</v>
      </c>
      <c r="W50" s="10">
        <f>'dpc-covid19-ita-andamento-naz'!K44</f>
        <v>16523</v>
      </c>
      <c r="X50" s="26">
        <f>Tabella211[[#This Row],[Cum_deaths]]-W49</f>
        <v>636</v>
      </c>
      <c r="Y50" s="65">
        <f>Tabella211[[#This Row],[Cum_deaths]]*NOT(ISBLANK(Tabella211[[#This Row],[Cum_deaths]]))</f>
        <v>16523</v>
      </c>
      <c r="Z50" s="50">
        <f>kh*t0h*_xlfn.GAMMA.DIST(Tabella211[[#This Row],[Day]]/t0h,wh+1,1,1)*_xlfn.GAMMA(wh+1)</f>
        <v>16565.186291789378</v>
      </c>
      <c r="AA50" s="10">
        <f>kh*((Tabella211[[#This Row],[Day]]/t0h)^wh)*EXP(-(Tabella211[[#This Row],[Day]]/t0h))</f>
        <v>645.52531036640892</v>
      </c>
      <c r="AB50" s="65">
        <f>Tabella211[[#This Row],[Cum_D_fit]]*NOT(ISBLANK(Tabella211[[#This Row],[Cum_deaths]]))</f>
        <v>16565.186291789378</v>
      </c>
      <c r="AC50" s="10">
        <f>Tabella211[[#This Row],[Cum_D_fit]]+CIh</f>
        <v>16793.129404257583</v>
      </c>
      <c r="AD50" s="10">
        <f>MAX(Tabella211[[#This Row],[Cum_D_fit]]-CIh,0)</f>
        <v>16337.243179321171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Tabella211[[#This Row],[Cum_confirmed]]*NOT(ISBLANK(Tabella211[[#This Row],[Cum_confirmed]]))</f>
        <v>135586</v>
      </c>
      <c r="G51" s="50">
        <f>k*t0*_xlfn.GAMMA.DIST(Tabella211[[#This Row],[Day]]/t0,w+1,1,1)*_xlfn.GAMMA(w+1)</f>
        <v>137321.32623397795</v>
      </c>
      <c r="H51" s="10">
        <f>k*((Tabella211[[#This Row],[Day]]/t0)^w)*EXP(-(Tabella211[[#This Row],[Day]]/t0))</f>
        <v>3939.758046531877</v>
      </c>
      <c r="I51" s="56">
        <f>Tabella211[[#This Row],[Cum_fit]]*NOT(ISBLANK(Tabella211[[#This Row],[Cum_confirmed]]))</f>
        <v>137321.32623397795</v>
      </c>
      <c r="J51" s="10">
        <f>Tabella211[[#This Row],[Cum_fit]]+CI</f>
        <v>139892.36986055132</v>
      </c>
      <c r="K51" s="10">
        <f>MAX(Tabella211[[#This Row],[Cum_fit]]-CI,0)</f>
        <v>134750.28260740457</v>
      </c>
      <c r="L51" s="54">
        <f>'dpc-covid19-ita-andamento-naz'!G45</f>
        <v>94067</v>
      </c>
      <c r="M51" s="54">
        <f>'dpc-covid19-ita-andamento-naz'!H45</f>
        <v>880</v>
      </c>
      <c r="N51" s="54">
        <f>Tabella211[[#This Row],[New_cases_fit]]-Tabella211[[#This Row],[New_Recovered_fit]]-Tabella211[[#This Row],[New_Deaths_fit]]</f>
        <v>1779.5624868242976</v>
      </c>
      <c r="O51" s="10">
        <f>'dpc-covid19-ita-andamento-naz'!J45</f>
        <v>24392</v>
      </c>
      <c r="P51" s="48">
        <f>Tabella211[[#This Row],[Cum_recov]]-O50</f>
        <v>1555</v>
      </c>
      <c r="Q51" s="60">
        <f>Tabella211[[#This Row],[Cum_recov]]*NOT(ISBLANK(Tabella211[[#This Row],[Cum_recov]]))</f>
        <v>24392</v>
      </c>
      <c r="R51" s="50">
        <f>kr*t0r*_xlfn.GAMMA.DIST(Tabella211[[#This Row],[Day]]/t0r,wr+1,1,1)*_xlfn.GAMMA(wr+1)</f>
        <v>25397.366540421186</v>
      </c>
      <c r="S51" s="10">
        <f>kr*((Tabella211[[#This Row],[Day]]/t0r)^wr)*EXP(-(Tabella211[[#This Row],[Day]]/t0r))</f>
        <v>1541.8132874251824</v>
      </c>
      <c r="T51" s="60">
        <f>Tabella211[[#This Row],[Cum_R_fit]]*NOT(ISBLANK(Tabella211[[#This Row],[Cum_recov]]))</f>
        <v>25397.366540421186</v>
      </c>
      <c r="U51" s="10">
        <f>Tabella211[[#This Row],[Cum_R_fit]]+CIr</f>
        <v>26048.365359376596</v>
      </c>
      <c r="V51" s="10">
        <f>MAX(Tabella211[[#This Row],[Cum_R_fit]]-CIr,0)</f>
        <v>24746.367721465776</v>
      </c>
      <c r="W51" s="10">
        <f>'dpc-covid19-ita-andamento-naz'!K45</f>
        <v>17127</v>
      </c>
      <c r="X51" s="26">
        <f>Tabella211[[#This Row],[Cum_deaths]]-W50</f>
        <v>604</v>
      </c>
      <c r="Y51" s="65">
        <f>Tabella211[[#This Row],[Cum_deaths]]*NOT(ISBLANK(Tabella211[[#This Row],[Cum_deaths]]))</f>
        <v>17127</v>
      </c>
      <c r="Z51" s="50">
        <f>kh*t0h*_xlfn.GAMMA.DIST(Tabella211[[#This Row],[Day]]/t0h,wh+1,1,1)*_xlfn.GAMMA(wh+1)</f>
        <v>17197.237063454428</v>
      </c>
      <c r="AA51" s="10">
        <f>kh*((Tabella211[[#This Row],[Day]]/t0h)^wh)*EXP(-(Tabella211[[#This Row],[Day]]/t0h))</f>
        <v>618.38227228239714</v>
      </c>
      <c r="AB51" s="65">
        <f>Tabella211[[#This Row],[Cum_D_fit]]*NOT(ISBLANK(Tabella211[[#This Row],[Cum_deaths]]))</f>
        <v>17197.237063454428</v>
      </c>
      <c r="AC51" s="10">
        <f>Tabella211[[#This Row],[Cum_D_fit]]+CIh</f>
        <v>17425.180175922633</v>
      </c>
      <c r="AD51" s="10">
        <f>MAX(Tabella211[[#This Row],[Cum_D_fit]]-CIh,0)</f>
        <v>16969.293950986223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Tabella211[[#This Row],[Cum_confirmed]]*NOT(ISBLANK(Tabella211[[#This Row],[Cum_confirmed]]))</f>
        <v>139422</v>
      </c>
      <c r="G52" s="50">
        <f>k*t0*_xlfn.GAMMA.DIST(Tabella211[[#This Row],[Day]]/t0,w+1,1,1)*_xlfn.GAMMA(w+1)</f>
        <v>141175.60836396867</v>
      </c>
      <c r="H52" s="10">
        <f>k*((Tabella211[[#This Row],[Day]]/t0)^w)*EXP(-(Tabella211[[#This Row],[Day]]/t0))</f>
        <v>3768.6022404883138</v>
      </c>
      <c r="I52" s="56">
        <f>Tabella211[[#This Row],[Cum_fit]]*NOT(ISBLANK(Tabella211[[#This Row],[Cum_confirmed]]))</f>
        <v>141175.60836396867</v>
      </c>
      <c r="J52" s="10">
        <f>Tabella211[[#This Row],[Cum_fit]]+CI</f>
        <v>143746.65199054204</v>
      </c>
      <c r="K52" s="10">
        <f>MAX(Tabella211[[#This Row],[Cum_fit]]-CI,0)</f>
        <v>138604.5647373953</v>
      </c>
      <c r="L52" s="54">
        <f>'dpc-covid19-ita-andamento-naz'!G46</f>
        <v>95262</v>
      </c>
      <c r="M52" s="54">
        <f>'dpc-covid19-ita-andamento-naz'!H46</f>
        <v>1195</v>
      </c>
      <c r="N52" s="54">
        <f>Tabella211[[#This Row],[New_cases_fit]]-Tabella211[[#This Row],[New_Recovered_fit]]-Tabella211[[#This Row],[New_Deaths_fit]]</f>
        <v>1599.9076720656099</v>
      </c>
      <c r="O52" s="10">
        <f>'dpc-covid19-ita-andamento-naz'!J46</f>
        <v>26491</v>
      </c>
      <c r="P52" s="48">
        <f>Tabella211[[#This Row],[Cum_recov]]-O51</f>
        <v>2099</v>
      </c>
      <c r="Q52" s="60">
        <f>Tabella211[[#This Row],[Cum_recov]]*NOT(ISBLANK(Tabella211[[#This Row],[Cum_recov]]))</f>
        <v>26491</v>
      </c>
      <c r="R52" s="50">
        <f>kr*t0r*_xlfn.GAMMA.DIST(Tabella211[[#This Row],[Day]]/t0r,wr+1,1,1)*_xlfn.GAMMA(wr+1)</f>
        <v>26957.646789247196</v>
      </c>
      <c r="S52" s="10">
        <f>kr*((Tabella211[[#This Row],[Day]]/t0r)^wr)*EXP(-(Tabella211[[#This Row],[Day]]/t0r))</f>
        <v>1578.4438619794103</v>
      </c>
      <c r="T52" s="60">
        <f>Tabella211[[#This Row],[Cum_R_fit]]*NOT(ISBLANK(Tabella211[[#This Row],[Cum_recov]]))</f>
        <v>26957.646789247196</v>
      </c>
      <c r="U52" s="10">
        <f>Tabella211[[#This Row],[Cum_R_fit]]+CIr</f>
        <v>27608.645608202605</v>
      </c>
      <c r="V52" s="10">
        <f>MAX(Tabella211[[#This Row],[Cum_R_fit]]-CIr,0)</f>
        <v>26306.647970291786</v>
      </c>
      <c r="W52" s="10">
        <f>'dpc-covid19-ita-andamento-naz'!K46</f>
        <v>17669</v>
      </c>
      <c r="X52" s="26">
        <f>Tabella211[[#This Row],[Cum_deaths]]-W51</f>
        <v>542</v>
      </c>
      <c r="Y52" s="65">
        <f>Tabella211[[#This Row],[Cum_deaths]]*NOT(ISBLANK(Tabella211[[#This Row],[Cum_deaths]]))</f>
        <v>17669</v>
      </c>
      <c r="Z52" s="50">
        <f>kh*t0h*_xlfn.GAMMA.DIST(Tabella211[[#This Row],[Day]]/t0h,wh+1,1,1)*_xlfn.GAMMA(wh+1)</f>
        <v>17801.621615823795</v>
      </c>
      <c r="AA52" s="10">
        <f>kh*((Tabella211[[#This Row],[Day]]/t0h)^wh)*EXP(-(Tabella211[[#This Row],[Day]]/t0h))</f>
        <v>590.25070644329355</v>
      </c>
      <c r="AB52" s="65">
        <f>Tabella211[[#This Row],[Cum_D_fit]]*NOT(ISBLANK(Tabella211[[#This Row],[Cum_deaths]]))</f>
        <v>17801.621615823795</v>
      </c>
      <c r="AC52" s="10">
        <f>Tabella211[[#This Row],[Cum_D_fit]]+CIh</f>
        <v>18029.564728292</v>
      </c>
      <c r="AD52" s="10">
        <f>MAX(Tabella211[[#This Row],[Cum_D_fit]]-CIh,0)</f>
        <v>17573.67850335559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Tabella211[[#This Row],[Cum_confirmed]]*NOT(ISBLANK(Tabella211[[#This Row],[Cum_confirmed]]))</f>
        <v>143626</v>
      </c>
      <c r="G53" s="50">
        <f>k*t0*_xlfn.GAMMA.DIST(Tabella211[[#This Row],[Day]]/t0,w+1,1,1)*_xlfn.GAMMA(w+1)</f>
        <v>144858.32368694126</v>
      </c>
      <c r="H53" s="10">
        <f>k*((Tabella211[[#This Row],[Day]]/t0)^w)*EXP(-(Tabella211[[#This Row],[Day]]/t0))</f>
        <v>3596.8210818228235</v>
      </c>
      <c r="I53" s="56">
        <f>Tabella211[[#This Row],[Cum_fit]]*NOT(ISBLANK(Tabella211[[#This Row],[Cum_confirmed]]))</f>
        <v>144858.32368694126</v>
      </c>
      <c r="J53" s="10">
        <f>Tabella211[[#This Row],[Cum_fit]]+CI</f>
        <v>147429.36731351464</v>
      </c>
      <c r="K53" s="10">
        <f>MAX(Tabella211[[#This Row],[Cum_fit]]-CI,0)</f>
        <v>142287.28006036789</v>
      </c>
      <c r="L53" s="54">
        <f>'dpc-covid19-ita-andamento-naz'!G47</f>
        <v>96877</v>
      </c>
      <c r="M53" s="54">
        <f>'dpc-covid19-ita-andamento-naz'!H47</f>
        <v>1615</v>
      </c>
      <c r="N53" s="54">
        <f>Tabella211[[#This Row],[New_cases_fit]]-Tabella211[[#This Row],[New_Recovered_fit]]-Tabella211[[#This Row],[New_Deaths_fit]]</f>
        <v>1422.1237124543909</v>
      </c>
      <c r="O53" s="10">
        <f>'dpc-covid19-ita-andamento-naz'!J47</f>
        <v>28470</v>
      </c>
      <c r="P53" s="48">
        <f>Tabella211[[#This Row],[Cum_recov]]-O52</f>
        <v>1979</v>
      </c>
      <c r="Q53" s="60">
        <f>Tabella211[[#This Row],[Cum_recov]]*NOT(ISBLANK(Tabella211[[#This Row],[Cum_recov]]))</f>
        <v>28470</v>
      </c>
      <c r="R53" s="50">
        <f>kr*t0r*_xlfn.GAMMA.DIST(Tabella211[[#This Row],[Day]]/t0r,wr+1,1,1)*_xlfn.GAMMA(wr+1)</f>
        <v>28553.640428062365</v>
      </c>
      <c r="S53" s="10">
        <f>kr*((Tabella211[[#This Row],[Day]]/t0r)^wr)*EXP(-(Tabella211[[#This Row],[Day]]/t0r))</f>
        <v>1613.2332045702838</v>
      </c>
      <c r="T53" s="60">
        <f>Tabella211[[#This Row],[Cum_R_fit]]*NOT(ISBLANK(Tabella211[[#This Row],[Cum_recov]]))</f>
        <v>28553.640428062365</v>
      </c>
      <c r="U53" s="10">
        <f>Tabella211[[#This Row],[Cum_R_fit]]+CIr</f>
        <v>29204.639247017774</v>
      </c>
      <c r="V53" s="10">
        <f>MAX(Tabella211[[#This Row],[Cum_R_fit]]-CIr,0)</f>
        <v>27902.641609106955</v>
      </c>
      <c r="W53" s="10">
        <f>'dpc-covid19-ita-andamento-naz'!K47</f>
        <v>18279</v>
      </c>
      <c r="X53" s="26">
        <f>Tabella211[[#This Row],[Cum_deaths]]-W52</f>
        <v>610</v>
      </c>
      <c r="Y53" s="65">
        <f>Tabella211[[#This Row],[Cum_deaths]]*NOT(ISBLANK(Tabella211[[#This Row],[Cum_deaths]]))</f>
        <v>18279</v>
      </c>
      <c r="Z53" s="50">
        <f>kh*t0h*_xlfn.GAMMA.DIST(Tabella211[[#This Row],[Day]]/t0h,wh+1,1,1)*_xlfn.GAMMA(wh+1)</f>
        <v>18377.52046593307</v>
      </c>
      <c r="AA53" s="10">
        <f>kh*((Tabella211[[#This Row],[Day]]/t0h)^wh)*EXP(-(Tabella211[[#This Row],[Day]]/t0h))</f>
        <v>561.46416479814889</v>
      </c>
      <c r="AB53" s="65">
        <f>Tabella211[[#This Row],[Cum_D_fit]]*NOT(ISBLANK(Tabella211[[#This Row],[Cum_deaths]]))</f>
        <v>18377.52046593307</v>
      </c>
      <c r="AC53" s="10">
        <f>Tabella211[[#This Row],[Cum_D_fit]]+CIh</f>
        <v>18605.463578401275</v>
      </c>
      <c r="AD53" s="10">
        <f>MAX(Tabella211[[#This Row],[Cum_D_fit]]-CIh,0)</f>
        <v>18149.577353464865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Tabella211[[#This Row],[Cum_confirmed]]*NOT(ISBLANK(Tabella211[[#This Row],[Cum_confirmed]]))</f>
        <v>147577</v>
      </c>
      <c r="G54" s="50">
        <f>k*t0*_xlfn.GAMMA.DIST(Tabella211[[#This Row],[Day]]/t0,w+1,1,1)*_xlfn.GAMMA(w+1)</f>
        <v>148369.41558074084</v>
      </c>
      <c r="H54" s="10">
        <f>k*((Tabella211[[#This Row],[Day]]/t0)^w)*EXP(-(Tabella211[[#This Row],[Day]]/t0))</f>
        <v>3425.5309089653151</v>
      </c>
      <c r="I54" s="56">
        <f>Tabella211[[#This Row],[Cum_fit]]*NOT(ISBLANK(Tabella211[[#This Row],[Cum_confirmed]]))</f>
        <v>148369.41558074084</v>
      </c>
      <c r="J54" s="10">
        <f>Tabella211[[#This Row],[Cum_fit]]+CI</f>
        <v>150940.45920731421</v>
      </c>
      <c r="K54" s="10">
        <f>MAX(Tabella211[[#This Row],[Cum_fit]]-CI,0)</f>
        <v>145798.37195416747</v>
      </c>
      <c r="L54" s="54">
        <f>'dpc-covid19-ita-andamento-naz'!G48</f>
        <v>98273</v>
      </c>
      <c r="M54" s="54">
        <f>'dpc-covid19-ita-andamento-naz'!H48</f>
        <v>1396</v>
      </c>
      <c r="N54" s="54">
        <f>Tabella211[[#This Row],[New_cases_fit]]-Tabella211[[#This Row],[New_Recovered_fit]]-Tabella211[[#This Row],[New_Deaths_fit]]</f>
        <v>1247.0587113800207</v>
      </c>
      <c r="O54" s="10">
        <f>'dpc-covid19-ita-andamento-naz'!J48</f>
        <v>30455</v>
      </c>
      <c r="P54" s="48">
        <f>Tabella211[[#This Row],[Cum_recov]]-O53</f>
        <v>1985</v>
      </c>
      <c r="Q54" s="60">
        <f>Tabella211[[#This Row],[Cum_recov]]*NOT(ISBLANK(Tabella211[[#This Row],[Cum_recov]]))</f>
        <v>30455</v>
      </c>
      <c r="R54" s="50">
        <f>kr*t0r*_xlfn.GAMMA.DIST(Tabella211[[#This Row],[Day]]/t0r,wr+1,1,1)*_xlfn.GAMMA(wr+1)</f>
        <v>30183.487002384336</v>
      </c>
      <c r="S54" s="10">
        <f>kr*((Tabella211[[#This Row],[Day]]/t0r)^wr)*EXP(-(Tabella211[[#This Row],[Day]]/t0r))</f>
        <v>1646.1442234088624</v>
      </c>
      <c r="T54" s="60">
        <f>Tabella211[[#This Row],[Cum_R_fit]]*NOT(ISBLANK(Tabella211[[#This Row],[Cum_recov]]))</f>
        <v>30183.487002384336</v>
      </c>
      <c r="U54" s="10">
        <f>Tabella211[[#This Row],[Cum_R_fit]]+CIr</f>
        <v>30834.485821339746</v>
      </c>
      <c r="V54" s="10">
        <f>MAX(Tabella211[[#This Row],[Cum_R_fit]]-CIr,0)</f>
        <v>29532.488183428926</v>
      </c>
      <c r="W54" s="10">
        <f>'dpc-covid19-ita-andamento-naz'!K48</f>
        <v>18849</v>
      </c>
      <c r="X54" s="26">
        <f>Tabella211[[#This Row],[Cum_deaths]]-W53</f>
        <v>570</v>
      </c>
      <c r="Y54" s="65">
        <f>Tabella211[[#This Row],[Cum_deaths]]*NOT(ISBLANK(Tabella211[[#This Row],[Cum_deaths]]))</f>
        <v>18849</v>
      </c>
      <c r="Z54" s="50">
        <f>kh*t0h*_xlfn.GAMMA.DIST(Tabella211[[#This Row],[Day]]/t0h,wh+1,1,1)*_xlfn.GAMMA(wh+1)</f>
        <v>18924.433726277333</v>
      </c>
      <c r="AA54" s="10">
        <f>kh*((Tabella211[[#This Row],[Day]]/t0h)^wh)*EXP(-(Tabella211[[#This Row],[Day]]/t0h))</f>
        <v>532.32797417643189</v>
      </c>
      <c r="AB54" s="65">
        <f>Tabella211[[#This Row],[Cum_D_fit]]*NOT(ISBLANK(Tabella211[[#This Row],[Cum_deaths]]))</f>
        <v>18924.433726277333</v>
      </c>
      <c r="AC54" s="10">
        <f>Tabella211[[#This Row],[Cum_D_fit]]+CIh</f>
        <v>19152.376838745538</v>
      </c>
      <c r="AD54" s="10">
        <f>MAX(Tabella211[[#This Row],[Cum_D_fit]]-CIh,0)</f>
        <v>18696.490613809128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Tabella211[[#This Row],[Cum_confirmed]]*NOT(ISBLANK(Tabella211[[#This Row],[Cum_confirmed]]))</f>
        <v>152271</v>
      </c>
      <c r="G55" s="50">
        <f>k*t0*_xlfn.GAMMA.DIST(Tabella211[[#This Row],[Day]]/t0,w+1,1,1)*_xlfn.GAMMA(w+1)</f>
        <v>151709.88094428022</v>
      </c>
      <c r="H55" s="10">
        <f>k*((Tabella211[[#This Row],[Day]]/t0)^w)*EXP(-(Tabella211[[#This Row],[Day]]/t0))</f>
        <v>3255.7230234932158</v>
      </c>
      <c r="I55" s="56">
        <f>Tabella211[[#This Row],[Cum_fit]]*NOT(ISBLANK(Tabella211[[#This Row],[Cum_confirmed]]))</f>
        <v>151709.88094428022</v>
      </c>
      <c r="J55" s="10">
        <f>Tabella211[[#This Row],[Cum_fit]]+CI</f>
        <v>154280.92457085359</v>
      </c>
      <c r="K55" s="10">
        <f>MAX(Tabella211[[#This Row],[Cum_fit]]-CI,0)</f>
        <v>149138.83731770684</v>
      </c>
      <c r="L55" s="54">
        <f>'dpc-covid19-ita-andamento-naz'!G49</f>
        <v>100269</v>
      </c>
      <c r="M55" s="54">
        <f>'dpc-covid19-ita-andamento-naz'!H49</f>
        <v>1996</v>
      </c>
      <c r="N55" s="54">
        <f>Tabella211[[#This Row],[New_cases_fit]]-Tabella211[[#This Row],[New_Recovered_fit]]-Tabella211[[#This Row],[New_Deaths_fit]]</f>
        <v>1075.4574578038541</v>
      </c>
      <c r="O55" s="10">
        <f>'dpc-covid19-ita-andamento-naz'!J49</f>
        <v>32534</v>
      </c>
      <c r="P55" s="48">
        <f>Tabella211[[#This Row],[Cum_recov]]-O54</f>
        <v>2079</v>
      </c>
      <c r="Q55" s="60">
        <f>Tabella211[[#This Row],[Cum_recov]]*NOT(ISBLANK(Tabella211[[#This Row],[Cum_recov]]))</f>
        <v>32534</v>
      </c>
      <c r="R55" s="50">
        <f>kr*t0r*_xlfn.GAMMA.DIST(Tabella211[[#This Row],[Day]]/t0r,wr+1,1,1)*_xlfn.GAMMA(wr+1)</f>
        <v>31845.292961478644</v>
      </c>
      <c r="S55" s="10">
        <f>kr*((Tabella211[[#This Row],[Day]]/t0r)^wr)*EXP(-(Tabella211[[#This Row],[Day]]/t0r))</f>
        <v>1677.1477532280694</v>
      </c>
      <c r="T55" s="60">
        <f>Tabella211[[#This Row],[Cum_R_fit]]*NOT(ISBLANK(Tabella211[[#This Row],[Cum_recov]]))</f>
        <v>31845.292961478644</v>
      </c>
      <c r="U55" s="10">
        <f>Tabella211[[#This Row],[Cum_R_fit]]+CIr</f>
        <v>32496.291780434054</v>
      </c>
      <c r="V55" s="10">
        <f>MAX(Tabella211[[#This Row],[Cum_R_fit]]-CIr,0)</f>
        <v>31194.294142523235</v>
      </c>
      <c r="W55" s="10">
        <f>'dpc-covid19-ita-andamento-naz'!K49</f>
        <v>19468</v>
      </c>
      <c r="X55" s="26">
        <f>Tabella211[[#This Row],[Cum_deaths]]-W54</f>
        <v>619</v>
      </c>
      <c r="Y55" s="65">
        <f>Tabella211[[#This Row],[Cum_deaths]]*NOT(ISBLANK(Tabella211[[#This Row],[Cum_deaths]]))</f>
        <v>19468</v>
      </c>
      <c r="Z55" s="50">
        <f>kh*t0h*_xlfn.GAMMA.DIST(Tabella211[[#This Row],[Day]]/t0h,wh+1,1,1)*_xlfn.GAMMA(wh+1)</f>
        <v>19442.152094325742</v>
      </c>
      <c r="AA55" s="10">
        <f>kh*((Tabella211[[#This Row],[Day]]/t0h)^wh)*EXP(-(Tabella211[[#This Row],[Day]]/t0h))</f>
        <v>503.11781246129215</v>
      </c>
      <c r="AB55" s="65">
        <f>Tabella211[[#This Row],[Cum_D_fit]]*NOT(ISBLANK(Tabella211[[#This Row],[Cum_deaths]]))</f>
        <v>19442.152094325742</v>
      </c>
      <c r="AC55" s="10">
        <f>Tabella211[[#This Row],[Cum_D_fit]]+CIh</f>
        <v>19670.095206793947</v>
      </c>
      <c r="AD55" s="10">
        <f>MAX(Tabella211[[#This Row],[Cum_D_fit]]-CIh,0)</f>
        <v>19214.208981857537</v>
      </c>
    </row>
    <row r="56" spans="2:30" x14ac:dyDescent="0.3">
      <c r="B56" s="9">
        <v>43933</v>
      </c>
      <c r="C56" s="4">
        <f t="shared" si="0"/>
        <v>48</v>
      </c>
      <c r="D56" s="10">
        <f>'dpc-covid19-ita-andamento-naz'!L50</f>
        <v>156363</v>
      </c>
      <c r="E56" s="30">
        <f>'dpc-covid19-ita-andamento-naz'!I50</f>
        <v>4092</v>
      </c>
      <c r="F56" s="56">
        <f>Tabella211[[#This Row],[Cum_confirmed]]*NOT(ISBLANK(Tabella211[[#This Row],[Cum_confirmed]]))</f>
        <v>156363</v>
      </c>
      <c r="G56" s="50">
        <f>k*t0*_xlfn.GAMMA.DIST(Tabella211[[#This Row],[Day]]/t0,w+1,1,1)*_xlfn.GAMMA(w+1)</f>
        <v>154881.64717699765</v>
      </c>
      <c r="H56" s="10">
        <f>k*((Tabella211[[#This Row],[Day]]/t0)^w)*EXP(-(Tabella211[[#This Row],[Day]]/t0))</f>
        <v>3088.2679350855069</v>
      </c>
      <c r="I56" s="56">
        <f>Tabella211[[#This Row],[Cum_fit]]*NOT(ISBLANK(Tabella211[[#This Row],[Cum_confirmed]]))</f>
        <v>154881.64717699765</v>
      </c>
      <c r="J56" s="10">
        <f>Tabella211[[#This Row],[Cum_fit]]+CI</f>
        <v>157452.69080357102</v>
      </c>
      <c r="K56" s="10">
        <f>MAX(Tabella211[[#This Row],[Cum_fit]]-CI,0)</f>
        <v>152310.60355042428</v>
      </c>
      <c r="L56" s="54">
        <f>'dpc-covid19-ita-andamento-naz'!G50</f>
        <v>102253</v>
      </c>
      <c r="M56" s="54">
        <f>'dpc-covid19-ita-andamento-naz'!H50</f>
        <v>1984</v>
      </c>
      <c r="N56" s="54">
        <f>Tabella211[[#This Row],[New_cases_fit]]-Tabella211[[#This Row],[New_Recovered_fit]]-Tabella211[[#This Row],[New_Deaths_fit]]</f>
        <v>907.96666770594425</v>
      </c>
      <c r="O56" s="10">
        <f>'dpc-covid19-ita-andamento-naz'!J50</f>
        <v>34211</v>
      </c>
      <c r="P56" s="48">
        <f>Tabella211[[#This Row],[Cum_recov]]-O55</f>
        <v>1677</v>
      </c>
      <c r="Q56" s="60">
        <f>Tabella211[[#This Row],[Cum_recov]]*NOT(ISBLANK(Tabella211[[#This Row],[Cum_recov]]))</f>
        <v>34211</v>
      </c>
      <c r="R56" s="50">
        <f>kr*t0r*_xlfn.GAMMA.DIST(Tabella211[[#This Row],[Day]]/t0r,wr+1,1,1)*_xlfn.GAMMA(wr+1)</f>
        <v>33537.139389701362</v>
      </c>
      <c r="S56" s="10">
        <f>kr*((Tabella211[[#This Row],[Day]]/t0r)^wr)*EXP(-(Tabella211[[#This Row],[Day]]/t0r))</f>
        <v>1706.2221635202382</v>
      </c>
      <c r="T56" s="60">
        <f>Tabella211[[#This Row],[Cum_R_fit]]*NOT(ISBLANK(Tabella211[[#This Row],[Cum_recov]]))</f>
        <v>33537.139389701362</v>
      </c>
      <c r="U56" s="10">
        <f>Tabella211[[#This Row],[Cum_R_fit]]+CIr</f>
        <v>34188.138208656776</v>
      </c>
      <c r="V56" s="10">
        <f>MAX(Tabella211[[#This Row],[Cum_R_fit]]-CIr,0)</f>
        <v>32886.140570745949</v>
      </c>
      <c r="W56" s="10">
        <f>'dpc-covid19-ita-andamento-naz'!K50</f>
        <v>19899</v>
      </c>
      <c r="X56" s="26">
        <f>Tabella211[[#This Row],[Cum_deaths]]-W55</f>
        <v>431</v>
      </c>
      <c r="Y56" s="65">
        <f>Tabella211[[#This Row],[Cum_deaths]]*NOT(ISBLANK(Tabella211[[#This Row],[Cum_deaths]]))</f>
        <v>19899</v>
      </c>
      <c r="Z56" s="50">
        <f>kh*t0h*_xlfn.GAMMA.DIST(Tabella211[[#This Row],[Day]]/t0h,wh+1,1,1)*_xlfn.GAMMA(wh+1)</f>
        <v>19930.72683814236</v>
      </c>
      <c r="AA56" s="10">
        <f>kh*((Tabella211[[#This Row],[Day]]/t0h)^wh)*EXP(-(Tabella211[[#This Row],[Day]]/t0h))</f>
        <v>474.0791038593245</v>
      </c>
      <c r="AB56" s="65">
        <f>Tabella211[[#This Row],[Cum_D_fit]]*NOT(ISBLANK(Tabella211[[#This Row],[Cum_deaths]]))</f>
        <v>19930.72683814236</v>
      </c>
      <c r="AC56" s="10">
        <f>Tabella211[[#This Row],[Cum_D_fit]]+CIh</f>
        <v>20158.669950610565</v>
      </c>
      <c r="AD56" s="10">
        <f>MAX(Tabella211[[#This Row],[Cum_D_fit]]-CIh,0)</f>
        <v>19702.783725674155</v>
      </c>
    </row>
    <row r="57" spans="2:30" x14ac:dyDescent="0.3">
      <c r="B57" s="9">
        <v>43934</v>
      </c>
      <c r="C57" s="4">
        <f t="shared" si="0"/>
        <v>49</v>
      </c>
      <c r="D57" s="10">
        <f>'dpc-covid19-ita-andamento-naz'!L51</f>
        <v>159516</v>
      </c>
      <c r="E57" s="30">
        <f>'dpc-covid19-ita-andamento-naz'!I51</f>
        <v>3153</v>
      </c>
      <c r="F57" s="56">
        <f>Tabella211[[#This Row],[Cum_confirmed]]*NOT(ISBLANK(Tabella211[[#This Row],[Cum_confirmed]]))</f>
        <v>159516</v>
      </c>
      <c r="G57" s="50">
        <f>k*t0*_xlfn.GAMMA.DIST(Tabella211[[#This Row],[Day]]/t0,w+1,1,1)*_xlfn.GAMMA(w+1)</f>
        <v>157887.45399020263</v>
      </c>
      <c r="H57" s="10">
        <f>k*((Tabella211[[#This Row],[Day]]/t0)^w)*EXP(-(Tabella211[[#This Row],[Day]]/t0))</f>
        <v>2923.9207314327823</v>
      </c>
      <c r="I57" s="56">
        <f>Tabella211[[#This Row],[Cum_fit]]*NOT(ISBLANK(Tabella211[[#This Row],[Cum_confirmed]]))</f>
        <v>157887.45399020263</v>
      </c>
      <c r="J57" s="10">
        <f>Tabella211[[#This Row],[Cum_fit]]+CI</f>
        <v>160458.497616776</v>
      </c>
      <c r="K57" s="10">
        <f>MAX(Tabella211[[#This Row],[Cum_fit]]-CI,0)</f>
        <v>155316.41036362926</v>
      </c>
      <c r="L57" s="54">
        <f>'dpc-covid19-ita-andamento-naz'!G51</f>
        <v>103616</v>
      </c>
      <c r="M57" s="54">
        <f>'dpc-covid19-ita-andamento-naz'!H51</f>
        <v>1363</v>
      </c>
      <c r="N57" s="54">
        <f>Tabella211[[#This Row],[New_cases_fit]]-Tabella211[[#This Row],[New_Recovered_fit]]-Tabella211[[#This Row],[New_Deaths_fit]]</f>
        <v>745.14066179035717</v>
      </c>
      <c r="O57" s="10">
        <f>'dpc-covid19-ita-andamento-naz'!J51</f>
        <v>35435</v>
      </c>
      <c r="P57" s="48">
        <f>Tabella211[[#This Row],[Cum_recov]]-O56</f>
        <v>1224</v>
      </c>
      <c r="Q57" s="60">
        <f>Tabella211[[#This Row],[Cum_recov]]*NOT(ISBLANK(Tabella211[[#This Row],[Cum_recov]]))</f>
        <v>35435</v>
      </c>
      <c r="R57" s="50">
        <f>kr*t0r*_xlfn.GAMMA.DIST(Tabella211[[#This Row],[Day]]/t0r,wr+1,1,1)*_xlfn.GAMMA(wr+1)</f>
        <v>35257.089342446692</v>
      </c>
      <c r="S57" s="10">
        <f>kr*((Tabella211[[#This Row],[Day]]/t0r)^wr)*EXP(-(Tabella211[[#This Row],[Day]]/t0r))</f>
        <v>1733.3529600753577</v>
      </c>
      <c r="T57" s="60">
        <f>Tabella211[[#This Row],[Cum_R_fit]]*NOT(ISBLANK(Tabella211[[#This Row],[Cum_recov]]))</f>
        <v>35257.089342446692</v>
      </c>
      <c r="U57" s="10">
        <f>Tabella211[[#This Row],[Cum_R_fit]]+CIr</f>
        <v>35908.088161402105</v>
      </c>
      <c r="V57" s="10">
        <f>MAX(Tabella211[[#This Row],[Cum_R_fit]]-CIr,0)</f>
        <v>34606.090523491279</v>
      </c>
      <c r="W57" s="10">
        <f>'dpc-covid19-ita-andamento-naz'!K51</f>
        <v>20465</v>
      </c>
      <c r="X57" s="26">
        <f>Tabella211[[#This Row],[Cum_deaths]]-W56</f>
        <v>566</v>
      </c>
      <c r="Y57" s="65">
        <f>Tabella211[[#This Row],[Cum_deaths]]*NOT(ISBLANK(Tabella211[[#This Row],[Cum_deaths]]))</f>
        <v>20465</v>
      </c>
      <c r="Z57" s="50">
        <f>kh*t0h*_xlfn.GAMMA.DIST(Tabella211[[#This Row],[Day]]/t0h,wh+1,1,1)*_xlfn.GAMMA(wh+1)</f>
        <v>20390.439535164809</v>
      </c>
      <c r="AA57" s="10">
        <f>kh*((Tabella211[[#This Row],[Day]]/t0h)^wh)*EXP(-(Tabella211[[#This Row],[Day]]/t0h))</f>
        <v>445.42710956706748</v>
      </c>
      <c r="AB57" s="65">
        <f>Tabella211[[#This Row],[Cum_D_fit]]*NOT(ISBLANK(Tabella211[[#This Row],[Cum_deaths]]))</f>
        <v>20390.439535164809</v>
      </c>
      <c r="AC57" s="10">
        <f>Tabella211[[#This Row],[Cum_D_fit]]+CIh</f>
        <v>20618.382647633014</v>
      </c>
      <c r="AD57" s="10">
        <f>MAX(Tabella211[[#This Row],[Cum_D_fit]]-CIh,0)</f>
        <v>20162.496422696604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Tabella211[[#This Row],[Cum_confirmed]]*NOT(ISBLANK(Tabella211[[#This Row],[Cum_confirmed]]))</f>
        <v>0</v>
      </c>
      <c r="G58" s="50">
        <f>k*t0*_xlfn.GAMMA.DIST(Tabella211[[#This Row],[Day]]/t0,w+1,1,1)*_xlfn.GAMMA(w+1)</f>
        <v>160730.74103426683</v>
      </c>
      <c r="H58" s="10">
        <f>k*((Tabella211[[#This Row],[Day]]/t0)^w)*EXP(-(Tabella211[[#This Row],[Day]]/t0))</f>
        <v>2763.3272968148772</v>
      </c>
      <c r="I58" s="56">
        <f>Tabella211[[#This Row],[Cum_fit]]*NOT(ISBLANK(Tabella211[[#This Row],[Cum_confirmed]]))</f>
        <v>0</v>
      </c>
      <c r="L58" s="55"/>
      <c r="M58" s="54"/>
      <c r="N58" s="54">
        <f>Tabella211[[#This Row],[New_cases_fit]]-Tabella211[[#This Row],[New_Recovered_fit]]-Tabella211[[#This Row],[New_Deaths_fit]]</f>
        <v>587.44731960952095</v>
      </c>
      <c r="P58" s="48"/>
      <c r="Q58" s="60">
        <f>Tabella211[[#This Row],[Cum_recov]]*NOT(ISBLANK(Tabella211[[#This Row],[Cum_recov]]))</f>
        <v>0</v>
      </c>
      <c r="R58" s="50">
        <f>kr*t0r*_xlfn.GAMMA.DIST(Tabella211[[#This Row],[Day]]/t0r,wr+1,1,1)*_xlfn.GAMMA(wr+1)</f>
        <v>37003.194781630707</v>
      </c>
      <c r="S58" s="10">
        <f>kr*((Tabella211[[#This Row],[Day]]/t0r)^wr)*EXP(-(Tabella211[[#This Row],[Day]]/t0r))</f>
        <v>1758.5323830153279</v>
      </c>
      <c r="T58" s="60">
        <f>Tabella211[[#This Row],[Cum_R_fit]]*NOT(ISBLANK(Tabella211[[#This Row],[Cum_recov]]))</f>
        <v>0</v>
      </c>
      <c r="X58" s="26"/>
      <c r="Y58" s="65">
        <f>Tabella211[[#This Row],[Cum_deaths]]*NOT(ISBLANK(Tabella211[[#This Row],[Cum_deaths]]))</f>
        <v>0</v>
      </c>
      <c r="Z58" s="50">
        <f>kh*t0h*_xlfn.GAMMA.DIST(Tabella211[[#This Row],[Day]]/t0h,wh+1,1,1)*_xlfn.GAMMA(wh+1)</f>
        <v>20821.772199245297</v>
      </c>
      <c r="AA58" s="10">
        <f>kh*((Tabella211[[#This Row],[Day]]/t0h)^wh)*EXP(-(Tabella211[[#This Row],[Day]]/t0h))</f>
        <v>417.3475941900283</v>
      </c>
      <c r="AB58" s="65">
        <f>Tabella211[[#This Row],[Cum_D_fit]]*NOT(ISBLANK(Tabella211[[#This Row],[Cum_deaths]]))</f>
        <v>0</v>
      </c>
      <c r="AC58" s="10"/>
      <c r="AD58" s="10"/>
    </row>
    <row r="59" spans="2:30" x14ac:dyDescent="0.3">
      <c r="B59" s="9">
        <v>43936</v>
      </c>
      <c r="C59" s="4">
        <f t="shared" si="0"/>
        <v>51</v>
      </c>
      <c r="E59" s="30"/>
      <c r="F59" s="56">
        <f>Tabella211[[#This Row],[Cum_confirmed]]*NOT(ISBLANK(Tabella211[[#This Row],[Cum_confirmed]]))</f>
        <v>0</v>
      </c>
      <c r="G59" s="50">
        <f>k*t0*_xlfn.GAMMA.DIST(Tabella211[[#This Row],[Day]]/t0,w+1,1,1)*_xlfn.GAMMA(w+1)</f>
        <v>163415.54206629383</v>
      </c>
      <c r="H59" s="10">
        <f>k*((Tabella211[[#This Row],[Day]]/t0)^w)*EXP(-(Tabella211[[#This Row],[Day]]/t0))</f>
        <v>2607.0311368042981</v>
      </c>
      <c r="I59" s="56">
        <f>Tabella211[[#This Row],[Cum_fit]]*NOT(ISBLANK(Tabella211[[#This Row],[Cum_confirmed]]))</f>
        <v>0</v>
      </c>
      <c r="L59" s="55"/>
      <c r="M59" s="54"/>
      <c r="N59" s="54">
        <f>Tabella211[[#This Row],[New_cases_fit]]-Tabella211[[#This Row],[New_Recovered_fit]]-Tabella211[[#This Row],[New_Deaths_fit]]</f>
        <v>435.27417748819619</v>
      </c>
      <c r="P59" s="48"/>
      <c r="Q59" s="60">
        <f>Tabella211[[#This Row],[Cum_recov]]*NOT(ISBLANK(Tabella211[[#This Row],[Cum_recov]]))</f>
        <v>0</v>
      </c>
      <c r="R59" s="50">
        <f>kr*t0r*_xlfn.GAMMA.DIST(Tabella211[[#This Row],[Day]]/t0r,wr+1,1,1)*_xlfn.GAMMA(wr+1)</f>
        <v>38773.503108649849</v>
      </c>
      <c r="S59" s="10">
        <f>kr*((Tabella211[[#This Row],[Day]]/t0r)^wr)*EXP(-(Tabella211[[#This Row],[Day]]/t0r))</f>
        <v>1781.7590041521296</v>
      </c>
      <c r="T59" s="60">
        <f>Tabella211[[#This Row],[Cum_R_fit]]*NOT(ISBLANK(Tabella211[[#This Row],[Cum_recov]]))</f>
        <v>0</v>
      </c>
      <c r="X59" s="26"/>
      <c r="Y59" s="65">
        <f>Tabella211[[#This Row],[Cum_deaths]]*NOT(ISBLANK(Tabella211[[#This Row],[Cum_deaths]]))</f>
        <v>0</v>
      </c>
      <c r="Z59" s="50">
        <f>kh*t0h*_xlfn.GAMMA.DIST(Tabella211[[#This Row],[Day]]/t0h,wh+1,1,1)*_xlfn.GAMMA(wh+1)</f>
        <v>21225.378314662048</v>
      </c>
      <c r="AA59" s="10">
        <f>kh*((Tabella211[[#This Row],[Day]]/t0h)^wh)*EXP(-(Tabella211[[#This Row],[Day]]/t0h))</f>
        <v>389.99795516397228</v>
      </c>
      <c r="AB59" s="65">
        <f>Tabella211[[#This Row],[Cum_D_fit]]*NOT(ISBLANK(Tabella211[[#This Row],[Cum_deaths]]))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Tabella211[[#This Row],[Cum_confirmed]]*NOT(ISBLANK(Tabella211[[#This Row],[Cum_confirmed]]))</f>
        <v>0</v>
      </c>
      <c r="G60" s="50">
        <f>k*t0*_xlfn.GAMMA.DIST(Tabella211[[#This Row],[Day]]/t0,w+1,1,1)*_xlfn.GAMMA(w+1)</f>
        <v>165946.38615666609</v>
      </c>
      <c r="H60" s="10">
        <f>k*((Tabella211[[#This Row],[Day]]/t0)^w)*EXP(-(Tabella211[[#This Row],[Day]]/t0))</f>
        <v>2455.4805988802568</v>
      </c>
      <c r="I60" s="56">
        <f>Tabella211[[#This Row],[Cum_fit]]*NOT(ISBLANK(Tabella211[[#This Row],[Cum_confirmed]]))</f>
        <v>0</v>
      </c>
      <c r="L60" s="55"/>
      <c r="M60" s="54"/>
      <c r="N60" s="54">
        <f>Tabella211[[#This Row],[New_cases_fit]]-Tabella211[[#This Row],[New_Recovered_fit]]-Tabella211[[#This Row],[New_Deaths_fit]]</f>
        <v>288.93456141895143</v>
      </c>
      <c r="P60" s="48"/>
      <c r="Q60" s="60">
        <f>Tabella211[[#This Row],[Cum_recov]]*NOT(ISBLANK(Tabella211[[#This Row],[Cum_recov]]))</f>
        <v>0</v>
      </c>
      <c r="R60" s="50">
        <f>kr*t0r*_xlfn.GAMMA.DIST(Tabella211[[#This Row],[Day]]/t0r,wr+1,1,1)*_xlfn.GAMMA(wr+1)</f>
        <v>40566.063295410422</v>
      </c>
      <c r="S60" s="10">
        <f>kr*((Tabella211[[#This Row],[Day]]/t0r)^wr)*EXP(-(Tabella211[[#This Row],[Day]]/t0r))</f>
        <v>1803.0373261592865</v>
      </c>
      <c r="T60" s="60">
        <f>Tabella211[[#This Row],[Cum_R_fit]]*NOT(ISBLANK(Tabella211[[#This Row],[Cum_recov]]))</f>
        <v>0</v>
      </c>
      <c r="X60" s="26"/>
      <c r="Y60" s="65">
        <f>Tabella211[[#This Row],[Cum_deaths]]*NOT(ISBLANK(Tabella211[[#This Row],[Cum_deaths]]))</f>
        <v>0</v>
      </c>
      <c r="Z60" s="50">
        <f>kh*t0h*_xlfn.GAMMA.DIST(Tabella211[[#This Row],[Day]]/t0h,wh+1,1,1)*_xlfn.GAMMA(wh+1)</f>
        <v>21602.05518736365</v>
      </c>
      <c r="AA60" s="10">
        <f>kh*((Tabella211[[#This Row],[Day]]/t0h)^wh)*EXP(-(Tabella211[[#This Row],[Day]]/t0h))</f>
        <v>363.50871130201887</v>
      </c>
      <c r="AB60" s="65">
        <f>Tabella211[[#This Row],[Cum_D_fit]]*NOT(ISBLANK(Tabella211[[#This Row],[Cum_deaths]]))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Tabella211[[#This Row],[Cum_confirmed]]*NOT(ISBLANK(Tabella211[[#This Row],[Cum_confirmed]]))</f>
        <v>0</v>
      </c>
      <c r="G61" s="50">
        <f>k*t0*_xlfn.GAMMA.DIST(Tabella211[[#This Row],[Day]]/t0,w+1,1,1)*_xlfn.GAMMA(w+1)</f>
        <v>168328.2062380412</v>
      </c>
      <c r="H61" s="10">
        <f>k*((Tabella211[[#This Row],[Day]]/t0)^w)*EXP(-(Tabella211[[#This Row],[Day]]/t0))</f>
        <v>2309.03630917275</v>
      </c>
      <c r="I61" s="56">
        <f>Tabella211[[#This Row],[Cum_fit]]*NOT(ISBLANK(Tabella211[[#This Row],[Cum_confirmed]]))</f>
        <v>0</v>
      </c>
      <c r="L61" s="55"/>
      <c r="M61" s="54"/>
      <c r="N61" s="54">
        <f>Tabella211[[#This Row],[New_cases_fit]]-Tabella211[[#This Row],[New_Recovered_fit]]-Tabella211[[#This Row],[New_Deaths_fit]]</f>
        <v>148.6736667213612</v>
      </c>
      <c r="P61" s="48"/>
      <c r="Q61" s="60">
        <f>Tabella211[[#This Row],[Cum_recov]]*NOT(ISBLANK(Tabella211[[#This Row],[Cum_recov]]))</f>
        <v>0</v>
      </c>
      <c r="R61" s="50">
        <f>kr*t0r*_xlfn.GAMMA.DIST(Tabella211[[#This Row],[Day]]/t0r,wr+1,1,1)*_xlfn.GAMMA(wr+1)</f>
        <v>42378.931616355956</v>
      </c>
      <c r="S61" s="10">
        <f>kr*((Tabella211[[#This Row],[Day]]/t0r)^wr)*EXP(-(Tabella211[[#This Row],[Day]]/t0r))</f>
        <v>1822.3773857348588</v>
      </c>
      <c r="T61" s="60">
        <f>Tabella211[[#This Row],[Cum_R_fit]]*NOT(ISBLANK(Tabella211[[#This Row],[Cum_recov]]))</f>
        <v>0</v>
      </c>
      <c r="X61" s="26"/>
      <c r="Y61" s="65">
        <f>Tabella211[[#This Row],[Cum_deaths]]*NOT(ISBLANK(Tabella211[[#This Row],[Cum_deaths]]))</f>
        <v>0</v>
      </c>
      <c r="Z61" s="50">
        <f>kh*t0h*_xlfn.GAMMA.DIST(Tabella211[[#This Row],[Day]]/t0h,wh+1,1,1)*_xlfn.GAMMA(wh+1)</f>
        <v>21952.717924817371</v>
      </c>
      <c r="AA61" s="10">
        <f>kh*((Tabella211[[#This Row],[Day]]/t0h)^wh)*EXP(-(Tabella211[[#This Row],[Day]]/t0h))</f>
        <v>337.98525671652999</v>
      </c>
      <c r="AB61" s="65">
        <f>Tabella211[[#This Row],[Cum_D_fit]]*NOT(ISBLANK(Tabella211[[#This Row],[Cum_deaths]]))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Tabella211[[#This Row],[Cum_confirmed]]*NOT(ISBLANK(Tabella211[[#This Row],[Cum_confirmed]]))</f>
        <v>0</v>
      </c>
      <c r="G62" s="50">
        <f>k*t0*_xlfn.GAMMA.DIST(Tabella211[[#This Row],[Day]]/t0,w+1,1,1)*_xlfn.GAMMA(w+1)</f>
        <v>170566.25513489638</v>
      </c>
      <c r="H62" s="10">
        <f>k*((Tabella211[[#This Row],[Day]]/t0)^w)*EXP(-(Tabella211[[#This Row],[Day]]/t0))</f>
        <v>2167.9786737865888</v>
      </c>
      <c r="I62" s="56">
        <f>Tabella211[[#This Row],[Cum_fit]]*NOT(ISBLANK(Tabella211[[#This Row],[Cum_confirmed]]))</f>
        <v>0</v>
      </c>
      <c r="L62" s="55"/>
      <c r="M62" s="54"/>
      <c r="N62" s="54">
        <f>Tabella211[[#This Row],[New_cases_fit]]-Tabella211[[#This Row],[New_Recovered_fit]]-Tabella211[[#This Row],[New_Deaths_fit]]</f>
        <v>14.674513997919519</v>
      </c>
      <c r="P62" s="48"/>
      <c r="Q62" s="60">
        <f>Tabella211[[#This Row],[Cum_recov]]*NOT(ISBLANK(Tabella211[[#This Row],[Cum_recov]]))</f>
        <v>0</v>
      </c>
      <c r="R62" s="50">
        <f>kr*t0r*_xlfn.GAMMA.DIST(Tabella211[[#This Row],[Day]]/t0r,wr+1,1,1)*_xlfn.GAMMA(wr+1)</f>
        <v>44210.176986453313</v>
      </c>
      <c r="S62" s="10">
        <f>kr*((Tabella211[[#This Row],[Day]]/t0r)^wr)*EXP(-(Tabella211[[#This Row],[Day]]/t0r))</f>
        <v>1839.7943626489243</v>
      </c>
      <c r="T62" s="60">
        <f>Tabella211[[#This Row],[Cum_R_fit]]*NOT(ISBLANK(Tabella211[[#This Row],[Cum_recov]]))</f>
        <v>0</v>
      </c>
      <c r="X62" s="26"/>
      <c r="Y62" s="65">
        <f>Tabella211[[#This Row],[Cum_deaths]]*NOT(ISBLANK(Tabella211[[#This Row],[Cum_deaths]]))</f>
        <v>0</v>
      </c>
      <c r="Z62" s="50">
        <f>kh*t0h*_xlfn.GAMMA.DIST(Tabella211[[#This Row],[Day]]/t0h,wh+1,1,1)*_xlfn.GAMMA(wh+1)</f>
        <v>22278.375267436826</v>
      </c>
      <c r="AA62" s="10">
        <f>kh*((Tabella211[[#This Row],[Day]]/t0h)^wh)*EXP(-(Tabella211[[#This Row],[Day]]/t0h))</f>
        <v>313.50979713974499</v>
      </c>
      <c r="AB62" s="65">
        <f>Tabella211[[#This Row],[Cum_D_fit]]*NOT(ISBLANK(Tabella211[[#This Row],[Cum_deaths]]))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Tabella211[[#This Row],[Cum_confirmed]]*NOT(ISBLANK(Tabella211[[#This Row],[Cum_confirmed]]))</f>
        <v>0</v>
      </c>
      <c r="G63" s="50">
        <f>k*t0*_xlfn.GAMMA.DIST(Tabella211[[#This Row],[Day]]/t0,w+1,1,1)*_xlfn.GAMMA(w+1)</f>
        <v>172666.02907329728</v>
      </c>
      <c r="H63" s="10">
        <f>k*((Tabella211[[#This Row],[Day]]/t0)^w)*EXP(-(Tabella211[[#This Row],[Day]]/t0))</f>
        <v>2032.5153189953214</v>
      </c>
      <c r="I63" s="56">
        <f>Tabella211[[#This Row],[Cum_fit]]*NOT(ISBLANK(Tabella211[[#This Row],[Cum_confirmed]]))</f>
        <v>0</v>
      </c>
      <c r="L63" s="55"/>
      <c r="M63" s="54"/>
      <c r="N63" s="54">
        <f>Tabella211[[#This Row],[New_cases_fit]]-Tabella211[[#This Row],[New_Recovered_fit]]-Tabella211[[#This Row],[New_Deaths_fit]]</f>
        <v>-112.93627391961479</v>
      </c>
      <c r="P63" s="48"/>
      <c r="Q63" s="60">
        <f>Tabella211[[#This Row],[Cum_recov]]*NOT(ISBLANK(Tabella211[[#This Row],[Cum_recov]]))</f>
        <v>0</v>
      </c>
      <c r="R63" s="50">
        <f>kr*t0r*_xlfn.GAMMA.DIST(Tabella211[[#This Row],[Day]]/t0r,wr+1,1,1)*_xlfn.GAMMA(wr+1)</f>
        <v>46057.885911858582</v>
      </c>
      <c r="S63" s="10">
        <f>kr*((Tabella211[[#This Row],[Day]]/t0r)^wr)*EXP(-(Tabella211[[#This Row],[Day]]/t0r))</f>
        <v>1855.3081963074437</v>
      </c>
      <c r="T63" s="60">
        <f>Tabella211[[#This Row],[Cum_R_fit]]*NOT(ISBLANK(Tabella211[[#This Row],[Cum_recov]]))</f>
        <v>0</v>
      </c>
      <c r="X63" s="26"/>
      <c r="Y63" s="65">
        <f>Tabella211[[#This Row],[Cum_deaths]]*NOT(ISBLANK(Tabella211[[#This Row],[Cum_deaths]]))</f>
        <v>0</v>
      </c>
      <c r="Z63" s="50">
        <f>kh*t0h*_xlfn.GAMMA.DIST(Tabella211[[#This Row],[Day]]/t0h,wh+1,1,1)*_xlfn.GAMMA(wh+1)</f>
        <v>22580.107417062172</v>
      </c>
      <c r="AA63" s="10">
        <f>kh*((Tabella211[[#This Row],[Day]]/t0h)^wh)*EXP(-(Tabella211[[#This Row],[Day]]/t0h))</f>
        <v>290.14339660749249</v>
      </c>
      <c r="AB63" s="65">
        <f>Tabella211[[#This Row],[Cum_D_fit]]*NOT(ISBLANK(Tabella211[[#This Row],[Cum_deaths]]))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Tabella211[[#This Row],[Cum_confirmed]]*NOT(ISBLANK(Tabella211[[#This Row],[Cum_confirmed]]))</f>
        <v>0</v>
      </c>
      <c r="G64" s="50">
        <f>k*t0*_xlfn.GAMMA.DIST(Tabella211[[#This Row],[Day]]/t0,w+1,1,1)*_xlfn.GAMMA(w+1)</f>
        <v>174633.1985567438</v>
      </c>
      <c r="H64" s="10">
        <f>k*((Tabella211[[#This Row],[Day]]/t0)^w)*EXP(-(Tabella211[[#This Row],[Day]]/t0))</f>
        <v>1902.7883679622119</v>
      </c>
      <c r="I64" s="56">
        <f>Tabella211[[#This Row],[Cum_fit]]*NOT(ISBLANK(Tabella211[[#This Row],[Cum_confirmed]]))</f>
        <v>0</v>
      </c>
      <c r="L64" s="55"/>
      <c r="M64" s="54"/>
      <c r="N64" s="54">
        <f>Tabella211[[#This Row],[New_cases_fit]]-Tabella211[[#This Row],[New_Recovered_fit]]-Tabella211[[#This Row],[New_Deaths_fit]]</f>
        <v>-234.08291646312858</v>
      </c>
      <c r="P64" s="48"/>
      <c r="Q64" s="60">
        <f>Tabella211[[#This Row],[Cum_recov]]*NOT(ISBLANK(Tabella211[[#This Row],[Cum_recov]]))</f>
        <v>0</v>
      </c>
      <c r="R64" s="50">
        <f>kr*t0r*_xlfn.GAMMA.DIST(Tabella211[[#This Row],[Day]]/t0r,wr+1,1,1)*_xlfn.GAMMA(wr+1)</f>
        <v>47920.167061495522</v>
      </c>
      <c r="S64" s="10">
        <f>kr*((Tabella211[[#This Row],[Day]]/t0r)^wr)*EXP(-(Tabella211[[#This Row],[Day]]/t0r))</f>
        <v>1868.9432112262427</v>
      </c>
      <c r="T64" s="60">
        <f>Tabella211[[#This Row],[Cum_R_fit]]*NOT(ISBLANK(Tabella211[[#This Row],[Cum_recov]]))</f>
        <v>0</v>
      </c>
      <c r="X64" s="26"/>
      <c r="Y64" s="65">
        <f>Tabella211[[#This Row],[Cum_deaths]]*NOT(ISBLANK(Tabella211[[#This Row],[Cum_deaths]]))</f>
        <v>0</v>
      </c>
      <c r="Z64" s="50">
        <f>kh*t0h*_xlfn.GAMMA.DIST(Tabella211[[#This Row],[Day]]/t0h,wh+1,1,1)*_xlfn.GAMMA(wh+1)</f>
        <v>22859.045941325192</v>
      </c>
      <c r="AA64" s="10">
        <f>kh*((Tabella211[[#This Row],[Day]]/t0h)^wh)*EXP(-(Tabella211[[#This Row],[Day]]/t0h))</f>
        <v>267.9280731990977</v>
      </c>
      <c r="AB64" s="65">
        <f>Tabella211[[#This Row],[Cum_D_fit]]*NOT(ISBLANK(Tabella211[[#This Row],[Cum_deaths]]))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Tabella211[[#This Row],[Cum_confirmed]]*NOT(ISBLANK(Tabella211[[#This Row],[Cum_confirmed]]))</f>
        <v>0</v>
      </c>
      <c r="G65" s="50">
        <f>k*t0*_xlfn.GAMMA.DIST(Tabella211[[#This Row],[Day]]/t0,w+1,1,1)*_xlfn.GAMMA(w+1)</f>
        <v>176473.54640225641</v>
      </c>
      <c r="H65" s="10">
        <f>k*((Tabella211[[#This Row],[Day]]/t0)^w)*EXP(-(Tabella211[[#This Row],[Day]]/t0))</f>
        <v>1778.8814725351508</v>
      </c>
      <c r="I65" s="56">
        <f>Tabella211[[#This Row],[Cum_fit]]*NOT(ISBLANK(Tabella211[[#This Row],[Cum_confirmed]]))</f>
        <v>0</v>
      </c>
      <c r="L65" s="55"/>
      <c r="M65" s="54"/>
      <c r="N65" s="54">
        <f>Tabella211[[#This Row],[New_cases_fit]]-Tabella211[[#This Row],[New_Recovered_fit]]-Tabella211[[#This Row],[New_Deaths_fit]]</f>
        <v>-348.73517281825093</v>
      </c>
      <c r="P65" s="48"/>
      <c r="Q65" s="60">
        <f>Tabella211[[#This Row],[Cum_recov]]*NOT(ISBLANK(Tabella211[[#This Row],[Cum_recov]]))</f>
        <v>0</v>
      </c>
      <c r="R65" s="50">
        <f>kr*t0r*_xlfn.GAMMA.DIST(Tabella211[[#This Row],[Day]]/t0r,wr+1,1,1)*_xlfn.GAMMA(wr+1)</f>
        <v>49795.155469061319</v>
      </c>
      <c r="S65" s="10">
        <f>kr*((Tabella211[[#This Row],[Day]]/t0r)^wr)*EXP(-(Tabella211[[#This Row],[Day]]/t0r))</f>
        <v>1880.7277525918864</v>
      </c>
      <c r="T65" s="60">
        <f>Tabella211[[#This Row],[Cum_R_fit]]*NOT(ISBLANK(Tabella211[[#This Row],[Cum_recov]]))</f>
        <v>0</v>
      </c>
      <c r="X65" s="26"/>
      <c r="Y65" s="65">
        <f>Tabella211[[#This Row],[Cum_deaths]]*NOT(ISBLANK(Tabella211[[#This Row],[Cum_deaths]]))</f>
        <v>0</v>
      </c>
      <c r="Z65" s="50">
        <f>kh*t0h*_xlfn.GAMMA.DIST(Tabella211[[#This Row],[Day]]/t0h,wh+1,1,1)*_xlfn.GAMMA(wh+1)</f>
        <v>23116.3557765931</v>
      </c>
      <c r="AA65" s="10">
        <f>kh*((Tabella211[[#This Row],[Day]]/t0h)^wh)*EXP(-(Tabella211[[#This Row],[Day]]/t0h))</f>
        <v>246.88889276151531</v>
      </c>
      <c r="AB65" s="65">
        <f>Tabella211[[#This Row],[Cum_D_fit]]*NOT(ISBLANK(Tabella211[[#This Row],[Cum_deaths]]))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Tabella211[[#This Row],[Cum_confirmed]]*NOT(ISBLANK(Tabella211[[#This Row],[Cum_confirmed]]))</f>
        <v>0</v>
      </c>
      <c r="G66" s="50">
        <f>k*t0*_xlfn.GAMMA.DIST(Tabella211[[#This Row],[Day]]/t0,w+1,1,1)*_xlfn.GAMMA(w+1)</f>
        <v>178192.91265884382</v>
      </c>
      <c r="H66" s="10">
        <f>k*((Tabella211[[#This Row],[Day]]/t0)^w)*EXP(-(Tabella211[[#This Row],[Day]]/t0))</f>
        <v>1660.8265371330574</v>
      </c>
      <c r="I66" s="56">
        <f>Tabella211[[#This Row],[Cum_fit]]*NOT(ISBLANK(Tabella211[[#This Row],[Cum_confirmed]]))</f>
        <v>0</v>
      </c>
      <c r="L66" s="55"/>
      <c r="M66" s="54"/>
      <c r="N66" s="54">
        <f>Tabella211[[#This Row],[New_cases_fit]]-Tabella211[[#This Row],[New_Recovered_fit]]-Tabella211[[#This Row],[New_Deaths_fit]]</f>
        <v>-456.90331484255785</v>
      </c>
      <c r="P66" s="48"/>
      <c r="Q66" s="60">
        <f>Tabella211[[#This Row],[Cum_recov]]*NOT(ISBLANK(Tabella211[[#This Row],[Cum_recov]]))</f>
        <v>0</v>
      </c>
      <c r="R66" s="50">
        <f>kr*t0r*_xlfn.GAMMA.DIST(Tabella211[[#This Row],[Day]]/t0r,wr+1,1,1)*_xlfn.GAMMA(wr+1)</f>
        <v>51681.016376053201</v>
      </c>
      <c r="S66" s="10">
        <f>kr*((Tabella211[[#This Row],[Day]]/t0r)^wr)*EXP(-(Tabella211[[#This Row],[Day]]/t0r))</f>
        <v>1890.6938328893398</v>
      </c>
      <c r="T66" s="60">
        <f>Tabella211[[#This Row],[Cum_R_fit]]*NOT(ISBLANK(Tabella211[[#This Row],[Cum_recov]]))</f>
        <v>0</v>
      </c>
      <c r="X66" s="26"/>
      <c r="Y66" s="65">
        <f>Tabella211[[#This Row],[Cum_deaths]]*NOT(ISBLANK(Tabella211[[#This Row],[Cum_deaths]]))</f>
        <v>0</v>
      </c>
      <c r="Z66" s="50">
        <f>kh*t0h*_xlfn.GAMMA.DIST(Tabella211[[#This Row],[Day]]/t0h,wh+1,1,1)*_xlfn.GAMMA(wh+1)</f>
        <v>23353.219305947332</v>
      </c>
      <c r="AA66" s="10">
        <f>kh*((Tabella211[[#This Row],[Day]]/t0h)^wh)*EXP(-(Tabella211[[#This Row],[Day]]/t0h))</f>
        <v>227.03601908627545</v>
      </c>
      <c r="AB66" s="65">
        <f>Tabella211[[#This Row],[Cum_D_fit]]*NOT(ISBLANK(Tabella211[[#This Row],[Cum_deaths]]))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Tabella211[[#This Row],[Cum_confirmed]]*NOT(ISBLANK(Tabella211[[#This Row],[Cum_confirmed]]))</f>
        <v>0</v>
      </c>
      <c r="G67" s="50">
        <f>k*t0*_xlfn.GAMMA.DIST(Tabella211[[#This Row],[Day]]/t0,w+1,1,1)*_xlfn.GAMMA(w+1)</f>
        <v>179797.14607577593</v>
      </c>
      <c r="H67" s="10">
        <f>k*((Tabella211[[#This Row],[Day]]/t0)^w)*EXP(-(Tabella211[[#This Row],[Day]]/t0))</f>
        <v>1548.6100878939328</v>
      </c>
      <c r="I67" s="56">
        <f>Tabella211[[#This Row],[Cum_fit]]*NOT(ISBLANK(Tabella211[[#This Row],[Cum_confirmed]]))</f>
        <v>0</v>
      </c>
      <c r="L67" s="55"/>
      <c r="M67" s="54"/>
      <c r="N67" s="54">
        <f>Tabella211[[#This Row],[New_cases_fit]]-Tabella211[[#This Row],[New_Recovered_fit]]-Tabella211[[#This Row],[New_Deaths_fit]]</f>
        <v>-558.63339022615435</v>
      </c>
      <c r="P67" s="48"/>
      <c r="Q67" s="60">
        <f>Tabella211[[#This Row],[Cum_recov]]*NOT(ISBLANK(Tabella211[[#This Row],[Cum_recov]]))</f>
        <v>0</v>
      </c>
      <c r="R67" s="50">
        <f>kr*t0r*_xlfn.GAMMA.DIST(Tabella211[[#This Row],[Day]]/t0r,wr+1,1,1)*_xlfn.GAMMA(wr+1)</f>
        <v>53575.94872729652</v>
      </c>
      <c r="S67" s="10">
        <f>kr*((Tabella211[[#This Row],[Day]]/t0r)^wr)*EXP(-(Tabella211[[#This Row],[Day]]/t0r))</f>
        <v>1898.8767903978678</v>
      </c>
      <c r="T67" s="60">
        <f>Tabella211[[#This Row],[Cum_R_fit]]*NOT(ISBLANK(Tabella211[[#This Row],[Cum_recov]]))</f>
        <v>0</v>
      </c>
      <c r="X67" s="26"/>
      <c r="Y67" s="65">
        <f>Tabella211[[#This Row],[Cum_deaths]]*NOT(ISBLANK(Tabella211[[#This Row],[Cum_deaths]]))</f>
        <v>0</v>
      </c>
      <c r="Z67" s="50">
        <f>kh*t0h*_xlfn.GAMMA.DIST(Tabella211[[#This Row],[Day]]/t0h,wh+1,1,1)*_xlfn.GAMMA(wh+1)</f>
        <v>23570.822451552318</v>
      </c>
      <c r="AA67" s="10">
        <f>kh*((Tabella211[[#This Row],[Day]]/t0h)^wh)*EXP(-(Tabella211[[#This Row],[Day]]/t0h))</f>
        <v>208.36668772221935</v>
      </c>
      <c r="AB67" s="65">
        <f>Tabella211[[#This Row],[Cum_D_fit]]*NOT(ISBLANK(Tabella211[[#This Row],[Cum_deaths]]))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Tabella211[[#This Row],[Cum_confirmed]]*NOT(ISBLANK(Tabella211[[#This Row],[Cum_confirmed]]))</f>
        <v>0</v>
      </c>
      <c r="G68" s="50">
        <f>k*t0*_xlfn.GAMMA.DIST(Tabella211[[#This Row],[Day]]/t0,w+1,1,1)*_xlfn.GAMMA(w+1)</f>
        <v>181292.06174841727</v>
      </c>
      <c r="H68" s="10">
        <f>k*((Tabella211[[#This Row],[Day]]/t0)^w)*EXP(-(Tabella211[[#This Row],[Day]]/t0))</f>
        <v>1442.1792542242154</v>
      </c>
      <c r="I68" s="56">
        <f>Tabella211[[#This Row],[Cum_fit]]*NOT(ISBLANK(Tabella211[[#This Row],[Cum_confirmed]]))</f>
        <v>0</v>
      </c>
      <c r="L68" s="55"/>
      <c r="M68" s="54"/>
      <c r="N68" s="54">
        <f>Tabella211[[#This Row],[New_cases_fit]]-Tabella211[[#This Row],[New_Recovered_fit]]-Tabella211[[#This Row],[New_Deaths_fit]]</f>
        <v>-654.00278439208489</v>
      </c>
      <c r="P68" s="48"/>
      <c r="Q68" s="60">
        <f>Tabella211[[#This Row],[Cum_recov]]*NOT(ISBLANK(Tabella211[[#This Row],[Cum_recov]]))</f>
        <v>0</v>
      </c>
      <c r="R68" s="50">
        <f>kr*t0r*_xlfn.GAMMA.DIST(Tabella211[[#This Row],[Day]]/t0r,wr+1,1,1)*_xlfn.GAMMA(wr+1)</f>
        <v>55478.188331176338</v>
      </c>
      <c r="S68" s="10">
        <f>kr*((Tabella211[[#This Row],[Day]]/t0r)^wr)*EXP(-(Tabella211[[#This Row],[Day]]/t0r))</f>
        <v>1905.3149601956077</v>
      </c>
      <c r="T68" s="60">
        <f>Tabella211[[#This Row],[Cum_R_fit]]*NOT(ISBLANK(Tabella211[[#This Row],[Cum_recov]]))</f>
        <v>0</v>
      </c>
      <c r="X68" s="26"/>
      <c r="Y68" s="65">
        <f>Tabella211[[#This Row],[Cum_deaths]]*NOT(ISBLANK(Tabella211[[#This Row],[Cum_deaths]]))</f>
        <v>0</v>
      </c>
      <c r="Z68" s="50">
        <f>kh*t0h*_xlfn.GAMMA.DIST(Tabella211[[#This Row],[Day]]/t0h,wh+1,1,1)*_xlfn.GAMMA(wh+1)</f>
        <v>23770.342691935672</v>
      </c>
      <c r="AA68" s="10">
        <f>kh*((Tabella211[[#This Row],[Day]]/t0h)^wh)*EXP(-(Tabella211[[#This Row],[Day]]/t0h))</f>
        <v>190.86707842069254</v>
      </c>
      <c r="AB68" s="65">
        <f>Tabella211[[#This Row],[Cum_D_fit]]*NOT(ISBLANK(Tabella211[[#This Row],[Cum_deaths]]))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Tabella211[[#This Row],[Cum_confirmed]]*NOT(ISBLANK(Tabella211[[#This Row],[Cum_confirmed]]))</f>
        <v>0</v>
      </c>
      <c r="G69" s="50">
        <f>k*t0*_xlfn.GAMMA.DIST(Tabella211[[#This Row],[Day]]/t0,w+1,1,1)*_xlfn.GAMMA(w+1)</f>
        <v>182683.40454264599</v>
      </c>
      <c r="H69" s="10">
        <f>k*((Tabella211[[#This Row],[Day]]/t0)^w)*EXP(-(Tabella211[[#This Row],[Day]]/t0))</f>
        <v>1341.4473418298132</v>
      </c>
      <c r="I69" s="56">
        <f>Tabella211[[#This Row],[Cum_fit]]*NOT(ISBLANK(Tabella211[[#This Row],[Cum_confirmed]]))</f>
        <v>0</v>
      </c>
      <c r="L69" s="55"/>
      <c r="M69" s="54"/>
      <c r="N69" s="54">
        <f>Tabella211[[#This Row],[New_cases_fit]]-Tabella211[[#This Row],[New_Recovered_fit]]-Tabella211[[#This Row],[New_Deaths_fit]]</f>
        <v>-743.11608443152954</v>
      </c>
      <c r="P69" s="48"/>
      <c r="Q69" s="60">
        <f>Tabella211[[#This Row],[Cum_recov]]*NOT(ISBLANK(Tabella211[[#This Row],[Cum_recov]]))</f>
        <v>0</v>
      </c>
      <c r="R69" s="50">
        <f>kr*t0r*_xlfn.GAMMA.DIST(Tabella211[[#This Row],[Day]]/t0r,wr+1,1,1)*_xlfn.GAMMA(wr+1)</f>
        <v>57386.010697339749</v>
      </c>
      <c r="S69" s="10">
        <f>kr*((Tabella211[[#This Row],[Day]]/t0r)^wr)*EXP(-(Tabella211[[#This Row],[Day]]/t0r))</f>
        <v>1910.049358168123</v>
      </c>
      <c r="T69" s="60">
        <f>Tabella211[[#This Row],[Cum_R_fit]]*NOT(ISBLANK(Tabella211[[#This Row],[Cum_recov]]))</f>
        <v>0</v>
      </c>
      <c r="X69" s="26"/>
      <c r="Y69" s="65">
        <f>Tabella211[[#This Row],[Cum_deaths]]*NOT(ISBLANK(Tabella211[[#This Row],[Cum_deaths]]))</f>
        <v>0</v>
      </c>
      <c r="Z69" s="50">
        <f>kh*t0h*_xlfn.GAMMA.DIST(Tabella211[[#This Row],[Day]]/t0h,wh+1,1,1)*_xlfn.GAMMA(wh+1)</f>
        <v>23952.938893217681</v>
      </c>
      <c r="AA69" s="10">
        <f>kh*((Tabella211[[#This Row],[Day]]/t0h)^wh)*EXP(-(Tabella211[[#This Row],[Day]]/t0h))</f>
        <v>174.51406809321972</v>
      </c>
      <c r="AB69" s="65">
        <f>Tabella211[[#This Row],[Cum_D_fit]]*NOT(ISBLANK(Tabella211[[#This Row],[Cum_deaths]]))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Tabella211[[#This Row],[Cum_confirmed]]*NOT(ISBLANK(Tabella211[[#This Row],[Cum_confirmed]]))</f>
        <v>0</v>
      </c>
      <c r="G70" s="50">
        <f>k*t0*_xlfn.GAMMA.DIST(Tabella211[[#This Row],[Day]]/t0,w+1,1,1)*_xlfn.GAMMA(w+1)</f>
        <v>183976.81788315435</v>
      </c>
      <c r="H70" s="10">
        <f>k*((Tabella211[[#This Row],[Day]]/t0)^w)*EXP(-(Tabella211[[#This Row],[Day]]/t0))</f>
        <v>1246.2989863885998</v>
      </c>
      <c r="I70" s="56">
        <f>Tabella211[[#This Row],[Cum_fit]]*NOT(ISBLANK(Tabella211[[#This Row],[Cum_confirmed]]))</f>
        <v>0</v>
      </c>
      <c r="L70" s="55"/>
      <c r="M70" s="54"/>
      <c r="N70" s="54">
        <f>Tabella211[[#This Row],[New_cases_fit]]-Tabella211[[#This Row],[New_Recovered_fit]]-Tabella211[[#This Row],[New_Deaths_fit]]</f>
        <v>-826.10124411889922</v>
      </c>
      <c r="P70" s="48"/>
      <c r="Q70" s="60">
        <f>Tabella211[[#This Row],[Cum_recov]]*NOT(ISBLANK(Tabella211[[#This Row],[Cum_recov]]))</f>
        <v>0</v>
      </c>
      <c r="R70" s="50">
        <f>kr*t0r*_xlfn.GAMMA.DIST(Tabella211[[#This Row],[Day]]/t0r,wr+1,1,1)*_xlfn.GAMMA(wr+1)</f>
        <v>59297.733565066177</v>
      </c>
      <c r="S70" s="10">
        <f>kr*((Tabella211[[#This Row],[Day]]/t0r)^wr)*EXP(-(Tabella211[[#This Row],[Day]]/t0r))</f>
        <v>1913.1233783861435</v>
      </c>
      <c r="T70" s="60">
        <f>Tabella211[[#This Row],[Cum_R_fit]]*NOT(ISBLANK(Tabella211[[#This Row],[Cum_recov]]))</f>
        <v>0</v>
      </c>
      <c r="X70" s="26"/>
      <c r="Y70" s="65">
        <f>Tabella211[[#This Row],[Cum_deaths]]*NOT(ISBLANK(Tabella211[[#This Row],[Cum_deaths]]))</f>
        <v>0</v>
      </c>
      <c r="Z70" s="50">
        <f>kh*t0h*_xlfn.GAMMA.DIST(Tabella211[[#This Row],[Day]]/t0h,wh+1,1,1)*_xlfn.GAMMA(wh+1)</f>
        <v>24119.742828263308</v>
      </c>
      <c r="AA70" s="10">
        <f>kh*((Tabella211[[#This Row],[Day]]/t0h)^wh)*EXP(-(Tabella211[[#This Row],[Day]]/t0h))</f>
        <v>159.27685212135557</v>
      </c>
      <c r="AB70" s="65">
        <f>Tabella211[[#This Row],[Cum_D_fit]]*NOT(ISBLANK(Tabella211[[#This Row],[Cum_deaths]]))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Tabella211[[#This Row],[Cum_confirmed]]*NOT(ISBLANK(Tabella211[[#This Row],[Cum_confirmed]]))</f>
        <v>0</v>
      </c>
      <c r="G71" s="50">
        <f>k*t0*_xlfn.GAMMA.DIST(Tabella211[[#This Row],[Day]]/t0,w+1,1,1)*_xlfn.GAMMA(w+1)</f>
        <v>185177.81748441342</v>
      </c>
      <c r="H71" s="10">
        <f>k*((Tabella211[[#This Row],[Day]]/t0)^w)*EXP(-(Tabella211[[#This Row],[Day]]/t0))</f>
        <v>1156.5948854146247</v>
      </c>
      <c r="I71" s="56">
        <f>Tabella211[[#This Row],[Cum_fit]]*NOT(ISBLANK(Tabella211[[#This Row],[Cum_confirmed]]))</f>
        <v>0</v>
      </c>
      <c r="L71" s="55"/>
      <c r="M71" s="54"/>
      <c r="N71" s="54">
        <f>Tabella211[[#This Row],[New_cases_fit]]-Tabella211[[#This Row],[New_Recovered_fit]]-Tabella211[[#This Row],[New_Deaths_fit]]</f>
        <v>-903.10604561384287</v>
      </c>
      <c r="P71" s="48"/>
      <c r="Q71" s="60">
        <f>Tabella211[[#This Row],[Cum_recov]]*NOT(ISBLANK(Tabella211[[#This Row],[Cum_recov]]))</f>
        <v>0</v>
      </c>
      <c r="R71" s="50">
        <f>kr*t0r*_xlfn.GAMMA.DIST(Tabella211[[#This Row],[Day]]/t0r,wr+1,1,1)*_xlfn.GAMMA(wr+1)</f>
        <v>61211.719135807827</v>
      </c>
      <c r="S71" s="10">
        <f>kr*((Tabella211[[#This Row],[Day]]/t0r)^wr)*EXP(-(Tabella211[[#This Row],[Day]]/t0r))</f>
        <v>1914.582504101232</v>
      </c>
      <c r="T71" s="60">
        <f>Tabella211[[#This Row],[Cum_R_fit]]*NOT(ISBLANK(Tabella211[[#This Row],[Cum_recov]]))</f>
        <v>0</v>
      </c>
      <c r="X71" s="26"/>
      <c r="Y71" s="65">
        <f>Tabella211[[#This Row],[Cum_deaths]]*NOT(ISBLANK(Tabella211[[#This Row],[Cum_deaths]]))</f>
        <v>0</v>
      </c>
      <c r="Z71" s="50">
        <f>kh*t0h*_xlfn.GAMMA.DIST(Tabella211[[#This Row],[Day]]/t0h,wh+1,1,1)*_xlfn.GAMMA(wh+1)</f>
        <v>24271.852248176892</v>
      </c>
      <c r="AA71" s="10">
        <f>kh*((Tabella211[[#This Row],[Day]]/t0h)^wh)*EXP(-(Tabella211[[#This Row],[Day]]/t0h))</f>
        <v>145.11842692723565</v>
      </c>
      <c r="AB71" s="65">
        <f>Tabella211[[#This Row],[Cum_D_fit]]*NOT(ISBLANK(Tabella211[[#This Row],[Cum_deaths]]))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Tabella211[[#This Row],[Cum_confirmed]]*NOT(ISBLANK(Tabella211[[#This Row],[Cum_confirmed]]))</f>
        <v>0</v>
      </c>
      <c r="G72" s="50">
        <f>k*t0*_xlfn.GAMMA.DIST(Tabella211[[#This Row],[Day]]/t0,w+1,1,1)*_xlfn.GAMMA(w+1)</f>
        <v>186291.76960419156</v>
      </c>
      <c r="H72" s="10">
        <f>k*((Tabella211[[#This Row],[Day]]/t0)^w)*EXP(-(Tabella211[[#This Row],[Day]]/t0))</f>
        <v>1072.176112738754</v>
      </c>
      <c r="I72" s="56">
        <f>Tabella211[[#This Row],[Cum_fit]]*NOT(ISBLANK(Tabella211[[#This Row],[Cum_confirmed]]))</f>
        <v>0</v>
      </c>
      <c r="L72" s="55"/>
      <c r="M72" s="54"/>
      <c r="N72" s="54">
        <f>Tabella211[[#This Row],[New_cases_fit]]-Tabella211[[#This Row],[New_Recovered_fit]]-Tabella211[[#This Row],[New_Deaths_fit]]</f>
        <v>-974.29485070952251</v>
      </c>
      <c r="P72" s="48"/>
      <c r="Q72" s="60">
        <f>Tabella211[[#This Row],[Cum_recov]]*NOT(ISBLANK(Tabella211[[#This Row],[Cum_recov]]))</f>
        <v>0</v>
      </c>
      <c r="R72" s="50">
        <f>kr*t0r*_xlfn.GAMMA.DIST(Tabella211[[#This Row],[Day]]/t0r,wr+1,1,1)*_xlfn.GAMMA(wr+1)</f>
        <v>63126.376023599427</v>
      </c>
      <c r="S72" s="10">
        <f>kr*((Tabella211[[#This Row],[Day]]/t0r)^wr)*EXP(-(Tabella211[[#This Row],[Day]]/t0r))</f>
        <v>1914.4740325044143</v>
      </c>
      <c r="T72" s="60">
        <f>Tabella211[[#This Row],[Cum_R_fit]]*NOT(ISBLANK(Tabella211[[#This Row],[Cum_recov]]))</f>
        <v>0</v>
      </c>
      <c r="X72" s="26"/>
      <c r="Y72" s="65">
        <f>Tabella211[[#This Row],[Cum_deaths]]*NOT(ISBLANK(Tabella211[[#This Row],[Cum_deaths]]))</f>
        <v>0</v>
      </c>
      <c r="Z72" s="50">
        <f>kh*t0h*_xlfn.GAMMA.DIST(Tabella211[[#This Row],[Day]]/t0h,wh+1,1,1)*_xlfn.GAMMA(wh+1)</f>
        <v>24410.32536565022</v>
      </c>
      <c r="AA72" s="10">
        <f>kh*((Tabella211[[#This Row],[Day]]/t0h)^wh)*EXP(-(Tabella211[[#This Row],[Day]]/t0h))</f>
        <v>131.99693094386228</v>
      </c>
      <c r="AB72" s="65">
        <f>Tabella211[[#This Row],[Cum_D_fit]]*NOT(ISBLANK(Tabella211[[#This Row],[Cum_deaths]]))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Tabella211[[#This Row],[Cum_confirmed]]*NOT(ISBLANK(Tabella211[[#This Row],[Cum_confirmed]]))</f>
        <v>0</v>
      </c>
      <c r="G73" s="50">
        <f>k*t0*_xlfn.GAMMA.DIST(Tabella211[[#This Row],[Day]]/t0,w+1,1,1)*_xlfn.GAMMA(w+1)</f>
        <v>187323.87340681083</v>
      </c>
      <c r="H73" s="10">
        <f>k*((Tabella211[[#This Row],[Day]]/t0)^w)*EXP(-(Tabella211[[#This Row],[Day]]/t0))</f>
        <v>992.86802555676297</v>
      </c>
      <c r="I73" s="56">
        <f>Tabella211[[#This Row],[Cum_fit]]*NOT(ISBLANK(Tabella211[[#This Row],[Cum_confirmed]]))</f>
        <v>0</v>
      </c>
      <c r="L73" s="55"/>
      <c r="M73" s="54"/>
      <c r="N73" s="54">
        <f>Tabella211[[#This Row],[New_cases_fit]]-Tabella211[[#This Row],[New_Recovered_fit]]-Tabella211[[#This Row],[New_Deaths_fit]]</f>
        <v>-1039.845632325608</v>
      </c>
      <c r="P73" s="48"/>
      <c r="Q73" s="60">
        <f>Tabella211[[#This Row],[Cum_recov]]*NOT(ISBLANK(Tabella211[[#This Row],[Cum_recov]]))</f>
        <v>0</v>
      </c>
      <c r="R73" s="50">
        <f>kr*t0r*_xlfn.GAMMA.DIST(Tabella211[[#This Row],[Day]]/t0r,wr+1,1,1)*_xlfn.GAMMA(wr+1)</f>
        <v>65040.160937133871</v>
      </c>
      <c r="S73" s="10">
        <f>kr*((Tabella211[[#This Row],[Day]]/t0r)^wr)*EXP(-(Tabella211[[#This Row],[Day]]/t0r))</f>
        <v>1912.8468133007971</v>
      </c>
      <c r="T73" s="60">
        <f>Tabella211[[#This Row],[Cum_R_fit]]*NOT(ISBLANK(Tabella211[[#This Row],[Cum_recov]]))</f>
        <v>0</v>
      </c>
      <c r="X73" s="26"/>
      <c r="Y73" s="65">
        <f>Tabella211[[#This Row],[Cum_deaths]]*NOT(ISBLANK(Tabella211[[#This Row],[Cum_deaths]]))</f>
        <v>0</v>
      </c>
      <c r="Z73" s="50">
        <f>kh*t0h*_xlfn.GAMMA.DIST(Tabella211[[#This Row],[Day]]/t0h,wh+1,1,1)*_xlfn.GAMMA(wh+1)</f>
        <v>24536.176608604354</v>
      </c>
      <c r="AA73" s="10">
        <f>kh*((Tabella211[[#This Row],[Day]]/t0h)^wh)*EXP(-(Tabella211[[#This Row],[Day]]/t0h))</f>
        <v>119.86684458157391</v>
      </c>
      <c r="AB73" s="65">
        <f>Tabella211[[#This Row],[Cum_D_fit]]*NOT(ISBLANK(Tabella211[[#This Row],[Cum_deaths]]))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Tabella211[[#This Row],[Cum_confirmed]]*NOT(ISBLANK(Tabella211[[#This Row],[Cum_confirmed]]))</f>
        <v>0</v>
      </c>
      <c r="G74" s="50">
        <f>k*t0*_xlfn.GAMMA.DIST(Tabella211[[#This Row],[Day]]/t0,w+1,1,1)*_xlfn.GAMMA(w+1)</f>
        <v>188279.14703553676</v>
      </c>
      <c r="H74" s="10">
        <f>k*((Tabella211[[#This Row],[Day]]/t0)^w)*EXP(-(Tabella211[[#This Row],[Day]]/t0))</f>
        <v>918.48377833621487</v>
      </c>
      <c r="I74" s="56">
        <f>Tabella211[[#This Row],[Cum_fit]]*NOT(ISBLANK(Tabella211[[#This Row],[Cum_confirmed]]))</f>
        <v>0</v>
      </c>
      <c r="L74" s="55"/>
      <c r="M74" s="54"/>
      <c r="N74" s="54">
        <f>Tabella211[[#This Row],[New_cases_fit]]-Tabella211[[#This Row],[New_Recovered_fit]]-Tabella211[[#This Row],[New_Deaths_fit]]</f>
        <v>-1099.9472752803654</v>
      </c>
      <c r="P74" s="48"/>
      <c r="Q74" s="60">
        <f>Tabella211[[#This Row],[Cum_recov]]*NOT(ISBLANK(Tabella211[[#This Row],[Cum_recov]]))</f>
        <v>0</v>
      </c>
      <c r="R74" s="50">
        <f>kr*t0r*_xlfn.GAMMA.DIST(Tabella211[[#This Row],[Day]]/t0r,wr+1,1,1)*_xlfn.GAMMA(wr+1)</f>
        <v>66951.580107311311</v>
      </c>
      <c r="S74" s="10">
        <f>kr*((Tabella211[[#This Row],[Day]]/t0r)^wr)*EXP(-(Tabella211[[#This Row],[Day]]/t0r))</f>
        <v>1909.7510010719213</v>
      </c>
      <c r="T74" s="60">
        <f>Tabella211[[#This Row],[Cum_R_fit]]*NOT(ISBLANK(Tabella211[[#This Row],[Cum_recov]]))</f>
        <v>0</v>
      </c>
      <c r="X74" s="26"/>
      <c r="Y74" s="65">
        <f>Tabella211[[#This Row],[Cum_deaths]]*NOT(ISBLANK(Tabella211[[#This Row],[Cum_deaths]]))</f>
        <v>0</v>
      </c>
      <c r="Z74" s="50">
        <f>kh*t0h*_xlfn.GAMMA.DIST(Tabella211[[#This Row],[Day]]/t0h,wh+1,1,1)*_xlfn.GAMMA(wh+1)</f>
        <v>24650.373504595598</v>
      </c>
      <c r="AA74" s="10">
        <f>kh*((Tabella211[[#This Row],[Day]]/t0h)^wh)*EXP(-(Tabella211[[#This Row],[Day]]/t0h))</f>
        <v>108.68005254465882</v>
      </c>
      <c r="AB74" s="65">
        <f>Tabella211[[#This Row],[Cum_D_fit]]*NOT(ISBLANK(Tabella211[[#This Row],[Cum_deaths]]))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Tabella211[[#This Row],[Cum_confirmed]]*NOT(ISBLANK(Tabella211[[#This Row],[Cum_confirmed]]))</f>
        <v>0</v>
      </c>
      <c r="G75" s="50">
        <f>k*t0*_xlfn.GAMMA.DIST(Tabella211[[#This Row],[Day]]/t0,w+1,1,1)*_xlfn.GAMMA(w+1)</f>
        <v>189162.4170095241</v>
      </c>
      <c r="H75" s="10">
        <f>k*((Tabella211[[#This Row],[Day]]/t0)^w)*EXP(-(Tabella211[[#This Row],[Day]]/t0))</f>
        <v>848.82746117904333</v>
      </c>
      <c r="I75" s="56">
        <f>Tabella211[[#This Row],[Cum_fit]]*NOT(ISBLANK(Tabella211[[#This Row],[Cum_confirmed]]))</f>
        <v>0</v>
      </c>
      <c r="L75" s="55"/>
      <c r="M75" s="54"/>
      <c r="N75" s="54">
        <f>Tabella211[[#This Row],[New_cases_fit]]-Tabella211[[#This Row],[New_Recovered_fit]]-Tabella211[[#This Row],[New_Deaths_fit]]</f>
        <v>-1154.7971341336493</v>
      </c>
      <c r="P75" s="48"/>
      <c r="Q75" s="60">
        <f>Tabella211[[#This Row],[Cum_recov]]*NOT(ISBLANK(Tabella211[[#This Row],[Cum_recov]]))</f>
        <v>0</v>
      </c>
      <c r="R75" s="50">
        <f>kr*t0r*_xlfn.GAMMA.DIST(Tabella211[[#This Row],[Day]]/t0r,wr+1,1,1)*_xlfn.GAMMA(wr+1)</f>
        <v>68859.190474006362</v>
      </c>
      <c r="S75" s="10">
        <f>kr*((Tabella211[[#This Row],[Day]]/t0r)^wr)*EXP(-(Tabella211[[#This Row],[Day]]/t0r))</f>
        <v>1905.2378213262748</v>
      </c>
      <c r="T75" s="60">
        <f>Tabella211[[#This Row],[Cum_R_fit]]*NOT(ISBLANK(Tabella211[[#This Row],[Cum_recov]]))</f>
        <v>0</v>
      </c>
      <c r="X75" s="26"/>
      <c r="Y75" s="65">
        <f>Tabella211[[#This Row],[Cum_deaths]]*NOT(ISBLANK(Tabella211[[#This Row],[Cum_deaths]]))</f>
        <v>0</v>
      </c>
      <c r="Z75" s="50">
        <f>kh*t0h*_xlfn.GAMMA.DIST(Tabella211[[#This Row],[Day]]/t0h,wh+1,1,1)*_xlfn.GAMMA(wh+1)</f>
        <v>24753.834560926036</v>
      </c>
      <c r="AA75" s="10">
        <f>kh*((Tabella211[[#This Row],[Day]]/t0h)^wh)*EXP(-(Tabella211[[#This Row],[Day]]/t0h))</f>
        <v>98.386773986417779</v>
      </c>
      <c r="AB75" s="65">
        <f>Tabella211[[#This Row],[Cum_D_fit]]*NOT(ISBLANK(Tabella211[[#This Row],[Cum_deaths]]))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Tabella211[[#This Row],[Cum_confirmed]]*NOT(ISBLANK(Tabella211[[#This Row],[Cum_confirmed]]))</f>
        <v>0</v>
      </c>
      <c r="G76" s="50">
        <f>k*t0*_xlfn.GAMMA.DIST(Tabella211[[#This Row],[Day]]/t0,w+1,1,1)*_xlfn.GAMMA(w+1)</f>
        <v>189978.31057961009</v>
      </c>
      <c r="H76" s="10">
        <f>k*((Tabella211[[#This Row],[Day]]/t0)^w)*EXP(-(Tabella211[[#This Row],[Day]]/t0))</f>
        <v>783.69688264996466</v>
      </c>
      <c r="I76" s="56">
        <f>Tabella211[[#This Row],[Cum_fit]]*NOT(ISBLANK(Tabella211[[#This Row],[Cum_confirmed]]))</f>
        <v>0</v>
      </c>
      <c r="L76" s="55"/>
      <c r="M76" s="54"/>
      <c r="N76" s="54">
        <f>Tabella211[[#This Row],[New_cases_fit]]-Tabella211[[#This Row],[New_Recovered_fit]]-Tabella211[[#This Row],[New_Deaths_fit]]</f>
        <v>-1204.5988350053681</v>
      </c>
      <c r="P76" s="48"/>
      <c r="Q76" s="60">
        <f>Tabella211[[#This Row],[Cum_recov]]*NOT(ISBLANK(Tabella211[[#This Row],[Cum_recov]]))</f>
        <v>0</v>
      </c>
      <c r="R76" s="50">
        <f>kr*t0r*_xlfn.GAMMA.DIST(Tabella211[[#This Row],[Day]]/t0r,wr+1,1,1)*_xlfn.GAMMA(wr+1)</f>
        <v>70761.600645664104</v>
      </c>
      <c r="S76" s="10">
        <f>kr*((Tabella211[[#This Row],[Day]]/t0r)^wr)*EXP(-(Tabella211[[#This Row],[Day]]/t0r))</f>
        <v>1899.3593500760242</v>
      </c>
      <c r="T76" s="60">
        <f>Tabella211[[#This Row],[Cum_R_fit]]*NOT(ISBLANK(Tabella211[[#This Row],[Cum_recov]]))</f>
        <v>0</v>
      </c>
      <c r="X76" s="26"/>
      <c r="Y76" s="65">
        <f>Tabella211[[#This Row],[Cum_deaths]]*NOT(ISBLANK(Tabella211[[#This Row],[Cum_deaths]]))</f>
        <v>0</v>
      </c>
      <c r="Z76" s="50">
        <f>kh*t0h*_xlfn.GAMMA.DIST(Tabella211[[#This Row],[Day]]/t0h,wh+1,1,1)*_xlfn.GAMMA(wh+1)</f>
        <v>24847.428011723707</v>
      </c>
      <c r="AA76" s="10">
        <f>kh*((Tabella211[[#This Row],[Day]]/t0h)^wh)*EXP(-(Tabella211[[#This Row],[Day]]/t0h))</f>
        <v>88.936367579308637</v>
      </c>
      <c r="AB76" s="65">
        <f>Tabella211[[#This Row],[Cum_D_fit]]*NOT(ISBLANK(Tabella211[[#This Row],[Cum_deaths]]))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Tabella211[[#This Row],[Cum_confirmed]]*NOT(ISBLANK(Tabella211[[#This Row],[Cum_confirmed]]))</f>
        <v>0</v>
      </c>
      <c r="G77" s="50">
        <f>k*t0*_xlfn.GAMMA.DIST(Tabella211[[#This Row],[Day]]/t0,w+1,1,1)*_xlfn.GAMMA(w+1)</f>
        <v>190731.25069814461</v>
      </c>
      <c r="H77" s="10">
        <f>k*((Tabella211[[#This Row],[Day]]/t0)^w)*EXP(-(Tabella211[[#This Row],[Day]]/t0))</f>
        <v>722.88601873137986</v>
      </c>
      <c r="I77" s="56">
        <f>Tabella211[[#This Row],[Cum_fit]]*NOT(ISBLANK(Tabella211[[#This Row],[Cum_confirmed]]))</f>
        <v>0</v>
      </c>
      <c r="L77" s="55"/>
      <c r="M77" s="54"/>
      <c r="N77" s="54">
        <f>Tabella211[[#This Row],[New_cases_fit]]-Tabella211[[#This Row],[New_Recovered_fit]]-Tabella211[[#This Row],[New_Deaths_fit]]</f>
        <v>-1249.560307686939</v>
      </c>
      <c r="P77" s="48"/>
      <c r="Q77" s="60">
        <f>Tabella211[[#This Row],[Cum_recov]]*NOT(ISBLANK(Tabella211[[#This Row],[Cum_recov]]))</f>
        <v>0</v>
      </c>
      <c r="R77" s="50">
        <f>kr*t0r*_xlfn.GAMMA.DIST(Tabella211[[#This Row],[Day]]/t0r,wr+1,1,1)*_xlfn.GAMMA(wr+1)</f>
        <v>72657.471645148849</v>
      </c>
      <c r="S77" s="10">
        <f>kr*((Tabella211[[#This Row],[Day]]/t0r)^wr)*EXP(-(Tabella211[[#This Row],[Day]]/t0r))</f>
        <v>1892.1683067240476</v>
      </c>
      <c r="T77" s="60">
        <f>Tabella211[[#This Row],[Cum_R_fit]]*NOT(ISBLANK(Tabella211[[#This Row],[Cum_recov]]))</f>
        <v>0</v>
      </c>
      <c r="X77" s="26"/>
      <c r="Y77" s="65">
        <f>Tabella211[[#This Row],[Cum_deaths]]*NOT(ISBLANK(Tabella211[[#This Row],[Cum_deaths]]))</f>
        <v>0</v>
      </c>
      <c r="Z77" s="50">
        <f>kh*t0h*_xlfn.GAMMA.DIST(Tabella211[[#This Row],[Day]]/t0h,wh+1,1,1)*_xlfn.GAMMA(wh+1)</f>
        <v>24931.971310929242</v>
      </c>
      <c r="AA77" s="10">
        <f>kh*((Tabella211[[#This Row],[Day]]/t0h)^wh)*EXP(-(Tabella211[[#This Row],[Day]]/t0h))</f>
        <v>80.278019694271237</v>
      </c>
      <c r="AB77" s="65">
        <f>Tabella211[[#This Row],[Cum_D_fit]]*NOT(ISBLANK(Tabella211[[#This Row],[Cum_deaths]]))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Tabella211[[#This Row],[Cum_confirmed]]*NOT(ISBLANK(Tabella211[[#This Row],[Cum_confirmed]]))</f>
        <v>0</v>
      </c>
      <c r="G78" s="50">
        <f>k*t0*_xlfn.GAMMA.DIST(Tabella211[[#This Row],[Day]]/t0,w+1,1,1)*_xlfn.GAMMA(w+1)</f>
        <v>191425.45328025502</v>
      </c>
      <c r="H78" s="10">
        <f>k*((Tabella211[[#This Row],[Day]]/t0)^w)*EXP(-(Tabella211[[#This Row],[Day]]/t0))</f>
        <v>666.18715057173608</v>
      </c>
      <c r="I78" s="56">
        <f>Tabella211[[#This Row],[Cum_fit]]*NOT(ISBLANK(Tabella211[[#This Row],[Cum_confirmed]]))</f>
        <v>0</v>
      </c>
      <c r="L78" s="55"/>
      <c r="M78" s="54"/>
      <c r="N78" s="54">
        <f>Tabella211[[#This Row],[New_cases_fit]]-Tabella211[[#This Row],[New_Recovered_fit]]-Tabella211[[#This Row],[New_Deaths_fit]]</f>
        <v>-1289.8920340283596</v>
      </c>
      <c r="P78" s="48"/>
      <c r="Q78" s="60">
        <f>Tabella211[[#This Row],[Cum_recov]]*NOT(ISBLANK(Tabella211[[#This Row],[Cum_recov]]))</f>
        <v>0</v>
      </c>
      <c r="R78" s="50">
        <f>kr*t0r*_xlfn.GAMMA.DIST(Tabella211[[#This Row],[Day]]/t0r,wr+1,1,1)*_xlfn.GAMMA(wr+1)</f>
        <v>74545.517455026406</v>
      </c>
      <c r="S78" s="10">
        <f>kr*((Tabella211[[#This Row],[Day]]/t0r)^wr)*EXP(-(Tabella211[[#This Row],[Day]]/t0r))</f>
        <v>1883.7178599988679</v>
      </c>
      <c r="T78" s="60">
        <f>Tabella211[[#This Row],[Cum_R_fit]]*NOT(ISBLANK(Tabella211[[#This Row],[Cum_recov]]))</f>
        <v>0</v>
      </c>
      <c r="X78" s="26"/>
      <c r="Y78" s="65">
        <f>Tabella211[[#This Row],[Cum_deaths]]*NOT(ISBLANK(Tabella211[[#This Row],[Cum_deaths]]))</f>
        <v>0</v>
      </c>
      <c r="Z78" s="50">
        <f>kh*t0h*_xlfn.GAMMA.DIST(Tabella211[[#This Row],[Day]]/t0h,wh+1,1,1)*_xlfn.GAMMA(wh+1)</f>
        <v>25008.2312587091</v>
      </c>
      <c r="AA78" s="10">
        <f>kh*((Tabella211[[#This Row],[Day]]/t0h)^wh)*EXP(-(Tabella211[[#This Row],[Day]]/t0h))</f>
        <v>72.361324601227906</v>
      </c>
      <c r="AB78" s="65">
        <f>Tabella211[[#This Row],[Cum_D_fit]]*NOT(ISBLANK(Tabella211[[#This Row],[Cum_deaths]]))</f>
        <v>0</v>
      </c>
    </row>
    <row r="79" spans="2:28" ht="31.2" x14ac:dyDescent="0.6">
      <c r="B79" s="11"/>
      <c r="C79" s="4"/>
      <c r="E79" s="8"/>
      <c r="I79" s="8"/>
    </row>
    <row r="80" spans="2:28" ht="31.2" x14ac:dyDescent="0.6">
      <c r="B80" s="11"/>
      <c r="C80" s="4"/>
      <c r="E80" s="8"/>
      <c r="I80" s="8"/>
    </row>
    <row r="81" spans="2:18" ht="31.2" x14ac:dyDescent="0.6">
      <c r="B81" s="11"/>
      <c r="C81" s="4"/>
      <c r="E81" s="8"/>
      <c r="I81" s="8"/>
    </row>
    <row r="82" spans="2:18" ht="31.2" x14ac:dyDescent="0.6">
      <c r="B82" s="11"/>
      <c r="C82" s="4"/>
      <c r="E82" s="8"/>
      <c r="I82" s="8"/>
    </row>
    <row r="83" spans="2:18" ht="31.2" x14ac:dyDescent="0.6">
      <c r="B83" s="11"/>
      <c r="C83" s="4"/>
      <c r="E83" s="8"/>
      <c r="I83" s="8"/>
    </row>
    <row r="84" spans="2:18" ht="31.2" x14ac:dyDescent="0.6">
      <c r="B84" s="11"/>
      <c r="C84" s="4"/>
      <c r="E84" s="8"/>
      <c r="I84" s="8"/>
    </row>
    <row r="85" spans="2:18" ht="31.2" x14ac:dyDescent="0.6">
      <c r="B85" s="11"/>
      <c r="C85" s="4"/>
      <c r="E85" s="8"/>
      <c r="I85" s="8"/>
    </row>
    <row r="86" spans="2:18" ht="31.2" x14ac:dyDescent="0.6">
      <c r="B86" s="11"/>
      <c r="C86" s="4"/>
      <c r="E86" s="8"/>
      <c r="I86" s="8"/>
    </row>
    <row r="87" spans="2:18" ht="31.2" x14ac:dyDescent="0.6">
      <c r="B87" s="11"/>
      <c r="C87" s="4"/>
      <c r="E87" s="8"/>
      <c r="I87" s="8"/>
    </row>
    <row r="88" spans="2:18" ht="31.2" x14ac:dyDescent="0.6">
      <c r="B88" s="11"/>
      <c r="C88" s="4"/>
      <c r="E88" s="8"/>
      <c r="I88" s="8"/>
    </row>
    <row r="89" spans="2:18" ht="31.2" x14ac:dyDescent="0.6">
      <c r="B89" s="11"/>
      <c r="C89" s="4"/>
      <c r="E89" s="8"/>
      <c r="I89" s="8"/>
    </row>
    <row r="90" spans="2:18" ht="31.2" x14ac:dyDescent="0.6">
      <c r="B90" s="11"/>
      <c r="C90" s="4"/>
      <c r="E90" s="8"/>
      <c r="I90" s="8"/>
    </row>
    <row r="91" spans="2:18" ht="31.2" x14ac:dyDescent="0.6">
      <c r="B91" s="11"/>
      <c r="C91" s="4"/>
      <c r="E91" s="8"/>
      <c r="I91" s="8"/>
    </row>
    <row r="92" spans="2:18" ht="31.2" x14ac:dyDescent="0.6">
      <c r="B92" s="11"/>
      <c r="C92" s="4"/>
      <c r="E92" s="8"/>
      <c r="I92" s="8"/>
    </row>
    <row r="94" spans="2:18" ht="31.2" x14ac:dyDescent="0.6">
      <c r="B94" s="11" t="s">
        <v>11</v>
      </c>
    </row>
    <row r="95" spans="2:18" ht="17.399999999999999" customHeight="1" x14ac:dyDescent="0.6">
      <c r="B95" s="12"/>
      <c r="C95" s="13"/>
      <c r="D95" s="13"/>
      <c r="E95" s="13"/>
      <c r="F95" s="13"/>
      <c r="H95" s="13"/>
      <c r="I95" s="13"/>
      <c r="J95" s="13"/>
      <c r="O95" s="20" t="s">
        <v>0</v>
      </c>
      <c r="P95" s="19" t="s">
        <v>68</v>
      </c>
      <c r="Q95" s="31"/>
      <c r="R95" s="16"/>
    </row>
    <row r="96" spans="2:18" ht="20.399999999999999" x14ac:dyDescent="0.35">
      <c r="B96" s="15" t="s">
        <v>49</v>
      </c>
      <c r="C96" s="14"/>
      <c r="D96" s="13"/>
      <c r="E96" s="13"/>
      <c r="F96" s="13"/>
      <c r="H96" s="13"/>
      <c r="I96" s="13"/>
      <c r="J96" s="13"/>
      <c r="O96" s="20" t="s">
        <v>23</v>
      </c>
      <c r="P96" s="19" t="s">
        <v>71</v>
      </c>
      <c r="Q96" s="16"/>
      <c r="R96" s="16"/>
    </row>
    <row r="97" spans="2:28" ht="18.600000000000001" thickBot="1" x14ac:dyDescent="0.4">
      <c r="B97" s="27" t="s">
        <v>58</v>
      </c>
      <c r="C97" s="13"/>
      <c r="D97" s="13"/>
      <c r="E97" s="13"/>
      <c r="F97" s="13"/>
      <c r="H97" s="13"/>
      <c r="I97" s="13"/>
      <c r="J97" s="13"/>
      <c r="O97" s="20" t="s">
        <v>1</v>
      </c>
      <c r="P97" s="19" t="s">
        <v>71</v>
      </c>
      <c r="Q97" s="16"/>
      <c r="R97" s="16"/>
    </row>
    <row r="98" spans="2:28" ht="28.8" x14ac:dyDescent="0.3">
      <c r="B98" s="4" t="s">
        <v>8</v>
      </c>
      <c r="C98" s="4" t="s">
        <v>9</v>
      </c>
      <c r="D98" s="4" t="s">
        <v>10</v>
      </c>
      <c r="E98" s="8" t="s">
        <v>54</v>
      </c>
      <c r="F98" s="8" t="s">
        <v>44</v>
      </c>
      <c r="G98" s="8" t="s">
        <v>45</v>
      </c>
      <c r="H98" s="4" t="s">
        <v>53</v>
      </c>
      <c r="I98" s="8" t="s">
        <v>55</v>
      </c>
      <c r="J98" s="8" t="s">
        <v>56</v>
      </c>
      <c r="K98" s="8" t="s">
        <v>57</v>
      </c>
      <c r="L98" s="8"/>
      <c r="M98" s="28" t="s">
        <v>46</v>
      </c>
      <c r="N98" s="3"/>
      <c r="O98" s="3"/>
      <c r="AB98" s="38" t="s">
        <v>72</v>
      </c>
    </row>
    <row r="99" spans="2:28" x14ac:dyDescent="0.3">
      <c r="B99" s="24">
        <v>43881</v>
      </c>
      <c r="C99" s="25">
        <v>1</v>
      </c>
      <c r="D99" s="26">
        <v>3</v>
      </c>
      <c r="E99" s="8">
        <f t="shared" ref="E99:E162" si="2">t0*_xlfn.GAMMA.DIST($C99/t0,w+1,1,1)*_xlfn.GAMMA(w+1)</f>
        <v>3.7505911624637399E-5</v>
      </c>
      <c r="F99" s="10">
        <f>E99+CI</f>
        <v>2571.0436640792841</v>
      </c>
      <c r="G99" s="10">
        <f>MAX(E99-CI,0)</f>
        <v>0</v>
      </c>
      <c r="H99" s="25">
        <v>0</v>
      </c>
      <c r="I99" s="8">
        <f t="shared" ref="I99:I162" si="3">t0h*_xlfn.GAMMA.DIST($C99/t0h,wh+1,1,1)*_xlfn.GAMMA(wh+1)</f>
        <v>2.3993010646947285E-6</v>
      </c>
      <c r="J99" s="10">
        <f t="shared" ref="J99:J138" si="4">I99+CIh</f>
        <v>227.94311486750789</v>
      </c>
      <c r="K99" s="10">
        <f t="shared" ref="K99:K138" si="5">MAX(I99-CIh,0)</f>
        <v>0</v>
      </c>
      <c r="L99" s="8"/>
      <c r="M99" s="36"/>
      <c r="N99" s="36"/>
      <c r="O99" s="3"/>
      <c r="AB99" s="39">
        <f>MAX($N$13)</f>
        <v>73.168906926745663</v>
      </c>
    </row>
    <row r="100" spans="2:28" ht="15.6" x14ac:dyDescent="0.35">
      <c r="B100" s="24">
        <v>43882</v>
      </c>
      <c r="C100" s="25">
        <v>2</v>
      </c>
      <c r="D100" s="26">
        <v>20</v>
      </c>
      <c r="E100" s="8">
        <f t="shared" si="2"/>
        <v>1.3397415663309572E-3</v>
      </c>
      <c r="F100" s="10">
        <f>E100+CI</f>
        <v>2571.0449663149388</v>
      </c>
      <c r="G100" s="10">
        <f>MAX(E100-CI,0)</f>
        <v>0</v>
      </c>
      <c r="H100" s="25">
        <v>1</v>
      </c>
      <c r="I100" s="8">
        <f t="shared" si="3"/>
        <v>4.0643012925073077E-4</v>
      </c>
      <c r="J100" s="10">
        <f t="shared" si="4"/>
        <v>227.94351889833609</v>
      </c>
      <c r="K100" s="10">
        <f t="shared" si="5"/>
        <v>0</v>
      </c>
      <c r="L100" s="8"/>
      <c r="M100" s="21" t="s">
        <v>24</v>
      </c>
      <c r="N100" s="29">
        <v>4.2282842615638625</v>
      </c>
      <c r="O100" s="3"/>
      <c r="AB100" s="40">
        <f>COUNT($N$8,$N$9)</f>
        <v>2</v>
      </c>
    </row>
    <row r="101" spans="2:28" x14ac:dyDescent="0.3">
      <c r="B101" s="24">
        <v>43883</v>
      </c>
      <c r="C101" s="25">
        <v>3</v>
      </c>
      <c r="D101" s="26">
        <v>62</v>
      </c>
      <c r="E101" s="8">
        <f t="shared" si="2"/>
        <v>1.0323706398863647E-2</v>
      </c>
      <c r="F101" s="10">
        <f>E101+CI</f>
        <v>2571.0539502797715</v>
      </c>
      <c r="G101" s="10">
        <f>MAX(E101-CI,0)</f>
        <v>0</v>
      </c>
      <c r="H101" s="25">
        <v>2</v>
      </c>
      <c r="I101" s="8">
        <f t="shared" si="3"/>
        <v>7.6084090199682536E-3</v>
      </c>
      <c r="J101" s="10">
        <f t="shared" si="4"/>
        <v>227.95072087722681</v>
      </c>
      <c r="K101" s="10">
        <f t="shared" si="5"/>
        <v>0</v>
      </c>
      <c r="L101" s="8"/>
      <c r="M101" s="21" t="s">
        <v>1</v>
      </c>
      <c r="N101" s="29">
        <v>7.9939169732118822</v>
      </c>
      <c r="O101" s="3"/>
      <c r="AB101" s="40">
        <f>{32767;32767;0.000001;0;FALSE;FALSE;FALSE;1;2;1;0.0001;TRUE}</f>
        <v>32767</v>
      </c>
    </row>
    <row r="102" spans="2:28" x14ac:dyDescent="0.3">
      <c r="B102" s="24">
        <v>43884</v>
      </c>
      <c r="C102" s="25">
        <v>4</v>
      </c>
      <c r="D102" s="26">
        <v>155</v>
      </c>
      <c r="E102" s="8">
        <f t="shared" si="2"/>
        <v>4.2465623910713776E-2</v>
      </c>
      <c r="F102" s="10">
        <f>E102+CI</f>
        <v>2571.0860921972831</v>
      </c>
      <c r="G102" s="10">
        <f>MAX(E102-CI,0)</f>
        <v>0</v>
      </c>
      <c r="H102" s="25">
        <v>3</v>
      </c>
      <c r="I102" s="8">
        <f t="shared" si="3"/>
        <v>5.7819306840428242E-2</v>
      </c>
      <c r="J102" s="10">
        <f t="shared" si="4"/>
        <v>228.00093177504726</v>
      </c>
      <c r="K102" s="10">
        <f t="shared" si="5"/>
        <v>0</v>
      </c>
      <c r="L102" s="8"/>
      <c r="M102" s="5" t="s">
        <v>2</v>
      </c>
      <c r="N102" s="1" t="e">
        <f>AVERAGE(D99:D162)</f>
        <v>#REF!</v>
      </c>
      <c r="O102" s="3"/>
      <c r="AB102" s="40">
        <f>{0;0;1;100;0;FALSE;FALSE;0.075;0;0;FALSE;30}</f>
        <v>0</v>
      </c>
    </row>
    <row r="103" spans="2:28" x14ac:dyDescent="0.3">
      <c r="B103" s="22">
        <v>43885</v>
      </c>
      <c r="C103" s="4">
        <v>5</v>
      </c>
      <c r="D103" s="10" t="e">
        <f>'dpc-covid19-ita-andamento-naz'!#REF!</f>
        <v>#REF!</v>
      </c>
      <c r="E103" s="8">
        <f t="shared" si="2"/>
        <v>0.1238643226579825</v>
      </c>
      <c r="F103" s="10">
        <f t="shared" ref="F103:F143" si="6">E103+CI</f>
        <v>2571.1674908960304</v>
      </c>
      <c r="G103" s="10">
        <f t="shared" ref="G103:G143" si="7">MAX(E103-CI,0)</f>
        <v>0</v>
      </c>
      <c r="H103" s="10" t="e">
        <f>'dpc-covid19-ita-andamento-naz'!#REF!</f>
        <v>#REF!</v>
      </c>
      <c r="I103" s="8">
        <f t="shared" si="3"/>
        <v>0.2681711721042645</v>
      </c>
      <c r="J103" s="10">
        <f t="shared" si="4"/>
        <v>228.21128364031111</v>
      </c>
      <c r="K103" s="10">
        <f t="shared" si="5"/>
        <v>0</v>
      </c>
      <c r="L103" s="1"/>
      <c r="M103" s="5" t="s">
        <v>3</v>
      </c>
      <c r="N103" s="1">
        <f>COUNT(D99:D162)-COUNT(N99:N101)</f>
        <v>2</v>
      </c>
      <c r="AB103" s="40">
        <f>{32767;32767;0.000001;0;FALSE;FALSE;FALSE;1;2;1;0.0001;TRUE}</f>
        <v>32767</v>
      </c>
    </row>
    <row r="104" spans="2:28" x14ac:dyDescent="0.3">
      <c r="B104" s="9">
        <v>43886</v>
      </c>
      <c r="C104" s="4">
        <v>6</v>
      </c>
      <c r="D104" s="10" t="e">
        <f>'dpc-covid19-ita-andamento-naz'!#REF!</f>
        <v>#REF!</v>
      </c>
      <c r="E104" s="8">
        <f t="shared" si="2"/>
        <v>0.29073280426428133</v>
      </c>
      <c r="F104" s="10">
        <f t="shared" si="6"/>
        <v>2571.3343593776367</v>
      </c>
      <c r="G104" s="10">
        <f t="shared" si="7"/>
        <v>0</v>
      </c>
      <c r="H104" s="10" t="e">
        <f>'dpc-covid19-ita-andamento-naz'!#REF!</f>
        <v>#REF!</v>
      </c>
      <c r="I104" s="8">
        <f t="shared" si="3"/>
        <v>0.91032220932429164</v>
      </c>
      <c r="J104" s="10">
        <f t="shared" si="4"/>
        <v>228.85343467753111</v>
      </c>
      <c r="K104" s="10">
        <f t="shared" si="5"/>
        <v>0</v>
      </c>
      <c r="L104" s="1"/>
      <c r="M104" s="5" t="s">
        <v>4</v>
      </c>
      <c r="N104" s="6" t="e" cm="1">
        <f t="array" ref="N104">SQRT(SUM((D99:D143-E99:E143)^2)/df)</f>
        <v>#REF!</v>
      </c>
      <c r="AB104" s="41">
        <f>{0;0;1;100;0;FALSE;FALSE;0.075;0;0;FALSE;30}</f>
        <v>0</v>
      </c>
    </row>
    <row r="105" spans="2:28" ht="16.2" x14ac:dyDescent="0.3">
      <c r="B105" s="9">
        <v>43887</v>
      </c>
      <c r="C105" s="4">
        <v>7</v>
      </c>
      <c r="D105" s="10" t="e">
        <f>'dpc-covid19-ita-andamento-naz'!#REF!</f>
        <v>#REF!</v>
      </c>
      <c r="E105" s="8">
        <f t="shared" si="2"/>
        <v>0.58746973604670105</v>
      </c>
      <c r="F105" s="10">
        <f t="shared" si="6"/>
        <v>2571.6310963094193</v>
      </c>
      <c r="G105" s="10">
        <f t="shared" si="7"/>
        <v>0</v>
      </c>
      <c r="H105" s="10" t="e">
        <f>'dpc-covid19-ita-andamento-naz'!#REF!</f>
        <v>#REF!</v>
      </c>
      <c r="I105" s="8">
        <f t="shared" si="3"/>
        <v>2.4917472621104948</v>
      </c>
      <c r="J105" s="10">
        <f t="shared" si="4"/>
        <v>230.43485973031733</v>
      </c>
      <c r="K105" s="10">
        <f t="shared" si="5"/>
        <v>0</v>
      </c>
      <c r="L105" s="1"/>
      <c r="M105" s="5" t="s">
        <v>5</v>
      </c>
      <c r="N105" s="7" t="e" cm="1">
        <f t="array" ref="N105">1-SUM((D99:D143-E99:E143)^2)/SUM((D99:D143-Mean_of_y)^2)</f>
        <v>#REF!</v>
      </c>
      <c r="AB105" s="42"/>
    </row>
    <row r="106" spans="2:28" x14ac:dyDescent="0.3">
      <c r="B106" s="9">
        <v>43888</v>
      </c>
      <c r="C106" s="4">
        <v>8</v>
      </c>
      <c r="D106" s="10" t="e">
        <f>'dpc-covid19-ita-andamento-naz'!#REF!</f>
        <v>#REF!</v>
      </c>
      <c r="E106" s="8">
        <f t="shared" si="2"/>
        <v>1.0639339048479193</v>
      </c>
      <c r="F106" s="10">
        <f t="shared" si="6"/>
        <v>2572.1075604782204</v>
      </c>
      <c r="G106" s="10">
        <f t="shared" si="7"/>
        <v>0</v>
      </c>
      <c r="H106" s="10" t="e">
        <f>'dpc-covid19-ita-andamento-naz'!#REF!</f>
        <v>#REF!</v>
      </c>
      <c r="I106" s="8">
        <f t="shared" si="3"/>
        <v>5.8272082245608825</v>
      </c>
      <c r="J106" s="10">
        <f t="shared" si="4"/>
        <v>233.77032069276771</v>
      </c>
      <c r="K106" s="10">
        <f t="shared" si="5"/>
        <v>0</v>
      </c>
      <c r="L106" s="1"/>
      <c r="M106" s="5" t="s">
        <v>6</v>
      </c>
      <c r="N106" s="7">
        <f>TINV(0.05,df)</f>
        <v>2.0117405137297668</v>
      </c>
      <c r="AB106" s="43"/>
    </row>
    <row r="107" spans="2:28" x14ac:dyDescent="0.3">
      <c r="B107" s="9">
        <v>43889</v>
      </c>
      <c r="C107" s="4">
        <v>9</v>
      </c>
      <c r="D107" s="10" t="e">
        <f>'dpc-covid19-ita-andamento-naz'!#REF!</f>
        <v>#REF!</v>
      </c>
      <c r="E107" s="8">
        <f t="shared" si="2"/>
        <v>1.7724219964201855</v>
      </c>
      <c r="F107" s="10">
        <f t="shared" si="6"/>
        <v>2572.8160485697927</v>
      </c>
      <c r="G107" s="10">
        <f t="shared" si="7"/>
        <v>0</v>
      </c>
      <c r="H107" s="10" t="e">
        <f>'dpc-covid19-ita-andamento-naz'!#REF!</f>
        <v>#REF!</v>
      </c>
      <c r="I107" s="8">
        <f t="shared" si="3"/>
        <v>12.08568847298131</v>
      </c>
      <c r="J107" s="10">
        <f t="shared" si="4"/>
        <v>240.02880094118814</v>
      </c>
      <c r="K107" s="10">
        <f t="shared" si="5"/>
        <v>0</v>
      </c>
      <c r="L107" s="1"/>
      <c r="M107" s="5" t="s">
        <v>7</v>
      </c>
      <c r="N107" s="1">
        <f>Critical_t*SE_of_y</f>
        <v>2571.0436265733724</v>
      </c>
      <c r="AB107" s="43"/>
    </row>
    <row r="108" spans="2:28" ht="15" thickBot="1" x14ac:dyDescent="0.35">
      <c r="B108" s="9">
        <v>43890</v>
      </c>
      <c r="C108" s="4">
        <v>10</v>
      </c>
      <c r="D108" s="10" t="e">
        <f>'dpc-covid19-ita-andamento-naz'!#REF!</f>
        <v>#REF!</v>
      </c>
      <c r="E108" s="8">
        <f t="shared" si="2"/>
        <v>2.764713866348278</v>
      </c>
      <c r="F108" s="10">
        <f t="shared" si="6"/>
        <v>2573.8083404397207</v>
      </c>
      <c r="G108" s="10">
        <f t="shared" si="7"/>
        <v>0</v>
      </c>
      <c r="H108" s="10" t="e">
        <f>'dpc-covid19-ita-andamento-naz'!#REF!</f>
        <v>#REF!</v>
      </c>
      <c r="I108" s="8">
        <f t="shared" si="3"/>
        <v>22.803663605568321</v>
      </c>
      <c r="J108" s="10">
        <f t="shared" si="4"/>
        <v>250.74677607377515</v>
      </c>
      <c r="K108" s="10">
        <f t="shared" si="5"/>
        <v>0</v>
      </c>
      <c r="L108" s="1"/>
      <c r="M108" s="32" t="s">
        <v>67</v>
      </c>
      <c r="N108" s="33">
        <f>t0*_xlfn.GAMMA(w+1)</f>
        <v>278.40706475380841</v>
      </c>
      <c r="AB108" s="44"/>
    </row>
    <row r="109" spans="2:28" ht="15" thickTop="1" x14ac:dyDescent="0.3">
      <c r="B109" s="22">
        <v>43891</v>
      </c>
      <c r="C109" s="4">
        <v>11</v>
      </c>
      <c r="D109" s="10" t="e">
        <f>'dpc-covid19-ita-andamento-naz'!#REF!</f>
        <v>#REF!</v>
      </c>
      <c r="E109" s="8">
        <f t="shared" si="2"/>
        <v>4.0894270261837802</v>
      </c>
      <c r="F109" s="10">
        <f t="shared" si="6"/>
        <v>2575.1330535995562</v>
      </c>
      <c r="G109" s="10">
        <f t="shared" si="7"/>
        <v>0</v>
      </c>
      <c r="H109" s="10" t="e">
        <f>'dpc-covid19-ita-andamento-naz'!#REF!</f>
        <v>#REF!</v>
      </c>
      <c r="I109" s="8">
        <f t="shared" si="3"/>
        <v>39.861788258147982</v>
      </c>
      <c r="J109" s="10">
        <f t="shared" si="4"/>
        <v>267.80490072635484</v>
      </c>
      <c r="K109" s="10">
        <f t="shared" si="5"/>
        <v>0</v>
      </c>
      <c r="L109" s="1"/>
      <c r="M109" s="23" t="s">
        <v>53</v>
      </c>
      <c r="N109" s="3"/>
      <c r="AB109" s="45">
        <f>MAX($N$24)</f>
        <v>2219.5562219336662</v>
      </c>
    </row>
    <row r="110" spans="2:28" x14ac:dyDescent="0.3">
      <c r="B110" s="9">
        <v>43892</v>
      </c>
      <c r="C110" s="4">
        <v>12</v>
      </c>
      <c r="D110" s="10" t="e">
        <f>'dpc-covid19-ita-andamento-naz'!#REF!</f>
        <v>#REF!</v>
      </c>
      <c r="E110" s="8">
        <f t="shared" si="2"/>
        <v>5.7898219486469129</v>
      </c>
      <c r="F110" s="10">
        <f t="shared" si="6"/>
        <v>2576.8334485220194</v>
      </c>
      <c r="G110" s="10">
        <f t="shared" si="7"/>
        <v>0</v>
      </c>
      <c r="H110" s="10" t="e">
        <f>'dpc-covid19-ita-andamento-naz'!#REF!</f>
        <v>#REF!</v>
      </c>
      <c r="I110" s="8">
        <f t="shared" si="3"/>
        <v>65.427511877764417</v>
      </c>
      <c r="J110" s="10">
        <f t="shared" si="4"/>
        <v>293.37062434597124</v>
      </c>
      <c r="K110" s="10">
        <f t="shared" si="5"/>
        <v>0</v>
      </c>
      <c r="L110" s="1"/>
      <c r="M110" s="37"/>
      <c r="N110" s="37"/>
      <c r="AB110" s="46">
        <f>COUNT($N$19,$N$20)</f>
        <v>2</v>
      </c>
    </row>
    <row r="111" spans="2:28" ht="15.6" x14ac:dyDescent="0.35">
      <c r="B111" s="9">
        <v>43893</v>
      </c>
      <c r="C111" s="4">
        <v>13</v>
      </c>
      <c r="D111" s="10" t="e">
        <f>'dpc-covid19-ita-andamento-naz'!#REF!</f>
        <v>#REF!</v>
      </c>
      <c r="E111" s="8">
        <f t="shared" si="2"/>
        <v>7.9021229254718408</v>
      </c>
      <c r="F111" s="10">
        <f t="shared" si="6"/>
        <v>2578.9457494988442</v>
      </c>
      <c r="G111" s="10">
        <f t="shared" si="7"/>
        <v>0</v>
      </c>
      <c r="H111" s="10" t="e">
        <f>'dpc-covid19-ita-andamento-naz'!#REF!</f>
        <v>#REF!</v>
      </c>
      <c r="I111" s="8">
        <f t="shared" si="3"/>
        <v>101.8701027693776</v>
      </c>
      <c r="J111" s="10">
        <f t="shared" si="4"/>
        <v>329.81321523758442</v>
      </c>
      <c r="K111" s="10">
        <f t="shared" si="5"/>
        <v>0</v>
      </c>
      <c r="L111" s="1"/>
      <c r="M111" s="21" t="s">
        <v>24</v>
      </c>
      <c r="N111" s="29">
        <v>6.0931093620883479</v>
      </c>
      <c r="AB111" s="46">
        <f>{32767;32767;0.000001;0;FALSE;FALSE;FALSE;1;2;1;0.0001;TRUE}</f>
        <v>32767</v>
      </c>
    </row>
    <row r="112" spans="2:28" x14ac:dyDescent="0.3">
      <c r="B112" s="9">
        <v>43894</v>
      </c>
      <c r="C112" s="4">
        <v>14</v>
      </c>
      <c r="D112" s="10" t="e">
        <f>'dpc-covid19-ita-andamento-naz'!#REF!</f>
        <v>#REF!</v>
      </c>
      <c r="E112" s="8">
        <f t="shared" si="2"/>
        <v>10.454363365387058</v>
      </c>
      <c r="F112" s="10">
        <f t="shared" si="6"/>
        <v>2581.4979899387595</v>
      </c>
      <c r="G112" s="10">
        <f t="shared" si="7"/>
        <v>0</v>
      </c>
      <c r="H112" s="10" t="e">
        <f>'dpc-covid19-ita-andamento-naz'!#REF!</f>
        <v>#REF!</v>
      </c>
      <c r="I112" s="8">
        <f t="shared" si="3"/>
        <v>151.65687842635771</v>
      </c>
      <c r="J112" s="10">
        <f t="shared" si="4"/>
        <v>379.59999089456454</v>
      </c>
      <c r="K112" s="10">
        <f t="shared" si="5"/>
        <v>0</v>
      </c>
      <c r="L112" s="1"/>
      <c r="M112" s="21" t="s">
        <v>1</v>
      </c>
      <c r="N112" s="29">
        <v>7.062212780435102</v>
      </c>
      <c r="AB112" s="46">
        <f>{0;0;1;100;0;FALSE;FALSE;0.075;0;0;FALSE;30}</f>
        <v>0</v>
      </c>
    </row>
    <row r="113" spans="2:28" x14ac:dyDescent="0.3">
      <c r="B113" s="22">
        <v>43895</v>
      </c>
      <c r="C113" s="4">
        <v>15</v>
      </c>
      <c r="D113" s="10" t="e">
        <f>'dpc-covid19-ita-andamento-naz'!#REF!</f>
        <v>#REF!</v>
      </c>
      <c r="E113" s="8">
        <f t="shared" si="2"/>
        <v>13.465726245070858</v>
      </c>
      <c r="F113" s="10">
        <f t="shared" si="6"/>
        <v>2584.5093528184434</v>
      </c>
      <c r="G113" s="10">
        <f t="shared" si="7"/>
        <v>0</v>
      </c>
      <c r="H113" s="10" t="e">
        <f>'dpc-covid19-ita-andamento-naz'!#REF!</f>
        <v>#REF!</v>
      </c>
      <c r="I113" s="8">
        <f t="shared" si="3"/>
        <v>217.24025028166943</v>
      </c>
      <c r="J113" s="10">
        <f t="shared" si="4"/>
        <v>445.18336274987627</v>
      </c>
      <c r="K113" s="10">
        <f t="shared" si="5"/>
        <v>0</v>
      </c>
      <c r="L113" s="1"/>
      <c r="M113" s="2" t="s">
        <v>2</v>
      </c>
      <c r="N113" s="1" t="e">
        <f>AVERAGE(H99:H162)</f>
        <v>#REF!</v>
      </c>
      <c r="AB113" s="46">
        <f>{32767;32767;0.000001;0;FALSE;FALSE;FALSE;1;2;1;0.0001;TRUE}</f>
        <v>32767</v>
      </c>
    </row>
    <row r="114" spans="2:28" ht="15" thickBot="1" x14ac:dyDescent="0.35">
      <c r="B114" s="9">
        <v>43896</v>
      </c>
      <c r="C114" s="4">
        <v>16</v>
      </c>
      <c r="D114" s="10" t="e">
        <f>'dpc-covid19-ita-andamento-naz'!#REF!</f>
        <v>#REF!</v>
      </c>
      <c r="E114" s="8">
        <f t="shared" si="2"/>
        <v>16.946326393193942</v>
      </c>
      <c r="F114" s="10">
        <f t="shared" si="6"/>
        <v>2587.9899529665663</v>
      </c>
      <c r="G114" s="10">
        <f t="shared" si="7"/>
        <v>0</v>
      </c>
      <c r="H114" s="10" t="e">
        <f>'dpc-covid19-ita-andamento-naz'!#REF!</f>
        <v>#REF!</v>
      </c>
      <c r="I114" s="8">
        <f t="shared" si="3"/>
        <v>300.94479764504428</v>
      </c>
      <c r="J114" s="10">
        <f t="shared" si="4"/>
        <v>528.88791011325111</v>
      </c>
      <c r="K114" s="10">
        <f t="shared" si="5"/>
        <v>73.001685176837441</v>
      </c>
      <c r="L114" s="1"/>
      <c r="M114" s="2" t="s">
        <v>3</v>
      </c>
      <c r="N114" s="1">
        <f>COUNT(H99:H162)-COUNT(N110:N112)</f>
        <v>2</v>
      </c>
      <c r="AB114" s="47">
        <f>{0;0;1;100;0;FALSE;FALSE;0.075;0;0;FALSE;30}</f>
        <v>0</v>
      </c>
    </row>
    <row r="115" spans="2:28" x14ac:dyDescent="0.3">
      <c r="B115" s="9">
        <v>43897</v>
      </c>
      <c r="C115" s="4">
        <v>17</v>
      </c>
      <c r="D115" s="10" t="e">
        <f>'dpc-covid19-ita-andamento-naz'!#REF!</f>
        <v>#REF!</v>
      </c>
      <c r="E115" s="8">
        <f t="shared" si="2"/>
        <v>20.897368127577362</v>
      </c>
      <c r="F115" s="10">
        <f t="shared" si="6"/>
        <v>2591.9409947009499</v>
      </c>
      <c r="G115" s="10">
        <f t="shared" si="7"/>
        <v>0</v>
      </c>
      <c r="H115" s="10" t="e">
        <f>'dpc-covid19-ita-andamento-naz'!#REF!</f>
        <v>#REF!</v>
      </c>
      <c r="I115" s="8">
        <f t="shared" si="3"/>
        <v>404.86234994809388</v>
      </c>
      <c r="J115" s="10">
        <f t="shared" si="4"/>
        <v>632.80546241630077</v>
      </c>
      <c r="K115" s="10">
        <f t="shared" si="5"/>
        <v>176.91923747988704</v>
      </c>
      <c r="L115" s="1"/>
      <c r="M115" s="2" t="s">
        <v>4</v>
      </c>
      <c r="N115" s="6" t="e" cm="1">
        <f t="array" ref="N115">SQRT(SUM((H99:H143-I99:I143)^2)/dfh)</f>
        <v>#REF!</v>
      </c>
    </row>
    <row r="116" spans="2:28" ht="16.2" x14ac:dyDescent="0.3">
      <c r="B116" s="22">
        <v>43898</v>
      </c>
      <c r="C116" s="4">
        <v>18</v>
      </c>
      <c r="D116" s="10" t="e">
        <f>'dpc-covid19-ita-andamento-naz'!#REF!</f>
        <v>#REF!</v>
      </c>
      <c r="E116" s="8">
        <f t="shared" si="2"/>
        <v>25.311606647812059</v>
      </c>
      <c r="F116" s="10">
        <f t="shared" si="6"/>
        <v>2596.3552332211843</v>
      </c>
      <c r="G116" s="10">
        <f t="shared" si="7"/>
        <v>0</v>
      </c>
      <c r="H116" s="10" t="e">
        <f>'dpc-covid19-ita-andamento-naz'!#REF!</f>
        <v>#REF!</v>
      </c>
      <c r="I116" s="8">
        <f t="shared" si="3"/>
        <v>530.76132616492305</v>
      </c>
      <c r="J116" s="10">
        <f t="shared" si="4"/>
        <v>758.70443863312994</v>
      </c>
      <c r="K116" s="10">
        <f t="shared" si="5"/>
        <v>302.81821369671621</v>
      </c>
      <c r="L116" s="1"/>
      <c r="M116" s="2" t="s">
        <v>5</v>
      </c>
      <c r="N116" s="7" t="e" cm="1">
        <f t="array" ref="N116">1-SUM((H99:H143-I99:I143)^2)/SUM((H99:H143-Mean_of_yh)^2)</f>
        <v>#REF!</v>
      </c>
    </row>
    <row r="117" spans="2:28" x14ac:dyDescent="0.3">
      <c r="B117" s="9">
        <v>43899</v>
      </c>
      <c r="C117" s="4">
        <v>19</v>
      </c>
      <c r="D117" s="10" t="e">
        <f>'dpc-covid19-ita-andamento-naz'!#REF!</f>
        <v>#REF!</v>
      </c>
      <c r="E117" s="8">
        <f t="shared" si="2"/>
        <v>30.174042166198937</v>
      </c>
      <c r="F117" s="10">
        <f t="shared" si="6"/>
        <v>2601.2176687395713</v>
      </c>
      <c r="G117" s="10">
        <f t="shared" si="7"/>
        <v>0</v>
      </c>
      <c r="H117" s="10" t="e">
        <f>'dpc-covid19-ita-andamento-naz'!#REF!</f>
        <v>#REF!</v>
      </c>
      <c r="I117" s="8">
        <f t="shared" si="3"/>
        <v>680.01465111688481</v>
      </c>
      <c r="J117" s="10">
        <f t="shared" si="4"/>
        <v>907.9577635850917</v>
      </c>
      <c r="K117" s="10">
        <f t="shared" si="5"/>
        <v>452.07153864867797</v>
      </c>
      <c r="L117" s="1"/>
      <c r="M117" s="2" t="s">
        <v>6</v>
      </c>
      <c r="N117" s="7">
        <f>TINV(0.05,dfh)</f>
        <v>2.0117405137297668</v>
      </c>
    </row>
    <row r="118" spans="2:28" x14ac:dyDescent="0.3">
      <c r="B118" s="22">
        <v>43900</v>
      </c>
      <c r="C118" s="4">
        <v>20</v>
      </c>
      <c r="D118" s="10" t="e">
        <f>'dpc-covid19-ita-andamento-naz'!#REF!</f>
        <v>#REF!</v>
      </c>
      <c r="E118" s="8">
        <f t="shared" si="2"/>
        <v>35.46278016152003</v>
      </c>
      <c r="F118" s="10">
        <f t="shared" si="6"/>
        <v>2606.5064067348926</v>
      </c>
      <c r="G118" s="10">
        <f t="shared" si="7"/>
        <v>0</v>
      </c>
      <c r="H118" s="10" t="e">
        <f>'dpc-covid19-ita-andamento-naz'!#REF!</f>
        <v>#REF!</v>
      </c>
      <c r="I118" s="8">
        <f t="shared" si="3"/>
        <v>853.54866797470549</v>
      </c>
      <c r="J118" s="10">
        <f t="shared" si="4"/>
        <v>1081.4917804429124</v>
      </c>
      <c r="K118" s="10">
        <f t="shared" si="5"/>
        <v>625.6055555064986</v>
      </c>
      <c r="L118" s="1"/>
      <c r="M118" s="2" t="s">
        <v>7</v>
      </c>
      <c r="N118" s="1">
        <f>Critical_th*SE_of_yh</f>
        <v>227.94311246820683</v>
      </c>
    </row>
    <row r="119" spans="2:28" x14ac:dyDescent="0.3">
      <c r="B119" s="9">
        <v>43901</v>
      </c>
      <c r="C119" s="4">
        <v>21</v>
      </c>
      <c r="D119" s="10" t="e">
        <f>'dpc-covid19-ita-andamento-naz'!#REF!</f>
        <v>#REF!</v>
      </c>
      <c r="E119" s="8">
        <f t="shared" si="2"/>
        <v>41.149997903675271</v>
      </c>
      <c r="F119" s="10">
        <f t="shared" si="6"/>
        <v>2612.1936244770477</v>
      </c>
      <c r="G119" s="10">
        <f t="shared" si="7"/>
        <v>0</v>
      </c>
      <c r="H119" s="10" t="e">
        <f>'dpc-covid19-ita-andamento-naz'!#REF!</f>
        <v>#REF!</v>
      </c>
      <c r="I119" s="8">
        <f t="shared" si="3"/>
        <v>1051.8137527191277</v>
      </c>
      <c r="J119" s="10">
        <f t="shared" si="4"/>
        <v>1279.7568651873346</v>
      </c>
      <c r="K119" s="10">
        <f t="shared" si="5"/>
        <v>823.87064025092081</v>
      </c>
      <c r="L119" s="1"/>
      <c r="M119" s="34" t="s">
        <v>67</v>
      </c>
      <c r="N119" s="35">
        <f>t0h*_xlfn.GAMMA(wh+1)</f>
        <v>12773.5753527163</v>
      </c>
    </row>
    <row r="120" spans="2:28" x14ac:dyDescent="0.3">
      <c r="B120" s="22">
        <v>43902</v>
      </c>
      <c r="C120" s="4">
        <v>22</v>
      </c>
      <c r="D120" s="10" t="e">
        <f>'dpc-covid19-ita-andamento-naz'!#REF!</f>
        <v>#REF!</v>
      </c>
      <c r="E120" s="8">
        <f t="shared" si="2"/>
        <v>47.202965420551315</v>
      </c>
      <c r="F120" s="10">
        <f t="shared" si="6"/>
        <v>2618.2465919939236</v>
      </c>
      <c r="G120" s="10">
        <f t="shared" si="7"/>
        <v>0</v>
      </c>
      <c r="H120" s="10" t="e">
        <f>'dpc-covid19-ita-andamento-naz'!#REF!</f>
        <v>#REF!</v>
      </c>
      <c r="I120" s="8">
        <f t="shared" si="3"/>
        <v>1274.7759050544844</v>
      </c>
      <c r="J120" s="10">
        <f t="shared" si="4"/>
        <v>1502.7190175226913</v>
      </c>
      <c r="K120" s="10">
        <f t="shared" si="5"/>
        <v>1046.8327925862775</v>
      </c>
      <c r="L120" s="1"/>
      <c r="M120" s="5"/>
    </row>
    <row r="121" spans="2:28" x14ac:dyDescent="0.3">
      <c r="B121" s="9">
        <v>43903</v>
      </c>
      <c r="C121" s="4">
        <v>23</v>
      </c>
      <c r="D121" s="10" t="e">
        <f>'dpc-covid19-ita-andamento-naz'!#REF!</f>
        <v>#REF!</v>
      </c>
      <c r="E121" s="8">
        <f t="shared" si="2"/>
        <v>53.585077555205181</v>
      </c>
      <c r="F121" s="10">
        <f t="shared" si="6"/>
        <v>2624.6287041285777</v>
      </c>
      <c r="G121" s="10">
        <f t="shared" si="7"/>
        <v>0</v>
      </c>
      <c r="H121" s="10" t="e">
        <f>'dpc-covid19-ita-andamento-naz'!#REF!</f>
        <v>#REF!</v>
      </c>
      <c r="I121" s="8">
        <f t="shared" si="3"/>
        <v>1521.9274851976286</v>
      </c>
      <c r="J121" s="10">
        <f t="shared" si="4"/>
        <v>1749.8705976658355</v>
      </c>
      <c r="K121" s="10">
        <f t="shared" si="5"/>
        <v>1293.9843727294217</v>
      </c>
      <c r="L121" s="1"/>
      <c r="M121" s="5"/>
    </row>
    <row r="122" spans="2:28" x14ac:dyDescent="0.3">
      <c r="B122" s="9">
        <v>43904</v>
      </c>
      <c r="C122" s="4">
        <v>24</v>
      </c>
      <c r="D122" s="10" t="e">
        <f>'dpc-covid19-ita-andamento-naz'!#REF!</f>
        <v>#REF!</v>
      </c>
      <c r="E122" s="8">
        <f t="shared" si="2"/>
        <v>60.256862123527853</v>
      </c>
      <c r="F122" s="10">
        <f t="shared" si="6"/>
        <v>2631.3004886969002</v>
      </c>
      <c r="G122" s="10">
        <f t="shared" si="7"/>
        <v>0</v>
      </c>
      <c r="H122" s="10" t="e">
        <f>'dpc-covid19-ita-andamento-naz'!#REF!</f>
        <v>#REF!</v>
      </c>
      <c r="I122" s="8">
        <f t="shared" si="3"/>
        <v>1792.314491814652</v>
      </c>
      <c r="J122" s="10">
        <f t="shared" si="4"/>
        <v>2020.2576042828589</v>
      </c>
      <c r="K122" s="10">
        <f t="shared" si="5"/>
        <v>1564.3713793464451</v>
      </c>
      <c r="L122" s="1"/>
      <c r="M122" s="5"/>
    </row>
    <row r="123" spans="2:28" x14ac:dyDescent="0.3">
      <c r="B123" s="9">
        <v>43905</v>
      </c>
      <c r="C123" s="4">
        <v>25</v>
      </c>
      <c r="D123" s="10" t="e">
        <f>'dpc-covid19-ita-andamento-naz'!#REF!</f>
        <v>#REF!</v>
      </c>
      <c r="E123" s="8">
        <f t="shared" si="2"/>
        <v>67.176937049742349</v>
      </c>
      <c r="F123" s="10">
        <f t="shared" si="6"/>
        <v>2638.2205636231147</v>
      </c>
      <c r="G123" s="10">
        <f t="shared" si="7"/>
        <v>0</v>
      </c>
      <c r="H123" s="10" t="e">
        <f>'dpc-covid19-ita-andamento-naz'!#REF!</f>
        <v>#REF!</v>
      </c>
      <c r="I123" s="8">
        <f t="shared" si="3"/>
        <v>2084.577310492708</v>
      </c>
      <c r="J123" s="10">
        <f t="shared" si="4"/>
        <v>2312.5204229609149</v>
      </c>
      <c r="K123" s="10">
        <f t="shared" si="5"/>
        <v>1856.6341980245011</v>
      </c>
      <c r="L123" s="1"/>
      <c r="M123" s="5"/>
    </row>
    <row r="124" spans="2:28" x14ac:dyDescent="0.3">
      <c r="B124" s="9">
        <v>43906</v>
      </c>
      <c r="C124" s="4">
        <v>26</v>
      </c>
      <c r="D124" s="10" t="e">
        <f>'dpc-covid19-ita-andamento-naz'!#REF!</f>
        <v>#REF!</v>
      </c>
      <c r="E124" s="8">
        <f t="shared" si="2"/>
        <v>74.302896493761651</v>
      </c>
      <c r="F124" s="10">
        <f t="shared" si="6"/>
        <v>2645.3465230671341</v>
      </c>
      <c r="G124" s="10">
        <f t="shared" si="7"/>
        <v>0</v>
      </c>
      <c r="H124" s="10" t="e">
        <f>'dpc-covid19-ita-andamento-naz'!#REF!</f>
        <v>#REF!</v>
      </c>
      <c r="I124" s="8">
        <f t="shared" si="3"/>
        <v>2397.0016647420134</v>
      </c>
      <c r="J124" s="10">
        <f t="shared" si="4"/>
        <v>2624.9447772102203</v>
      </c>
      <c r="K124" s="10">
        <f t="shared" si="5"/>
        <v>2169.0585522738065</v>
      </c>
      <c r="L124" s="1"/>
      <c r="M124" s="5"/>
    </row>
    <row r="125" spans="2:28" x14ac:dyDescent="0.3">
      <c r="B125" s="9">
        <v>43907</v>
      </c>
      <c r="C125" s="4">
        <v>27</v>
      </c>
      <c r="D125" s="10" t="e">
        <f>'dpc-covid19-ita-andamento-naz'!#REF!</f>
        <v>#REF!</v>
      </c>
      <c r="E125" s="8">
        <f t="shared" si="2"/>
        <v>81.592112263636267</v>
      </c>
      <c r="F125" s="10">
        <f t="shared" si="6"/>
        <v>2652.6357388370088</v>
      </c>
      <c r="G125" s="10">
        <f t="shared" si="7"/>
        <v>0</v>
      </c>
      <c r="H125" s="10" t="e">
        <f>'dpc-covid19-ita-andamento-naz'!#REF!</f>
        <v>#REF!</v>
      </c>
      <c r="I125" s="8">
        <f t="shared" si="3"/>
        <v>2727.576524054974</v>
      </c>
      <c r="J125" s="10">
        <f t="shared" si="4"/>
        <v>2955.5196365231809</v>
      </c>
      <c r="K125" s="10">
        <f t="shared" si="5"/>
        <v>2499.6334115867671</v>
      </c>
      <c r="L125" s="1"/>
      <c r="N125" s="1"/>
    </row>
    <row r="126" spans="2:28" x14ac:dyDescent="0.3">
      <c r="B126" s="9">
        <v>43908</v>
      </c>
      <c r="C126" s="4">
        <v>28</v>
      </c>
      <c r="D126" s="10" t="e">
        <f>'dpc-covid19-ita-andamento-naz'!#REF!</f>
        <v>#REF!</v>
      </c>
      <c r="E126" s="8">
        <f t="shared" si="2"/>
        <v>89.002442180621301</v>
      </c>
      <c r="F126" s="10">
        <f t="shared" si="6"/>
        <v>2660.0460687539935</v>
      </c>
      <c r="G126" s="10">
        <f t="shared" si="7"/>
        <v>0</v>
      </c>
      <c r="H126" s="10" t="e">
        <f>'dpc-covid19-ita-andamento-naz'!#REF!</f>
        <v>#REF!</v>
      </c>
      <c r="I126" s="8">
        <f t="shared" si="3"/>
        <v>3074.0559149571927</v>
      </c>
      <c r="J126" s="10">
        <f t="shared" si="4"/>
        <v>3301.9990274253996</v>
      </c>
      <c r="K126" s="10">
        <f t="shared" si="5"/>
        <v>2846.1128024889858</v>
      </c>
      <c r="N126" s="6"/>
      <c r="Q126" s="1"/>
    </row>
    <row r="127" spans="2:28" x14ac:dyDescent="0.3">
      <c r="B127" s="9">
        <v>43909</v>
      </c>
      <c r="C127" s="4">
        <v>29</v>
      </c>
      <c r="D127" s="10" t="e">
        <f>'dpc-covid19-ita-andamento-naz'!#REF!</f>
        <v>#REF!</v>
      </c>
      <c r="E127" s="8">
        <f t="shared" si="2"/>
        <v>96.492841542527799</v>
      </c>
      <c r="F127" s="10">
        <f t="shared" si="6"/>
        <v>2667.5364681159003</v>
      </c>
      <c r="G127" s="10">
        <f t="shared" si="7"/>
        <v>0</v>
      </c>
      <c r="H127" s="10" t="e">
        <f>'dpc-covid19-ita-andamento-naz'!#REF!</f>
        <v>#REF!</v>
      </c>
      <c r="I127" s="8">
        <f t="shared" si="3"/>
        <v>3434.0218922094346</v>
      </c>
      <c r="J127" s="10">
        <f t="shared" si="4"/>
        <v>3661.9650046776414</v>
      </c>
      <c r="K127" s="10">
        <f t="shared" si="5"/>
        <v>3206.0787797412277</v>
      </c>
      <c r="N127" s="7"/>
    </row>
    <row r="128" spans="2:28" x14ac:dyDescent="0.3">
      <c r="B128" s="9">
        <v>43910</v>
      </c>
      <c r="C128" s="4">
        <v>30</v>
      </c>
      <c r="D128" s="10" t="e">
        <f>'dpc-covid19-ita-andamento-naz'!#REF!</f>
        <v>#REF!</v>
      </c>
      <c r="E128" s="8">
        <f t="shared" si="2"/>
        <v>104.02387745966973</v>
      </c>
      <c r="F128" s="10">
        <f t="shared" si="6"/>
        <v>2675.067504033042</v>
      </c>
      <c r="G128" s="10">
        <f t="shared" si="7"/>
        <v>0</v>
      </c>
      <c r="H128" s="10" t="e">
        <f>'dpc-covid19-ita-andamento-naz'!#REF!</f>
        <v>#REF!</v>
      </c>
      <c r="I128" s="8">
        <f t="shared" si="3"/>
        <v>3804.9463141826054</v>
      </c>
      <c r="J128" s="10">
        <f t="shared" si="4"/>
        <v>4032.8894266508123</v>
      </c>
      <c r="K128" s="10">
        <f t="shared" si="5"/>
        <v>3577.0032017143985</v>
      </c>
      <c r="N128" s="7"/>
    </row>
    <row r="129" spans="2:14" x14ac:dyDescent="0.3">
      <c r="B129" s="9">
        <v>43911</v>
      </c>
      <c r="C129" s="4">
        <v>31</v>
      </c>
      <c r="D129" s="10" t="e">
        <f>'dpc-covid19-ita-andamento-naz'!#REF!</f>
        <v>#REF!</v>
      </c>
      <c r="E129" s="8">
        <f t="shared" si="2"/>
        <v>111.55814868742964</v>
      </c>
      <c r="F129" s="10">
        <f t="shared" si="6"/>
        <v>2682.6017752608022</v>
      </c>
      <c r="G129" s="10">
        <f t="shared" si="7"/>
        <v>0</v>
      </c>
      <c r="H129" s="10" t="e">
        <f>'dpc-covid19-ita-andamento-naz'!#REF!</f>
        <v>#REF!</v>
      </c>
      <c r="I129" s="8">
        <f t="shared" si="3"/>
        <v>4184.249491253142</v>
      </c>
      <c r="J129" s="10">
        <f t="shared" si="4"/>
        <v>4412.1926037213489</v>
      </c>
      <c r="K129" s="10">
        <f t="shared" si="5"/>
        <v>3956.3063787849351</v>
      </c>
      <c r="N129" s="1"/>
    </row>
    <row r="130" spans="2:14" x14ac:dyDescent="0.3">
      <c r="B130" s="9">
        <v>43912</v>
      </c>
      <c r="C130" s="4">
        <v>32</v>
      </c>
      <c r="D130" s="10" t="e">
        <f>'dpc-covid19-ita-andamento-naz'!#REF!</f>
        <v>#REF!</v>
      </c>
      <c r="E130" s="8">
        <f t="shared" si="2"/>
        <v>119.06061573414677</v>
      </c>
      <c r="F130" s="10">
        <f t="shared" si="6"/>
        <v>2690.1042423075191</v>
      </c>
      <c r="G130" s="10">
        <f t="shared" si="7"/>
        <v>0</v>
      </c>
      <c r="H130" s="10" t="e">
        <f>'dpc-covid19-ita-andamento-naz'!#REF!</f>
        <v>#REF!</v>
      </c>
      <c r="I130" s="8">
        <f t="shared" si="3"/>
        <v>4569.3542083318052</v>
      </c>
      <c r="J130" s="10">
        <f t="shared" si="4"/>
        <v>4797.2973208000121</v>
      </c>
      <c r="K130" s="10">
        <f t="shared" si="5"/>
        <v>4341.4110958635983</v>
      </c>
    </row>
    <row r="131" spans="2:14" x14ac:dyDescent="0.3">
      <c r="B131" s="22">
        <v>43913</v>
      </c>
      <c r="C131" s="4">
        <v>33</v>
      </c>
      <c r="D131" s="10" t="e">
        <f>'dpc-covid19-ita-andamento-naz'!#REF!</f>
        <v>#REF!</v>
      </c>
      <c r="E131" s="8">
        <f t="shared" si="2"/>
        <v>126.49884757212864</v>
      </c>
      <c r="F131" s="10">
        <f t="shared" si="6"/>
        <v>2697.5424741455013</v>
      </c>
      <c r="G131" s="10">
        <f t="shared" si="7"/>
        <v>0</v>
      </c>
      <c r="H131" s="10" t="e">
        <f>'dpc-covid19-ita-andamento-naz'!#REF!</f>
        <v>#REF!</v>
      </c>
      <c r="I131" s="8">
        <f t="shared" si="3"/>
        <v>4957.7340389330657</v>
      </c>
      <c r="J131" s="10">
        <f t="shared" si="4"/>
        <v>5185.6771514012726</v>
      </c>
      <c r="K131" s="10">
        <f t="shared" si="5"/>
        <v>4729.7909264648588</v>
      </c>
    </row>
    <row r="132" spans="2:14" x14ac:dyDescent="0.3">
      <c r="B132" s="9">
        <v>43914</v>
      </c>
      <c r="C132" s="4">
        <v>34</v>
      </c>
      <c r="D132" s="10" t="e">
        <f>'dpc-covid19-ita-andamento-naz'!#REF!</f>
        <v>#REF!</v>
      </c>
      <c r="E132" s="8">
        <f t="shared" si="2"/>
        <v>133.84319231259829</v>
      </c>
      <c r="F132" s="10">
        <f t="shared" si="6"/>
        <v>2704.8868188859706</v>
      </c>
      <c r="G132" s="10">
        <f t="shared" si="7"/>
        <v>0</v>
      </c>
      <c r="H132" s="10" t="e">
        <f>'dpc-covid19-ita-andamento-naz'!#REF!</f>
        <v>#REF!</v>
      </c>
      <c r="I132" s="8">
        <f t="shared" si="3"/>
        <v>5346.9552517059965</v>
      </c>
      <c r="J132" s="10">
        <f t="shared" si="4"/>
        <v>5574.8983641742034</v>
      </c>
      <c r="K132" s="10">
        <f t="shared" si="5"/>
        <v>5119.0121392377896</v>
      </c>
    </row>
    <row r="133" spans="2:14" x14ac:dyDescent="0.3">
      <c r="B133" s="9">
        <v>43915</v>
      </c>
      <c r="C133" s="4">
        <v>35</v>
      </c>
      <c r="D133" s="10" t="e">
        <f>'dpc-covid19-ita-andamento-naz'!#REF!</f>
        <v>#REF!</v>
      </c>
      <c r="E133" s="8">
        <f t="shared" si="2"/>
        <v>141.06687980805364</v>
      </c>
      <c r="F133" s="10">
        <f t="shared" si="6"/>
        <v>2712.1105063814261</v>
      </c>
      <c r="G133" s="10">
        <f t="shared" si="7"/>
        <v>0</v>
      </c>
      <c r="H133" s="10" t="e">
        <f>'dpc-covid19-ita-andamento-naz'!#REF!</f>
        <v>#REF!</v>
      </c>
      <c r="I133" s="8">
        <f t="shared" si="3"/>
        <v>5734.7119500880217</v>
      </c>
      <c r="J133" s="10">
        <f t="shared" si="4"/>
        <v>5962.6550625562286</v>
      </c>
      <c r="K133" s="10">
        <f t="shared" si="5"/>
        <v>5506.7688376198148</v>
      </c>
    </row>
    <row r="134" spans="2:14" x14ac:dyDescent="0.3">
      <c r="B134" s="9">
        <v>43916</v>
      </c>
      <c r="C134" s="4">
        <v>36</v>
      </c>
      <c r="D134" s="10" t="e">
        <f>'dpc-covid19-ita-andamento-naz'!#REF!</f>
        <v>#REF!</v>
      </c>
      <c r="E134" s="8">
        <f t="shared" si="2"/>
        <v>148.14606439736218</v>
      </c>
      <c r="F134" s="10">
        <f t="shared" si="6"/>
        <v>2719.1896909707348</v>
      </c>
      <c r="G134" s="10">
        <f t="shared" si="7"/>
        <v>0</v>
      </c>
      <c r="H134" s="10" t="e">
        <f>'dpc-covid19-ita-andamento-naz'!#REF!</f>
        <v>#REF!</v>
      </c>
      <c r="I134" s="8">
        <f t="shared" si="3"/>
        <v>6118.854375610953</v>
      </c>
      <c r="J134" s="10">
        <f t="shared" si="4"/>
        <v>6346.7974880791598</v>
      </c>
      <c r="K134" s="10">
        <f t="shared" si="5"/>
        <v>5890.9112631427461</v>
      </c>
    </row>
    <row r="135" spans="2:14" x14ac:dyDescent="0.3">
      <c r="B135" s="9">
        <v>43917</v>
      </c>
      <c r="C135" s="4">
        <v>37</v>
      </c>
      <c r="D135" s="10" t="e">
        <f>'dpc-covid19-ita-andamento-naz'!#REF!</f>
        <v>#REF!</v>
      </c>
      <c r="E135" s="8">
        <f t="shared" si="2"/>
        <v>155.05981598187071</v>
      </c>
      <c r="F135" s="10">
        <f t="shared" si="6"/>
        <v>2726.103442555243</v>
      </c>
      <c r="G135" s="10">
        <f t="shared" si="7"/>
        <v>0</v>
      </c>
      <c r="H135" s="10" t="e">
        <f>'dpc-covid19-ita-andamento-naz'!#REF!</f>
        <v>#REF!</v>
      </c>
      <c r="I135" s="8">
        <f t="shared" si="3"/>
        <v>6497.4105432259748</v>
      </c>
      <c r="J135" s="10">
        <f t="shared" si="4"/>
        <v>6725.3536556941817</v>
      </c>
      <c r="K135" s="10">
        <f t="shared" si="5"/>
        <v>6269.4674307577679</v>
      </c>
    </row>
    <row r="136" spans="2:14" x14ac:dyDescent="0.3">
      <c r="B136" s="9">
        <v>43918</v>
      </c>
      <c r="C136" s="4">
        <v>38</v>
      </c>
      <c r="D136" s="10" t="e">
        <f>'dpc-covid19-ita-andamento-naz'!#REF!</f>
        <v>#REF!</v>
      </c>
      <c r="E136" s="8">
        <f t="shared" si="2"/>
        <v>161.79006737846586</v>
      </c>
      <c r="F136" s="10">
        <f t="shared" si="6"/>
        <v>2732.8336939518381</v>
      </c>
      <c r="G136" s="10">
        <f t="shared" si="7"/>
        <v>0</v>
      </c>
      <c r="H136" s="10" t="e">
        <f>'dpc-covid19-ita-andamento-naz'!#REF!</f>
        <v>#REF!</v>
      </c>
      <c r="I136" s="8">
        <f t="shared" si="3"/>
        <v>6868.6015636868851</v>
      </c>
      <c r="J136" s="10">
        <f t="shared" si="4"/>
        <v>7096.544676155092</v>
      </c>
      <c r="K136" s="10">
        <f t="shared" si="5"/>
        <v>6640.6584512186782</v>
      </c>
    </row>
    <row r="137" spans="2:14" x14ac:dyDescent="0.3">
      <c r="B137" s="9">
        <v>43919</v>
      </c>
      <c r="C137" s="4">
        <v>39</v>
      </c>
      <c r="D137" s="10" t="e">
        <f>'dpc-covid19-ita-andamento-naz'!#REF!</f>
        <v>#REF!</v>
      </c>
      <c r="E137" s="8">
        <f t="shared" si="2"/>
        <v>168.32152549306261</v>
      </c>
      <c r="F137" s="10">
        <f t="shared" si="6"/>
        <v>2739.3651520664353</v>
      </c>
      <c r="G137" s="10">
        <f t="shared" si="7"/>
        <v>0</v>
      </c>
      <c r="H137" s="10" t="e">
        <f>'dpc-covid19-ita-andamento-naz'!#REF!</f>
        <v>#REF!</v>
      </c>
      <c r="I137" s="8">
        <f t="shared" si="3"/>
        <v>7230.851146602874</v>
      </c>
      <c r="J137" s="10">
        <f t="shared" si="4"/>
        <v>7458.7942590710809</v>
      </c>
      <c r="K137" s="10">
        <f t="shared" si="5"/>
        <v>7002.9080341346671</v>
      </c>
    </row>
    <row r="138" spans="2:14" x14ac:dyDescent="0.3">
      <c r="B138" s="9">
        <v>43920</v>
      </c>
      <c r="C138" s="4">
        <v>40</v>
      </c>
      <c r="D138" s="10" t="e">
        <f>'dpc-covid19-ita-andamento-naz'!#REF!</f>
        <v>#REF!</v>
      </c>
      <c r="E138" s="8">
        <f t="shared" si="2"/>
        <v>174.64155334239675</v>
      </c>
      <c r="F138" s="10">
        <f t="shared" si="6"/>
        <v>2745.6851799157694</v>
      </c>
      <c r="G138" s="10">
        <f t="shared" si="7"/>
        <v>0</v>
      </c>
      <c r="H138" s="10" t="e">
        <f>'dpc-covid19-ita-andamento-naz'!#REF!</f>
        <v>#REF!</v>
      </c>
      <c r="I138" s="8">
        <f t="shared" si="3"/>
        <v>7582.7898727827314</v>
      </c>
      <c r="J138" s="10">
        <f t="shared" si="4"/>
        <v>7810.7329852509383</v>
      </c>
      <c r="K138" s="10">
        <f t="shared" si="5"/>
        <v>7354.8467603145245</v>
      </c>
    </row>
    <row r="139" spans="2:14" x14ac:dyDescent="0.3">
      <c r="B139" s="9">
        <v>43921</v>
      </c>
      <c r="C139" s="4">
        <v>41</v>
      </c>
      <c r="D139" s="10" t="e">
        <f>'dpc-covid19-ita-andamento-naz'!#REF!</f>
        <v>#REF!</v>
      </c>
      <c r="E139" s="8">
        <f t="shared" si="2"/>
        <v>180.74002936252987</v>
      </c>
      <c r="F139" s="10">
        <f t="shared" si="6"/>
        <v>2751.7836559359021</v>
      </c>
      <c r="G139" s="10">
        <f t="shared" si="7"/>
        <v>0</v>
      </c>
      <c r="H139" s="10" t="e">
        <f>'dpc-covid19-ita-andamento-naz'!#REF!</f>
        <v>#REF!</v>
      </c>
      <c r="I139" s="8">
        <f t="shared" si="3"/>
        <v>7923.2548813579269</v>
      </c>
      <c r="J139" s="10">
        <f>I139+CIh</f>
        <v>8151.1979938261338</v>
      </c>
      <c r="K139" s="10">
        <f>MAX(I139-CIh,0)</f>
        <v>7695.31176888972</v>
      </c>
    </row>
    <row r="140" spans="2:14" x14ac:dyDescent="0.3">
      <c r="B140" s="9">
        <v>43922</v>
      </c>
      <c r="C140" s="4">
        <v>42</v>
      </c>
      <c r="D140" s="10" t="e">
        <f>'dpc-covid19-ita-andamento-naz'!#REF!</f>
        <v>#REF!</v>
      </c>
      <c r="E140" s="8">
        <f t="shared" si="2"/>
        <v>186.60918981136822</v>
      </c>
      <c r="F140" s="10">
        <f t="shared" si="6"/>
        <v>2757.6528163847406</v>
      </c>
      <c r="G140" s="10">
        <f t="shared" si="7"/>
        <v>0</v>
      </c>
      <c r="H140" s="10" t="e">
        <f>'dpc-covid19-ita-andamento-naz'!#REF!</f>
        <v>#REF!</v>
      </c>
      <c r="I140" s="8">
        <f t="shared" si="3"/>
        <v>8251.2856417034109</v>
      </c>
      <c r="J140" s="10">
        <f>I140+CIh</f>
        <v>8479.2287541716178</v>
      </c>
      <c r="K140" s="10">
        <f>MAX(I140-CIh,0)</f>
        <v>8023.342529235204</v>
      </c>
    </row>
    <row r="141" spans="2:14" x14ac:dyDescent="0.3">
      <c r="B141" s="9">
        <v>43923</v>
      </c>
      <c r="C141" s="4">
        <v>43</v>
      </c>
      <c r="D141" s="10" t="e">
        <f>'dpc-covid19-ita-andamento-naz'!#REF!</f>
        <v>#REF!</v>
      </c>
      <c r="E141" s="8">
        <f t="shared" si="2"/>
        <v>192.24345942565367</v>
      </c>
      <c r="F141" s="10">
        <f t="shared" si="6"/>
        <v>2763.2870859990262</v>
      </c>
      <c r="G141" s="10">
        <f t="shared" si="7"/>
        <v>0</v>
      </c>
      <c r="H141" s="10" t="e">
        <f>'dpc-covid19-ita-andamento-naz'!#REF!</f>
        <v>#REF!</v>
      </c>
      <c r="I141" s="8">
        <f t="shared" si="3"/>
        <v>8566.1164782061278</v>
      </c>
      <c r="J141" s="10">
        <f>I141+CIh</f>
        <v>8794.0595906743347</v>
      </c>
      <c r="K141" s="10">
        <f>MAX(I141-CIh,0)</f>
        <v>8338.1733657379209</v>
      </c>
    </row>
    <row r="142" spans="2:14" x14ac:dyDescent="0.3">
      <c r="B142" s="9">
        <v>43924</v>
      </c>
      <c r="C142" s="4">
        <v>44</v>
      </c>
      <c r="D142" s="10" t="e">
        <f>'dpc-covid19-ita-andamento-naz'!#REF!</f>
        <v>#REF!</v>
      </c>
      <c r="E142" s="8">
        <f t="shared" si="2"/>
        <v>197.6392748506328</v>
      </c>
      <c r="F142" s="10">
        <f t="shared" si="6"/>
        <v>2768.6829014240052</v>
      </c>
      <c r="G142" s="10">
        <f t="shared" si="7"/>
        <v>0</v>
      </c>
      <c r="H142" s="10" t="e">
        <f>'dpc-covid19-ita-andamento-naz'!#REF!</f>
        <v>#REF!</v>
      </c>
      <c r="I142" s="8">
        <f t="shared" si="3"/>
        <v>8867.1664930498791</v>
      </c>
      <c r="J142" s="10">
        <f>I142+CIh</f>
        <v>9095.109605518086</v>
      </c>
      <c r="K142" s="10">
        <f>MAX(I142-CIh,0)</f>
        <v>8639.2233805816722</v>
      </c>
    </row>
    <row r="143" spans="2:14" x14ac:dyDescent="0.3">
      <c r="B143" s="9">
        <v>43925</v>
      </c>
      <c r="C143" s="4">
        <v>45</v>
      </c>
      <c r="D143" s="10" t="e">
        <f>'dpc-covid19-ita-andamento-naz'!#REF!</f>
        <v>#REF!</v>
      </c>
      <c r="E143" s="8">
        <f t="shared" si="2"/>
        <v>202.79490473846113</v>
      </c>
      <c r="F143" s="10">
        <f t="shared" si="6"/>
        <v>2773.8385313118333</v>
      </c>
      <c r="G143" s="10">
        <f t="shared" si="7"/>
        <v>0</v>
      </c>
      <c r="H143" s="10" t="e">
        <f>'dpc-covid19-ita-andamento-naz'!#REF!</f>
        <v>#REF!</v>
      </c>
      <c r="I143" s="8">
        <f t="shared" si="3"/>
        <v>9154.0274935407379</v>
      </c>
      <c r="J143" s="10">
        <f>I143+CIh</f>
        <v>9381.9706060089447</v>
      </c>
      <c r="K143" s="10">
        <f>MAX(I143-CIh,0)</f>
        <v>8926.084381072531</v>
      </c>
    </row>
    <row r="144" spans="2:14" x14ac:dyDescent="0.3">
      <c r="B144" s="9">
        <v>43926</v>
      </c>
      <c r="C144" s="4">
        <v>46</v>
      </c>
      <c r="E144" s="8">
        <f t="shared" si="2"/>
        <v>207.71026982075949</v>
      </c>
      <c r="I144" s="8">
        <f t="shared" si="3"/>
        <v>9426.4504806925688</v>
      </c>
    </row>
    <row r="145" spans="2:9" x14ac:dyDescent="0.3">
      <c r="B145" s="9">
        <v>43927</v>
      </c>
      <c r="C145" s="4">
        <v>47</v>
      </c>
      <c r="E145" s="8">
        <f t="shared" si="2"/>
        <v>212.38676570956403</v>
      </c>
      <c r="I145" s="8">
        <f t="shared" si="3"/>
        <v>9684.3311988129135</v>
      </c>
    </row>
    <row r="146" spans="2:9" x14ac:dyDescent="0.3">
      <c r="B146" s="9">
        <v>43928</v>
      </c>
      <c r="C146" s="4">
        <v>48</v>
      </c>
      <c r="E146" s="8">
        <f t="shared" si="2"/>
        <v>216.82709067429772</v>
      </c>
      <c r="I146" s="8">
        <f t="shared" si="3"/>
        <v>9927.695185039327</v>
      </c>
    </row>
    <row r="147" spans="2:9" x14ac:dyDescent="0.3">
      <c r="B147" s="9">
        <v>43929</v>
      </c>
      <c r="C147" s="4">
        <v>49</v>
      </c>
      <c r="E147" s="8">
        <f t="shared" si="2"/>
        <v>221.03508018316063</v>
      </c>
      <c r="I147" s="8">
        <f t="shared" si="3"/>
        <v>10156.682695921121</v>
      </c>
    </row>
    <row r="148" spans="2:9" x14ac:dyDescent="0.3">
      <c r="B148" s="9">
        <v>43930</v>
      </c>
      <c r="C148" s="4">
        <v>50</v>
      </c>
      <c r="E148" s="8">
        <f t="shared" si="2"/>
        <v>225.01554958643237</v>
      </c>
      <c r="I148" s="8">
        <f t="shared" si="3"/>
        <v>10371.533827398531</v>
      </c>
    </row>
    <row r="149" spans="2:9" x14ac:dyDescent="0.3">
      <c r="B149" s="9">
        <v>43931</v>
      </c>
      <c r="C149" s="4">
        <v>51</v>
      </c>
      <c r="E149" s="8">
        <f t="shared" si="2"/>
        <v>228.77414595613976</v>
      </c>
      <c r="I149" s="8">
        <f t="shared" si="3"/>
        <v>10572.574086552911</v>
      </c>
    </row>
    <row r="150" spans="2:9" x14ac:dyDescent="0.3">
      <c r="B150" s="9">
        <v>43932</v>
      </c>
      <c r="C150" s="4">
        <v>52</v>
      </c>
      <c r="E150" s="8">
        <f t="shared" si="2"/>
        <v>232.31720977982536</v>
      </c>
      <c r="I150" s="8">
        <f t="shared" si="3"/>
        <v>10760.200619483905</v>
      </c>
    </row>
    <row r="151" spans="2:9" x14ac:dyDescent="0.3">
      <c r="B151" s="9">
        <v>43933</v>
      </c>
      <c r="C151" s="4">
        <v>53</v>
      </c>
      <c r="E151" s="8">
        <f t="shared" si="2"/>
        <v>235.65164693340233</v>
      </c>
      <c r="I151" s="8">
        <f t="shared" si="3"/>
        <v>10934.869250410586</v>
      </c>
    </row>
    <row r="152" spans="2:9" x14ac:dyDescent="0.3">
      <c r="B152" s="9">
        <v>43934</v>
      </c>
      <c r="C152" s="4">
        <v>54</v>
      </c>
      <c r="E152" s="8">
        <f t="shared" si="2"/>
        <v>238.78481112642888</v>
      </c>
      <c r="I152" s="8">
        <f t="shared" si="3"/>
        <v>11097.082443062885</v>
      </c>
    </row>
    <row r="153" spans="2:9" x14ac:dyDescent="0.3">
      <c r="B153" s="9">
        <v>43935</v>
      </c>
      <c r="C153" s="4">
        <v>55</v>
      </c>
      <c r="E153" s="8">
        <f t="shared" si="2"/>
        <v>241.7243968193475</v>
      </c>
      <c r="I153" s="8">
        <f t="shared" si="3"/>
        <v>11247.378256824904</v>
      </c>
    </row>
    <row r="154" spans="2:9" x14ac:dyDescent="0.3">
      <c r="B154" s="9">
        <v>43936</v>
      </c>
      <c r="C154" s="4">
        <v>56</v>
      </c>
      <c r="E154" s="8">
        <f t="shared" si="2"/>
        <v>244.47834245289005</v>
      </c>
      <c r="I154" s="8">
        <f t="shared" si="3"/>
        <v>11386.320336897386</v>
      </c>
    </row>
    <row r="155" spans="2:9" x14ac:dyDescent="0.3">
      <c r="B155" s="9">
        <v>43937</v>
      </c>
      <c r="C155" s="4">
        <v>57</v>
      </c>
      <c r="E155" s="8">
        <f t="shared" si="2"/>
        <v>247.05474370148471</v>
      </c>
      <c r="I155" s="8">
        <f t="shared" si="3"/>
        <v>11514.488949783285</v>
      </c>
    </row>
    <row r="156" spans="2:9" x14ac:dyDescent="0.3">
      <c r="B156" s="9">
        <v>43938</v>
      </c>
      <c r="C156" s="4">
        <v>58</v>
      </c>
      <c r="E156" s="8">
        <f t="shared" si="2"/>
        <v>249.46177636167693</v>
      </c>
      <c r="I156" s="8">
        <f t="shared" si="3"/>
        <v>11632.473052369109</v>
      </c>
    </row>
    <row r="157" spans="2:9" x14ac:dyDescent="0.3">
      <c r="B157" s="9">
        <v>43939</v>
      </c>
      <c r="C157" s="4">
        <v>59</v>
      </c>
      <c r="E157" s="8">
        <f t="shared" si="2"/>
        <v>251.70762840997264</v>
      </c>
      <c r="I157" s="8">
        <f t="shared" si="3"/>
        <v>11740.863364394145</v>
      </c>
    </row>
    <row r="158" spans="2:9" x14ac:dyDescent="0.3">
      <c r="B158" s="9">
        <v>43940</v>
      </c>
      <c r="C158" s="4">
        <v>60</v>
      </c>
      <c r="E158" s="8">
        <f t="shared" si="2"/>
        <v>253.80044070897807</v>
      </c>
      <c r="I158" s="8">
        <f t="shared" si="3"/>
        <v>11840.246399737392</v>
      </c>
    </row>
    <row r="159" spans="2:9" x14ac:dyDescent="0.3">
      <c r="B159" s="9">
        <v>43941</v>
      </c>
      <c r="C159" s="4">
        <v>61</v>
      </c>
      <c r="E159" s="8">
        <f t="shared" si="2"/>
        <v>255.74825580329008</v>
      </c>
      <c r="I159" s="8">
        <f t="shared" si="3"/>
        <v>11931.199401250848</v>
      </c>
    </row>
    <row r="160" spans="2:9" x14ac:dyDescent="0.3">
      <c r="B160" s="9">
        <v>43942</v>
      </c>
      <c r="C160" s="4">
        <v>62</v>
      </c>
      <c r="E160" s="8">
        <f t="shared" si="2"/>
        <v>257.55897422457122</v>
      </c>
      <c r="I160" s="8">
        <f t="shared" si="3"/>
        <v>12014.286116363968</v>
      </c>
    </row>
    <row r="161" spans="2:9" x14ac:dyDescent="0.3">
      <c r="B161" s="9">
        <v>43943</v>
      </c>
      <c r="C161" s="4">
        <v>63</v>
      </c>
      <c r="E161" s="8">
        <f t="shared" si="2"/>
        <v>259.2403177161238</v>
      </c>
      <c r="I161" s="8">
        <f t="shared" si="3"/>
        <v>12090.053345925573</v>
      </c>
    </row>
    <row r="162" spans="2:9" x14ac:dyDescent="0.3">
      <c r="B162" s="9">
        <v>43944</v>
      </c>
      <c r="C162" s="4">
        <v>64</v>
      </c>
      <c r="E162" s="8">
        <f t="shared" si="2"/>
        <v>260.79979878882921</v>
      </c>
      <c r="I162" s="8">
        <f t="shared" si="3"/>
        <v>12159.028196304162</v>
      </c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  <row r="266" spans="2:9" x14ac:dyDescent="0.3">
      <c r="B266" s="9"/>
      <c r="C266" s="4"/>
      <c r="E266" s="8"/>
      <c r="I266" s="8"/>
    </row>
    <row r="267" spans="2:9" x14ac:dyDescent="0.3">
      <c r="B267" s="9"/>
      <c r="C267" s="4"/>
      <c r="E267" s="8"/>
      <c r="I267" s="8"/>
    </row>
    <row r="268" spans="2:9" x14ac:dyDescent="0.3">
      <c r="B268" s="9"/>
      <c r="C268" s="4"/>
      <c r="E268" s="8"/>
      <c r="I268" s="8"/>
    </row>
    <row r="269" spans="2:9" x14ac:dyDescent="0.3">
      <c r="B269" s="9"/>
      <c r="C269" s="4"/>
      <c r="E269" s="8"/>
      <c r="I269" s="8"/>
    </row>
    <row r="270" spans="2:9" x14ac:dyDescent="0.3">
      <c r="B270" s="9"/>
      <c r="C270" s="4"/>
      <c r="E270" s="8"/>
      <c r="I270" s="8"/>
    </row>
    <row r="271" spans="2:9" x14ac:dyDescent="0.3">
      <c r="B271" s="9"/>
      <c r="C271" s="4"/>
      <c r="E271" s="8"/>
      <c r="I271" s="8"/>
    </row>
    <row r="272" spans="2:9" x14ac:dyDescent="0.3">
      <c r="B272" s="9"/>
      <c r="C272" s="4"/>
      <c r="E272" s="8"/>
      <c r="I272" s="8"/>
    </row>
    <row r="273" spans="2:9" x14ac:dyDescent="0.3">
      <c r="B273" s="9"/>
      <c r="C273" s="4"/>
      <c r="E273" s="8"/>
      <c r="I273" s="8"/>
    </row>
    <row r="274" spans="2:9" x14ac:dyDescent="0.3">
      <c r="B274" s="9"/>
      <c r="C274" s="4"/>
      <c r="E274" s="8"/>
      <c r="I274" s="8"/>
    </row>
    <row r="275" spans="2:9" x14ac:dyDescent="0.3">
      <c r="B275" s="9"/>
      <c r="C275" s="4"/>
      <c r="E275" s="8"/>
      <c r="I275" s="8"/>
    </row>
    <row r="276" spans="2:9" x14ac:dyDescent="0.3">
      <c r="B276" s="9"/>
      <c r="C276" s="4"/>
      <c r="E276" s="8"/>
      <c r="I276" s="8"/>
    </row>
    <row r="277" spans="2:9" x14ac:dyDescent="0.3">
      <c r="B277" s="9"/>
      <c r="C277" s="4"/>
      <c r="E277" s="8"/>
      <c r="I277" s="8"/>
    </row>
    <row r="278" spans="2:9" x14ac:dyDescent="0.3">
      <c r="B278" s="9"/>
      <c r="C278" s="4"/>
      <c r="E278" s="8"/>
      <c r="I278" s="8"/>
    </row>
    <row r="279" spans="2:9" x14ac:dyDescent="0.3">
      <c r="B279" s="9"/>
      <c r="C279" s="4"/>
      <c r="E279" s="8"/>
      <c r="I279" s="8"/>
    </row>
    <row r="280" spans="2:9" x14ac:dyDescent="0.3">
      <c r="B280" s="9"/>
      <c r="C280" s="4"/>
      <c r="E280" s="8"/>
      <c r="I280" s="8"/>
    </row>
    <row r="281" spans="2:9" x14ac:dyDescent="0.3">
      <c r="B281" s="9"/>
      <c r="C281" s="4"/>
      <c r="E281" s="8"/>
      <c r="I281" s="8"/>
    </row>
    <row r="282" spans="2:9" x14ac:dyDescent="0.3">
      <c r="B282" s="9"/>
      <c r="C282" s="4"/>
      <c r="E282" s="8"/>
      <c r="I282" s="8"/>
    </row>
    <row r="283" spans="2:9" x14ac:dyDescent="0.3">
      <c r="B283" s="9"/>
      <c r="C283" s="4"/>
      <c r="E283" s="8"/>
      <c r="I283" s="8"/>
    </row>
    <row r="284" spans="2:9" x14ac:dyDescent="0.3">
      <c r="B284" s="9"/>
      <c r="C284" s="4"/>
      <c r="E284" s="8"/>
      <c r="I284" s="8"/>
    </row>
    <row r="285" spans="2:9" x14ac:dyDescent="0.3">
      <c r="B285" s="9"/>
      <c r="C285" s="4"/>
      <c r="E285" s="8"/>
      <c r="I285" s="8"/>
    </row>
    <row r="286" spans="2:9" x14ac:dyDescent="0.3">
      <c r="B286" s="9"/>
      <c r="C286" s="4"/>
      <c r="E286" s="8"/>
      <c r="I286" s="8"/>
    </row>
  </sheetData>
  <mergeCells count="9">
    <mergeCell ref="AT14:AT17"/>
    <mergeCell ref="AT24:AT27"/>
    <mergeCell ref="B2:H2"/>
    <mergeCell ref="H3:H6"/>
    <mergeCell ref="B4:G4"/>
    <mergeCell ref="B5:G5"/>
    <mergeCell ref="AI3:AM3"/>
    <mergeCell ref="AI4:AM4"/>
    <mergeCell ref="AI5:AM5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AT78"/>
  <sheetViews>
    <sheetView tabSelected="1" zoomScale="40" zoomScaleNormal="40" workbookViewId="0"/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6.6640625" style="2" customWidth="1"/>
    <col min="5" max="6" width="12.109375" style="2" customWidth="1"/>
    <col min="7" max="7" width="12.6640625" style="2" bestFit="1" customWidth="1"/>
    <col min="8" max="8" width="16.109375" style="2" bestFit="1" customWidth="1"/>
    <col min="9" max="9" width="15.5546875" style="2" bestFit="1" customWidth="1"/>
    <col min="10" max="10" width="12.5546875" style="2" customWidth="1"/>
    <col min="11" max="11" width="12.33203125" style="2" customWidth="1"/>
    <col min="12" max="12" width="14.77734375" style="2" customWidth="1"/>
    <col min="13" max="14" width="14.5546875" style="2" customWidth="1"/>
    <col min="15" max="15" width="14.88671875" style="2" bestFit="1" customWidth="1"/>
    <col min="16" max="16" width="11.88671875" style="2" customWidth="1"/>
    <col min="17" max="17" width="15.5546875" style="2" bestFit="1" customWidth="1"/>
    <col min="18" max="18" width="12.6640625" style="2" bestFit="1" customWidth="1"/>
    <col min="19" max="19" width="16.109375" style="2" bestFit="1" customWidth="1"/>
    <col min="20" max="20" width="15.5546875" style="2" bestFit="1" customWidth="1"/>
    <col min="21" max="21" width="13.77734375" style="2" customWidth="1"/>
    <col min="22" max="22" width="13.6640625" style="2" customWidth="1"/>
    <col min="23" max="23" width="14.88671875" style="2" bestFit="1" customWidth="1"/>
    <col min="24" max="25" width="13" style="2" customWidth="1"/>
    <col min="26" max="26" width="12.6640625" style="2" bestFit="1" customWidth="1"/>
    <col min="27" max="27" width="16.109375" style="2" bestFit="1" customWidth="1"/>
    <col min="28" max="28" width="16.109375" style="2" customWidth="1"/>
    <col min="29" max="29" width="14" style="2" customWidth="1"/>
    <col min="30" max="30" width="13.77734375" style="2" customWidth="1"/>
    <col min="31" max="31" width="1.77734375" style="2" customWidth="1"/>
    <col min="32" max="32" width="12.21875" style="2" customWidth="1"/>
    <col min="33" max="33" width="19.33203125" style="2" bestFit="1" customWidth="1"/>
    <col min="34" max="37" width="8.88671875" style="2"/>
    <col min="38" max="38" width="11" style="2" bestFit="1" customWidth="1"/>
    <col min="39" max="45" width="8.88671875" style="2"/>
    <col min="46" max="46" width="9.5546875" style="2" bestFit="1" customWidth="1"/>
    <col min="47" max="16384" width="8.88671875" style="2"/>
  </cols>
  <sheetData>
    <row r="2" spans="2:46" ht="23.4" x14ac:dyDescent="0.45">
      <c r="B2" s="113" t="s">
        <v>11</v>
      </c>
      <c r="C2" s="113"/>
      <c r="D2" s="113"/>
      <c r="E2" s="113"/>
      <c r="F2" s="113"/>
      <c r="G2" s="113"/>
      <c r="H2" s="113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14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75" t="s">
        <v>105</v>
      </c>
      <c r="AI3" s="117" t="s">
        <v>71</v>
      </c>
      <c r="AJ3" s="117"/>
      <c r="AK3" s="117"/>
      <c r="AL3" s="117"/>
    </row>
    <row r="4" spans="2:46" ht="20.399999999999999" thickBot="1" x14ac:dyDescent="0.45">
      <c r="B4" s="115" t="s">
        <v>49</v>
      </c>
      <c r="C4" s="115"/>
      <c r="D4" s="115"/>
      <c r="E4" s="115"/>
      <c r="F4" s="115"/>
      <c r="G4" s="115"/>
      <c r="H4" s="114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90" t="s">
        <v>93</v>
      </c>
      <c r="AI4" s="117" t="s">
        <v>71</v>
      </c>
      <c r="AJ4" s="117"/>
      <c r="AK4" s="117"/>
      <c r="AL4" s="117"/>
    </row>
    <row r="5" spans="2:46" ht="18.600000000000001" thickTop="1" thickBot="1" x14ac:dyDescent="0.4">
      <c r="B5" s="116" t="s">
        <v>110</v>
      </c>
      <c r="C5" s="116"/>
      <c r="D5" s="116"/>
      <c r="E5" s="116"/>
      <c r="F5" s="116"/>
      <c r="G5" s="116"/>
      <c r="H5" s="114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90" t="s">
        <v>1</v>
      </c>
      <c r="AI5" s="117" t="s">
        <v>71</v>
      </c>
      <c r="AJ5" s="117"/>
      <c r="AK5" s="117"/>
      <c r="AL5" s="117"/>
    </row>
    <row r="6" spans="2:46" ht="19.2" thickTop="1" thickBot="1" x14ac:dyDescent="0.4">
      <c r="B6" s="27"/>
      <c r="C6" s="13"/>
      <c r="D6" s="13"/>
      <c r="E6" s="13"/>
      <c r="F6" s="13"/>
      <c r="G6" s="13"/>
      <c r="H6" s="114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8.8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75</v>
      </c>
      <c r="V7" s="8" t="s">
        <v>76</v>
      </c>
      <c r="W7" s="4" t="s">
        <v>62</v>
      </c>
      <c r="X7" s="53" t="s">
        <v>63</v>
      </c>
      <c r="Y7" s="64" t="s">
        <v>84</v>
      </c>
      <c r="Z7" s="8" t="s">
        <v>64</v>
      </c>
      <c r="AA7" s="8" t="s">
        <v>91</v>
      </c>
      <c r="AB7" s="64" t="s">
        <v>85</v>
      </c>
      <c r="AC7" s="8" t="s">
        <v>65</v>
      </c>
      <c r="AD7" s="8" t="s">
        <v>66</v>
      </c>
      <c r="AE7" s="8"/>
      <c r="AF7" s="66" t="s">
        <v>46</v>
      </c>
      <c r="AG7" s="67" t="s">
        <v>94</v>
      </c>
      <c r="AH7" s="3"/>
      <c r="AT7" s="81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Tabella2[[#This Row],[New cases]]*NOT(ISBLANK(Tabella2[[#This Row],[New cases]]))</f>
        <v>221</v>
      </c>
      <c r="G8" s="50">
        <f>kn*t0n*_xlfn.GAMMA.DIST(Tabella2[[#This Row],[Day]]/t0n,wn+1,1,1)*_xlfn.GAMMA(wn+1)</f>
        <v>0</v>
      </c>
      <c r="H8" s="10">
        <f>kn*((Tabella2[[#This Row],[Day]]/t0n)^wn)*EXP(-(Tabella2[[#This Row],[Day]]/t0n))</f>
        <v>0</v>
      </c>
      <c r="I8" s="56">
        <f>Tabella2[[#This Row],[New_cases_fit]]*NOT(ISBLANK(Tabella2[[#This Row],[New cases]]))</f>
        <v>0</v>
      </c>
      <c r="J8" s="10">
        <f>Tabella2[[#This Row],[New_cases_fit]]+CIn</f>
        <v>1220.2615761355837</v>
      </c>
      <c r="K8" s="10">
        <f>MAX(Tabella2[[#This Row],[New_cases_fit]]-CIn,0)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Tabella2[[#This Row],[New_cases_fit]]-Tabella2[[#This Row],[New_Recovered_fit]]-Tabella2[[#This Row],[New_Deaths_fit]]</f>
        <v>0</v>
      </c>
      <c r="O8" s="10">
        <f>'dpc-covid19-ita-andamento-naz'!J2</f>
        <v>1</v>
      </c>
      <c r="P8" s="52"/>
      <c r="Q8" s="60">
        <f>Tabella2[[#This Row],[New recovered]]*NOT(ISBLANK(Tabella2[[#This Row],[New recovered]]))</f>
        <v>0</v>
      </c>
      <c r="R8" s="50">
        <f>kd*t0d*_xlfn.GAMMA.DIST(Tabella2[[#This Row],[Day]]/t0d,wd+1,1,1)*_xlfn.GAMMA(wd+1)</f>
        <v>0</v>
      </c>
      <c r="S8" s="10">
        <f>kd*((Tabella2[[#This Row],[Day]]/t0d)^wd)*EXP(-(Tabella2[[#This Row],[Day]]/t0d))</f>
        <v>0</v>
      </c>
      <c r="T8" s="60">
        <f>Tabella2[[#This Row],[New_Recovered_fit]]*NOT(ISBLANK(Tabella2[[#This Row],[New recovered]]))</f>
        <v>0</v>
      </c>
      <c r="U8" s="10">
        <f>Tabella2[[#This Row],[New_Recovered_fit]]+CId</f>
        <v>533.47802367564486</v>
      </c>
      <c r="V8" s="10">
        <f>MAX(Tabella2[[#This Row],[New_Recovered_fit]]-CId,0)</f>
        <v>0</v>
      </c>
      <c r="W8" s="10">
        <f>'dpc-covid19-ita-andamento-naz'!K2</f>
        <v>7</v>
      </c>
      <c r="X8" s="63"/>
      <c r="Y8" s="65">
        <f>Tabella2[[#This Row],[New deaths]]*NOT(ISBLANK(Tabella2[[#This Row],[New deaths]]))</f>
        <v>0</v>
      </c>
      <c r="Z8" s="50">
        <f>kt*t0t*_xlfn.GAMMA.DIST(Tabella2[[#This Row],[Day]]/t0t,wt+1,1,1)*_xlfn.GAMMA(wt+1)</f>
        <v>0</v>
      </c>
      <c r="AA8" s="10">
        <f>kt*((Tabella2[[#This Row],[Day]]/t0t)^wt)*EXP(-(Tabella2[[#This Row],[Day]]/t0t))</f>
        <v>0</v>
      </c>
      <c r="AB8" s="65">
        <f>Tabella2[[#This Row],[New_Deaths_fit]]*NOT(ISBLANK(Tabella2[[#This Row],[New deaths]]))</f>
        <v>0</v>
      </c>
      <c r="AC8" s="10">
        <f>Tabella2[[#This Row],[New_Deaths_fit]]+CIt</f>
        <v>145.30412522783331</v>
      </c>
      <c r="AD8" s="10">
        <f>MAX(Tabella2[[#This Row],[New_Deaths_fit]]-CIt,0)</f>
        <v>0</v>
      </c>
      <c r="AE8" s="8"/>
      <c r="AF8" s="79" t="s">
        <v>105</v>
      </c>
      <c r="AG8" s="80">
        <f>k</f>
        <v>714.30948363205164</v>
      </c>
      <c r="AH8" s="3"/>
      <c r="AT8" s="101">
        <f>MAX($AG$14)</f>
        <v>0.95791856388863628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Tabella2[[#This Row],[New cases]]*NOT(ISBLANK(Tabella2[[#This Row],[New cases]]))</f>
        <v>93</v>
      </c>
      <c r="G9" s="50">
        <f>kn*t0n*_xlfn.GAMMA.DIST(Tabella2[[#This Row],[Day]]/t0n,wn+1,1,1)*_xlfn.GAMMA(wn+1)</f>
        <v>2.6790828365744101E-2</v>
      </c>
      <c r="H9" s="10">
        <f>kn*((Tabella2[[#This Row],[Day]]/t0n)^wn)*EXP(-(Tabella2[[#This Row],[Day]]/t0n))</f>
        <v>0.13963206978005366</v>
      </c>
      <c r="I9" s="56">
        <f>Tabella2[[#This Row],[New_cases_fit]]*NOT(ISBLANK(Tabella2[[#This Row],[New cases]]))</f>
        <v>0.13963206978005366</v>
      </c>
      <c r="J9" s="10">
        <f>Tabella2[[#This Row],[New_cases_fit]]+CIn</f>
        <v>1220.4012082053637</v>
      </c>
      <c r="K9" s="10">
        <f>MAX(Tabella2[[#This Row],[New_cases_fit]]-CIn,0)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Tabella2[[#This Row],[New_cases_fit]]-Tabella2[[#This Row],[New_Recovered_fit]]-Tabella2[[#This Row],[New_Deaths_fit]]</f>
        <v>7.4540240641621763E-2</v>
      </c>
      <c r="O9" s="10">
        <f>'dpc-covid19-ita-andamento-naz'!J3</f>
        <v>1</v>
      </c>
      <c r="P9" s="48">
        <f>Tabella2[[#This Row],[Cum_recov]]-O8</f>
        <v>0</v>
      </c>
      <c r="Q9" s="60">
        <f>Tabella2[[#This Row],[New recovered]]*NOT(ISBLANK(Tabella2[[#This Row],[New recovered]]))</f>
        <v>0</v>
      </c>
      <c r="R9" s="50">
        <f>kd*t0d*_xlfn.GAMMA.DIST(Tabella2[[#This Row],[Day]]/t0d,wd+1,1,1)*_xlfn.GAMMA(wd+1)</f>
        <v>1.5456292143939933E-2</v>
      </c>
      <c r="S9" s="10">
        <f>kd*((Tabella2[[#This Row],[Day]]/t0d)^wd)*EXP(-(Tabella2[[#This Row],[Day]]/t0d))</f>
        <v>6.5055790205405861E-2</v>
      </c>
      <c r="T9" s="60">
        <f>Tabella2[[#This Row],[New_Recovered_fit]]*NOT(ISBLANK(Tabella2[[#This Row],[New recovered]]))</f>
        <v>6.5055790205405861E-2</v>
      </c>
      <c r="U9" s="10">
        <f>Tabella2[[#This Row],[New_Recovered_fit]]+CId</f>
        <v>533.54307946585027</v>
      </c>
      <c r="V9" s="10">
        <f>MAX(Tabella2[[#This Row],[New_Recovered_fit]]-CId,0)</f>
        <v>0</v>
      </c>
      <c r="W9" s="10">
        <f>'dpc-covid19-ita-andamento-naz'!K3</f>
        <v>10</v>
      </c>
      <c r="X9" s="26">
        <f>Tabella2[[#This Row],[Cum_deaths]]-W8</f>
        <v>3</v>
      </c>
      <c r="Y9" s="65">
        <f>Tabella2[[#This Row],[New deaths]]*NOT(ISBLANK(Tabella2[[#This Row],[New deaths]]))</f>
        <v>3</v>
      </c>
      <c r="Z9" s="50">
        <f>kt*t0t*_xlfn.GAMMA.DIST(Tabella2[[#This Row],[Day]]/t0t,wt+1,1,1)*_xlfn.GAMMA(wt+1)</f>
        <v>4.8168092625323027E-6</v>
      </c>
      <c r="AA9" s="10">
        <f>kt*((Tabella2[[#This Row],[Day]]/t0t)^wt)*EXP(-(Tabella2[[#This Row],[Day]]/t0t))</f>
        <v>3.6038933026031066E-5</v>
      </c>
      <c r="AB9" s="65">
        <f>Tabella2[[#This Row],[New_Deaths_fit]]*NOT(ISBLANK(Tabella2[[#This Row],[New deaths]]))</f>
        <v>3.6038933026031066E-5</v>
      </c>
      <c r="AC9" s="10">
        <f>Tabella2[[#This Row],[New_Deaths_fit]]+CIt</f>
        <v>145.30416126676633</v>
      </c>
      <c r="AD9" s="10">
        <f>MAX(Tabella2[[#This Row],[New_Deaths_fit]]-CIt,0)</f>
        <v>0</v>
      </c>
      <c r="AE9" s="8"/>
      <c r="AF9" s="79" t="s">
        <v>104</v>
      </c>
      <c r="AG9" s="80">
        <f>t0</f>
        <v>6.9432400059859463</v>
      </c>
      <c r="AH9" s="3"/>
      <c r="AT9" s="102">
        <f>COUNT($AG$8,$AG$9,$AG$10)</f>
        <v>3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Tabella2[[#This Row],[New cases]]*NOT(ISBLANK(Tabella2[[#This Row],[New cases]]))</f>
        <v>78</v>
      </c>
      <c r="G10" s="50">
        <f>kn*t0n*_xlfn.GAMMA.DIST(Tabella2[[#This Row],[Day]]/t0n,wn+1,1,1)*_xlfn.GAMMA(wn+1)</f>
        <v>0.95699010644626215</v>
      </c>
      <c r="H10" s="10">
        <f>kn*((Tabella2[[#This Row],[Day]]/t0n)^wn)*EXP(-(Tabella2[[#This Row],[Day]]/t0n))</f>
        <v>2.4364074163428819</v>
      </c>
      <c r="I10" s="56">
        <f>Tabella2[[#This Row],[New_cases_fit]]*NOT(ISBLANK(Tabella2[[#This Row],[New cases]]))</f>
        <v>2.4364074163428819</v>
      </c>
      <c r="J10" s="10">
        <f>Tabella2[[#This Row],[New_cases_fit]]+CIn</f>
        <v>1222.6979835519267</v>
      </c>
      <c r="K10" s="10">
        <f>MAX(Tabella2[[#This Row],[New_cases_fit]]-CIn,0)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Tabella2[[#This Row],[New_cases_fit]]-Tabella2[[#This Row],[New_Recovered_fit]]-Tabella2[[#This Row],[New_Deaths_fit]]</f>
        <v>1.8452478559595078</v>
      </c>
      <c r="O10" s="10">
        <f>'dpc-covid19-ita-andamento-naz'!J4</f>
        <v>3</v>
      </c>
      <c r="P10" s="48">
        <f>Tabella2[[#This Row],[Cum_recov]]-O9</f>
        <v>2</v>
      </c>
      <c r="Q10" s="60">
        <f>Tabella2[[#This Row],[New recovered]]*NOT(ISBLANK(Tabella2[[#This Row],[New recovered]]))</f>
        <v>2</v>
      </c>
      <c r="R10" s="50">
        <f>kd*t0d*_xlfn.GAMMA.DIST(Tabella2[[#This Row],[Day]]/t0d,wd+1,1,1)*_xlfn.GAMMA(wd+1)</f>
        <v>0.28225388959298614</v>
      </c>
      <c r="S10" s="10">
        <f>kd*((Tabella2[[#This Row],[Day]]/t0d)^wd)*EXP(-(Tabella2[[#This Row],[Day]]/t0d))</f>
        <v>0.58817865021644655</v>
      </c>
      <c r="T10" s="60">
        <f>Tabella2[[#This Row],[New_Recovered_fit]]*NOT(ISBLANK(Tabella2[[#This Row],[New recovered]]))</f>
        <v>0.58817865021644655</v>
      </c>
      <c r="U10" s="10">
        <f>Tabella2[[#This Row],[New_Recovered_fit]]+CId</f>
        <v>534.06620232586135</v>
      </c>
      <c r="V10" s="10">
        <f>MAX(Tabella2[[#This Row],[New_Recovered_fit]]-CId,0)</f>
        <v>0</v>
      </c>
      <c r="W10" s="10">
        <f>'dpc-covid19-ita-andamento-naz'!K4</f>
        <v>12</v>
      </c>
      <c r="X10" s="26">
        <f>Tabella2[[#This Row],[Cum_deaths]]-W9</f>
        <v>2</v>
      </c>
      <c r="Y10" s="65">
        <f>Tabella2[[#This Row],[New deaths]]*NOT(ISBLANK(Tabella2[[#This Row],[New deaths]]))</f>
        <v>2</v>
      </c>
      <c r="Z10" s="50">
        <f>kt*t0t*_xlfn.GAMMA.DIST(Tabella2[[#This Row],[Day]]/t0t,wt+1,1,1)*_xlfn.GAMMA(wt+1)</f>
        <v>8.1594445980717517E-4</v>
      </c>
      <c r="AA10" s="10">
        <f>kt*((Tabella2[[#This Row],[Day]]/t0t)^wt)*EXP(-(Tabella2[[#This Row],[Day]]/t0t))</f>
        <v>2.9809101669276772E-3</v>
      </c>
      <c r="AB10" s="65">
        <f>Tabella2[[#This Row],[New_Deaths_fit]]*NOT(ISBLANK(Tabella2[[#This Row],[New deaths]]))</f>
        <v>2.9809101669276772E-3</v>
      </c>
      <c r="AC10" s="10">
        <f>Tabella2[[#This Row],[New_Deaths_fit]]+CIt</f>
        <v>145.30710613800025</v>
      </c>
      <c r="AD10" s="10">
        <f>MAX(Tabella2[[#This Row],[New_Deaths_fit]]-CIt,0)</f>
        <v>0</v>
      </c>
      <c r="AE10" s="8"/>
      <c r="AF10" s="79" t="s">
        <v>1</v>
      </c>
      <c r="AG10" s="80">
        <f>w</f>
        <v>4.3328372913705868</v>
      </c>
      <c r="AH10" s="3"/>
      <c r="AT10" s="102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Tabella2[[#This Row],[New cases]]*NOT(ISBLANK(Tabella2[[#This Row],[New cases]]))</f>
        <v>250</v>
      </c>
      <c r="G11" s="50">
        <f>kn*t0n*_xlfn.GAMMA.DIST(Tabella2[[#This Row],[Day]]/t0n,wn+1,1,1)*_xlfn.GAMMA(wn+1)</f>
        <v>7.374321386941201</v>
      </c>
      <c r="H11" s="10">
        <f>kn*((Tabella2[[#This Row],[Day]]/t0n)^wn)*EXP(-(Tabella2[[#This Row],[Day]]/t0n))</f>
        <v>12.222933046851352</v>
      </c>
      <c r="I11" s="56">
        <f>Tabella2[[#This Row],[New_cases_fit]]*NOT(ISBLANK(Tabella2[[#This Row],[New cases]]))</f>
        <v>12.222933046851352</v>
      </c>
      <c r="J11" s="10">
        <f>Tabella2[[#This Row],[New_cases_fit]]+CIn</f>
        <v>1232.484509182435</v>
      </c>
      <c r="K11" s="10">
        <f>MAX(Tabella2[[#This Row],[New_cases_fit]]-CIn,0)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Tabella2[[#This Row],[New_cases_fit]]-Tabella2[[#This Row],[New_Recovered_fit]]-Tabella2[[#This Row],[New_Deaths_fit]]</f>
        <v>10.099115956115318</v>
      </c>
      <c r="O11" s="10">
        <f>'dpc-covid19-ita-andamento-naz'!J5</f>
        <v>45</v>
      </c>
      <c r="P11" s="48">
        <f>Tabella2[[#This Row],[Cum_recov]]-O10</f>
        <v>42</v>
      </c>
      <c r="Q11" s="60">
        <f>Tabella2[[#This Row],[New recovered]]*NOT(ISBLANK(Tabella2[[#This Row],[New recovered]]))</f>
        <v>42</v>
      </c>
      <c r="R11" s="50">
        <f>kd*t0d*_xlfn.GAMMA.DIST(Tabella2[[#This Row],[Day]]/t0d,wd+1,1,1)*_xlfn.GAMMA(wd+1)</f>
        <v>1.517605733487702</v>
      </c>
      <c r="S11" s="10">
        <f>kd*((Tabella2[[#This Row],[Day]]/t0d)^wd)*EXP(-(Tabella2[[#This Row],[Day]]/t0d))</f>
        <v>2.0875028115052596</v>
      </c>
      <c r="T11" s="60">
        <f>Tabella2[[#This Row],[New_Recovered_fit]]*NOT(ISBLANK(Tabella2[[#This Row],[New recovered]]))</f>
        <v>2.0875028115052596</v>
      </c>
      <c r="U11" s="10">
        <f>Tabella2[[#This Row],[New_Recovered_fit]]+CId</f>
        <v>535.56552648715012</v>
      </c>
      <c r="V11" s="10">
        <f>MAX(Tabella2[[#This Row],[New_Recovered_fit]]-CId,0)</f>
        <v>0</v>
      </c>
      <c r="W11" s="10">
        <f>'dpc-covid19-ita-andamento-naz'!K5</f>
        <v>17</v>
      </c>
      <c r="X11" s="26">
        <f>Tabella2[[#This Row],[Cum_deaths]]-W10</f>
        <v>5</v>
      </c>
      <c r="Y11" s="65">
        <f>Tabella2[[#This Row],[New deaths]]*NOT(ISBLANK(Tabella2[[#This Row],[New deaths]]))</f>
        <v>5</v>
      </c>
      <c r="Z11" s="50">
        <f>kt*t0t*_xlfn.GAMMA.DIST(Tabella2[[#This Row],[Day]]/t0t,wt+1,1,1)*_xlfn.GAMMA(wt+1)</f>
        <v>1.5274554569157533E-2</v>
      </c>
      <c r="AA11" s="10">
        <f>kt*((Tabella2[[#This Row],[Day]]/t0t)^wt)*EXP(-(Tabella2[[#This Row],[Day]]/t0t))</f>
        <v>3.6314279230775195E-2</v>
      </c>
      <c r="AB11" s="65">
        <f>Tabella2[[#This Row],[New_Deaths_fit]]*NOT(ISBLANK(Tabella2[[#This Row],[New deaths]]))</f>
        <v>3.6314279230775195E-2</v>
      </c>
      <c r="AC11" s="10">
        <f>Tabella2[[#This Row],[New_Deaths_fit]]+CIt</f>
        <v>145.34043950706408</v>
      </c>
      <c r="AD11" s="10">
        <f>MAX(Tabella2[[#This Row],[New_Deaths_fit]]-CIt,0)</f>
        <v>0</v>
      </c>
      <c r="AE11" s="8"/>
      <c r="AF11" s="68" t="s">
        <v>2</v>
      </c>
      <c r="AG11" s="121">
        <f>AVERAGE(Tabella2[New cases])</f>
        <v>3190.16</v>
      </c>
      <c r="AH11" s="3"/>
      <c r="AT11" s="102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Tabella2[[#This Row],[New cases]]*NOT(ISBLANK(Tabella2[[#This Row],[New cases]]))</f>
        <v>238</v>
      </c>
      <c r="G12" s="50">
        <f>kn*t0n*_xlfn.GAMMA.DIST(Tabella2[[#This Row],[Day]]/t0n,wn+1,1,1)*_xlfn.GAMMA(wn+1)</f>
        <v>30.333597887774864</v>
      </c>
      <c r="H12" s="10">
        <f>kn*((Tabella2[[#This Row],[Day]]/t0n)^wn)*EXP(-(Tabella2[[#This Row],[Day]]/t0n))</f>
        <v>36.809964285572086</v>
      </c>
      <c r="I12" s="56">
        <f>Tabella2[[#This Row],[New_cases_fit]]*NOT(ISBLANK(Tabella2[[#This Row],[New cases]]))</f>
        <v>36.809964285572086</v>
      </c>
      <c r="J12" s="10">
        <f>Tabella2[[#This Row],[New_cases_fit]]+CIn</f>
        <v>1257.0715404211558</v>
      </c>
      <c r="K12" s="10">
        <f>MAX(Tabella2[[#This Row],[New_cases_fit]]-CIn,0)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Tabella2[[#This Row],[New_cases_fit]]-Tabella2[[#This Row],[New_Recovered_fit]]-Tabella2[[#This Row],[New_Deaths_fit]]</f>
        <v>31.555863850253974</v>
      </c>
      <c r="O12" s="10">
        <f>'dpc-covid19-ita-andamento-naz'!J6</f>
        <v>46</v>
      </c>
      <c r="P12" s="48">
        <f>Tabella2[[#This Row],[Cum_recov]]-O11</f>
        <v>1</v>
      </c>
      <c r="Q12" s="60">
        <f>Tabella2[[#This Row],[New recovered]]*NOT(ISBLANK(Tabella2[[#This Row],[New recovered]]))</f>
        <v>1</v>
      </c>
      <c r="R12" s="50">
        <f>kd*t0d*_xlfn.GAMMA.DIST(Tabella2[[#This Row],[Day]]/t0d,wd+1,1,1)*_xlfn.GAMMA(wd+1)</f>
        <v>4.9463664671311118</v>
      </c>
      <c r="S12" s="10">
        <f>kd*((Tabella2[[#This Row],[Day]]/t0d)^wd)*EXP(-(Tabella2[[#This Row],[Day]]/t0d))</f>
        <v>5.0521569305887777</v>
      </c>
      <c r="T12" s="60">
        <f>Tabella2[[#This Row],[New_Recovered_fit]]*NOT(ISBLANK(Tabella2[[#This Row],[New recovered]]))</f>
        <v>5.0521569305887777</v>
      </c>
      <c r="U12" s="10">
        <f>Tabella2[[#This Row],[New_Recovered_fit]]+CId</f>
        <v>538.53018060623367</v>
      </c>
      <c r="V12" s="10">
        <f>MAX(Tabella2[[#This Row],[New_Recovered_fit]]-CId,0)</f>
        <v>0</v>
      </c>
      <c r="W12" s="10">
        <f>'dpc-covid19-ita-andamento-naz'!K6</f>
        <v>21</v>
      </c>
      <c r="X12" s="26">
        <f>Tabella2[[#This Row],[Cum_deaths]]-W11</f>
        <v>4</v>
      </c>
      <c r="Y12" s="65">
        <f>Tabella2[[#This Row],[New deaths]]*NOT(ISBLANK(Tabella2[[#This Row],[New deaths]]))</f>
        <v>4</v>
      </c>
      <c r="Z12" s="50">
        <f>kt*t0t*_xlfn.GAMMA.DIST(Tabella2[[#This Row],[Day]]/t0t,wt+1,1,1)*_xlfn.GAMMA(wt+1)</f>
        <v>0.11607737638277885</v>
      </c>
      <c r="AA12" s="10">
        <f>kt*((Tabella2[[#This Row],[Day]]/t0t)^wt)*EXP(-(Tabella2[[#This Row],[Day]]/t0t))</f>
        <v>0.20194350472933142</v>
      </c>
      <c r="AB12" s="65">
        <f>Tabella2[[#This Row],[New_Deaths_fit]]*NOT(ISBLANK(Tabella2[[#This Row],[New deaths]]))</f>
        <v>0.20194350472933142</v>
      </c>
      <c r="AC12" s="10">
        <f>Tabella2[[#This Row],[New_Deaths_fit]]+CIt</f>
        <v>145.50606873256265</v>
      </c>
      <c r="AD12" s="10">
        <f>MAX(Tabella2[[#This Row],[New_Deaths_fit]]-CIt,0)</f>
        <v>0</v>
      </c>
      <c r="AE12" s="1"/>
      <c r="AF12" s="68" t="s">
        <v>3</v>
      </c>
      <c r="AG12" s="121">
        <f>COUNT(Tabella2[New cases])-COUNT(AG8:AG10)</f>
        <v>47</v>
      </c>
      <c r="AT12" s="102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Tabella2[[#This Row],[New cases]]*NOT(ISBLANK(Tabella2[[#This Row],[New cases]]))</f>
        <v>240</v>
      </c>
      <c r="G13" s="50">
        <f>kn*t0n*_xlfn.GAMMA.DIST(Tabella2[[#This Row],[Day]]/t0n,wn+1,1,1)*_xlfn.GAMMA(wn+1)</f>
        <v>88.477460358257304</v>
      </c>
      <c r="H13" s="10">
        <f>kn*((Tabella2[[#This Row],[Day]]/t0n)^wn)*EXP(-(Tabella2[[#This Row],[Day]]/t0n))</f>
        <v>83.813014359412065</v>
      </c>
      <c r="I13" s="56">
        <f>Tabella2[[#This Row],[New_cases_fit]]*NOT(ISBLANK(Tabella2[[#This Row],[New cases]]))</f>
        <v>83.813014359412065</v>
      </c>
      <c r="J13" s="10">
        <f>Tabella2[[#This Row],[New_cases_fit]]+CIn</f>
        <v>1304.0745904949958</v>
      </c>
      <c r="K13" s="10">
        <f>MAX(Tabella2[[#This Row],[New_cases_fit]]-CIn,0)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Tabella2[[#This Row],[New_cases_fit]]-Tabella2[[#This Row],[New_Recovered_fit]]-Tabella2[[#This Row],[New_Deaths_fit]]</f>
        <v>73.168906926745663</v>
      </c>
      <c r="O13" s="10">
        <f>'dpc-covid19-ita-andamento-naz'!J7</f>
        <v>50</v>
      </c>
      <c r="P13" s="48">
        <f>Tabella2[[#This Row],[Cum_recov]]-O12</f>
        <v>4</v>
      </c>
      <c r="Q13" s="60">
        <f>Tabella2[[#This Row],[New recovered]]*NOT(ISBLANK(Tabella2[[#This Row],[New recovered]]))</f>
        <v>4</v>
      </c>
      <c r="R13" s="50">
        <f>kd*t0d*_xlfn.GAMMA.DIST(Tabella2[[#This Row],[Day]]/t0d,wd+1,1,1)*_xlfn.GAMMA(wd+1)</f>
        <v>12.254862082806575</v>
      </c>
      <c r="S13" s="10">
        <f>kd*((Tabella2[[#This Row],[Day]]/t0d)^wd)*EXP(-(Tabella2[[#This Row],[Day]]/t0d))</f>
        <v>9.913362703867481</v>
      </c>
      <c r="T13" s="60">
        <f>Tabella2[[#This Row],[New_Recovered_fit]]*NOT(ISBLANK(Tabella2[[#This Row],[New recovered]]))</f>
        <v>9.913362703867481</v>
      </c>
      <c r="U13" s="10">
        <f>Tabella2[[#This Row],[New_Recovered_fit]]+CId</f>
        <v>543.39138637951237</v>
      </c>
      <c r="V13" s="10">
        <f>MAX(Tabella2[[#This Row],[New_Recovered_fit]]-CId,0)</f>
        <v>0</v>
      </c>
      <c r="W13" s="10">
        <f>'dpc-covid19-ita-andamento-naz'!K7</f>
        <v>29</v>
      </c>
      <c r="X13" s="26">
        <f>Tabella2[[#This Row],[Cum_deaths]]-W12</f>
        <v>8</v>
      </c>
      <c r="Y13" s="65">
        <f>Tabella2[[#This Row],[New deaths]]*NOT(ISBLANK(Tabella2[[#This Row],[New deaths]]))</f>
        <v>8</v>
      </c>
      <c r="Z13" s="50">
        <f>kt*t0t*_xlfn.GAMMA.DIST(Tabella2[[#This Row],[Day]]/t0t,wt+1,1,1)*_xlfn.GAMMA(wt+1)</f>
        <v>0.53837736528505087</v>
      </c>
      <c r="AA13" s="10">
        <f>kt*((Tabella2[[#This Row],[Day]]/t0t)^wt)*EXP(-(Tabella2[[#This Row],[Day]]/t0t))</f>
        <v>0.73074472879892316</v>
      </c>
      <c r="AB13" s="65">
        <f>Tabella2[[#This Row],[New_Deaths_fit]]*NOT(ISBLANK(Tabella2[[#This Row],[New deaths]]))</f>
        <v>0.73074472879892316</v>
      </c>
      <c r="AC13" s="10">
        <f>Tabella2[[#This Row],[New_Deaths_fit]]+CIt</f>
        <v>146.03486995663224</v>
      </c>
      <c r="AD13" s="10">
        <f>MAX(Tabella2[[#This Row],[New_Deaths_fit]]-CIt,0)</f>
        <v>0</v>
      </c>
      <c r="AE13" s="1"/>
      <c r="AF13" s="68" t="s">
        <v>4</v>
      </c>
      <c r="AG13" s="122" cm="1">
        <f t="array" ref="AG13">SQRT(SUM((Tabella2[Colonna1]-Tabella2[Colonna2])^2)/dfn)</f>
        <v>606.57006597397537</v>
      </c>
      <c r="AT13" s="103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Tabella2[[#This Row],[New cases]]*NOT(ISBLANK(Tabella2[[#This Row],[New cases]]))</f>
        <v>566</v>
      </c>
      <c r="G14" s="50">
        <f>kn*t0n*_xlfn.GAMMA.DIST(Tabella2[[#This Row],[Day]]/t0n,wn+1,1,1)*_xlfn.GAMMA(wn+1)</f>
        <v>207.67319928891715</v>
      </c>
      <c r="H14" s="10">
        <f>kn*((Tabella2[[#This Row],[Day]]/t0n)^wn)*EXP(-(Tabella2[[#This Row],[Day]]/t0n))</f>
        <v>159.89749581571292</v>
      </c>
      <c r="I14" s="56">
        <f>Tabella2[[#This Row],[New_cases_fit]]*NOT(ISBLANK(Tabella2[[#This Row],[New cases]]))</f>
        <v>159.89749581571292</v>
      </c>
      <c r="J14" s="10">
        <f>Tabella2[[#This Row],[New_cases_fit]]+CIn</f>
        <v>1380.1590719512967</v>
      </c>
      <c r="K14" s="10">
        <f>MAX(Tabella2[[#This Row],[New_cases_fit]]-CIn,0)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Tabella2[[#This Row],[New_cases_fit]]-Tabella2[[#This Row],[New_Recovered_fit]]-Tabella2[[#This Row],[New_Deaths_fit]]</f>
        <v>140.84768039026989</v>
      </c>
      <c r="O14" s="10">
        <f>'dpc-covid19-ita-andamento-naz'!J8</f>
        <v>83</v>
      </c>
      <c r="P14" s="48">
        <f>Tabella2[[#This Row],[Cum_recov]]-O13</f>
        <v>33</v>
      </c>
      <c r="Q14" s="60">
        <f>Tabella2[[#This Row],[New recovered]]*NOT(ISBLANK(Tabella2[[#This Row],[New recovered]]))</f>
        <v>33</v>
      </c>
      <c r="R14" s="50">
        <f>kd*t0d*_xlfn.GAMMA.DIST(Tabella2[[#This Row],[Day]]/t0d,wd+1,1,1)*_xlfn.GAMMA(wd+1)</f>
        <v>25.527303630058565</v>
      </c>
      <c r="S14" s="10">
        <f>kd*((Tabella2[[#This Row],[Day]]/t0d)^wd)*EXP(-(Tabella2[[#This Row],[Day]]/t0d))</f>
        <v>17.034873808826184</v>
      </c>
      <c r="T14" s="60">
        <f>Tabella2[[#This Row],[New_Recovered_fit]]*NOT(ISBLANK(Tabella2[[#This Row],[New recovered]]))</f>
        <v>17.034873808826184</v>
      </c>
      <c r="U14" s="10">
        <f>Tabella2[[#This Row],[New_Recovered_fit]]+CId</f>
        <v>550.51289748447107</v>
      </c>
      <c r="V14" s="10">
        <f>MAX(Tabella2[[#This Row],[New_Recovered_fit]]-CId,0)</f>
        <v>0</v>
      </c>
      <c r="W14" s="10">
        <f>'dpc-covid19-ita-andamento-naz'!K8</f>
        <v>34</v>
      </c>
      <c r="X14" s="26">
        <f>Tabella2[[#This Row],[Cum_deaths]]-W13</f>
        <v>5</v>
      </c>
      <c r="Y14" s="65">
        <f>Tabella2[[#This Row],[New deaths]]*NOT(ISBLANK(Tabella2[[#This Row],[New deaths]]))</f>
        <v>5</v>
      </c>
      <c r="Z14" s="50">
        <f>kt*t0t*_xlfn.GAMMA.DIST(Tabella2[[#This Row],[Day]]/t0t,wt+1,1,1)*_xlfn.GAMMA(wt+1)</f>
        <v>1.8275524127773504</v>
      </c>
      <c r="AA14" s="10">
        <f>kt*((Tabella2[[#This Row],[Day]]/t0t)^wt)*EXP(-(Tabella2[[#This Row],[Day]]/t0t))</f>
        <v>2.0149416166168534</v>
      </c>
      <c r="AB14" s="65">
        <f>Tabella2[[#This Row],[New_Deaths_fit]]*NOT(ISBLANK(Tabella2[[#This Row],[New deaths]]))</f>
        <v>2.0149416166168534</v>
      </c>
      <c r="AC14" s="10">
        <f>Tabella2[[#This Row],[New_Deaths_fit]]+CIt</f>
        <v>147.31906684445016</v>
      </c>
      <c r="AD14" s="10">
        <f>MAX(Tabella2[[#This Row],[New_Deaths_fit]]-CIt,0)</f>
        <v>0</v>
      </c>
      <c r="AE14" s="1"/>
      <c r="AF14" s="68" t="s">
        <v>112</v>
      </c>
      <c r="AG14" s="123" cm="1">
        <f t="array" ref="AG14">1-SUM((Tabella2[Colonna1]-Tabella2[Colonna2])^2)/SUM((Tabella2[Colonna1]-Mean_of_yn)^2)</f>
        <v>0.95791856388863628</v>
      </c>
      <c r="AT14" s="118" t="s">
        <v>98</v>
      </c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Tabella2[[#This Row],[New cases]]*NOT(ISBLANK(Tabella2[[#This Row],[New cases]]))</f>
        <v>342</v>
      </c>
      <c r="G15" s="50">
        <f>kn*t0n*_xlfn.GAMMA.DIST(Tabella2[[#This Row],[Day]]/t0n,wn+1,1,1)*_xlfn.GAMMA(wn+1)</f>
        <v>419.63520380497675</v>
      </c>
      <c r="H15" s="10">
        <f>kn*((Tabella2[[#This Row],[Day]]/t0n)^wn)*EXP(-(Tabella2[[#This Row],[Day]]/t0n))</f>
        <v>269.99887525156538</v>
      </c>
      <c r="I15" s="56">
        <f>Tabella2[[#This Row],[New_cases_fit]]*NOT(ISBLANK(Tabella2[[#This Row],[New cases]]))</f>
        <v>269.99887525156538</v>
      </c>
      <c r="J15" s="10">
        <f>Tabella2[[#This Row],[New_cases_fit]]+CIn</f>
        <v>1490.260451387149</v>
      </c>
      <c r="K15" s="10">
        <f>MAX(Tabella2[[#This Row],[New_cases_fit]]-CIn,0)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Tabella2[[#This Row],[New_cases_fit]]-Tabella2[[#This Row],[New_Recovered_fit]]-Tabella2[[#This Row],[New_Deaths_fit]]</f>
        <v>238.68215079869563</v>
      </c>
      <c r="O15" s="10">
        <f>'dpc-covid19-ita-andamento-naz'!J9</f>
        <v>149</v>
      </c>
      <c r="P15" s="48">
        <f>Tabella2[[#This Row],[Cum_recov]]-O14</f>
        <v>66</v>
      </c>
      <c r="Q15" s="60">
        <f>Tabella2[[#This Row],[New recovered]]*NOT(ISBLANK(Tabella2[[#This Row],[New recovered]]))</f>
        <v>66</v>
      </c>
      <c r="R15" s="50">
        <f>kd*t0d*_xlfn.GAMMA.DIST(Tabella2[[#This Row],[Day]]/t0d,wd+1,1,1)*_xlfn.GAMMA(wd+1)</f>
        <v>47.176890461844998</v>
      </c>
      <c r="S15" s="10">
        <f>kd*((Tabella2[[#This Row],[Day]]/t0d)^wd)*EXP(-(Tabella2[[#This Row],[Day]]/t0d))</f>
        <v>26.710961169753737</v>
      </c>
      <c r="T15" s="60">
        <f>Tabella2[[#This Row],[New_Recovered_fit]]*NOT(ISBLANK(Tabella2[[#This Row],[New recovered]]))</f>
        <v>26.710961169753737</v>
      </c>
      <c r="U15" s="10">
        <f>Tabella2[[#This Row],[New_Recovered_fit]]+CId</f>
        <v>560.18898484539864</v>
      </c>
      <c r="V15" s="10">
        <f>MAX(Tabella2[[#This Row],[New_Recovered_fit]]-CId,0)</f>
        <v>0</v>
      </c>
      <c r="W15" s="10">
        <f>'dpc-covid19-ita-andamento-naz'!K9</f>
        <v>52</v>
      </c>
      <c r="X15" s="26">
        <f>Tabella2[[#This Row],[Cum_deaths]]-W14</f>
        <v>18</v>
      </c>
      <c r="Y15" s="65">
        <f>Tabella2[[#This Row],[New deaths]]*NOT(ISBLANK(Tabella2[[#This Row],[New deaths]]))</f>
        <v>18</v>
      </c>
      <c r="Z15" s="50">
        <f>kt*t0t*_xlfn.GAMMA.DIST(Tabella2[[#This Row],[Day]]/t0t,wt+1,1,1)*_xlfn.GAMMA(wt+1)</f>
        <v>5.0024031867590679</v>
      </c>
      <c r="AA15" s="10">
        <f>kt*((Tabella2[[#This Row],[Day]]/t0t)^wt)*EXP(-(Tabella2[[#This Row],[Day]]/t0t))</f>
        <v>4.6057632831160014</v>
      </c>
      <c r="AB15" s="65">
        <f>Tabella2[[#This Row],[New_Deaths_fit]]*NOT(ISBLANK(Tabella2[[#This Row],[New deaths]]))</f>
        <v>4.6057632831160014</v>
      </c>
      <c r="AC15" s="10">
        <f>Tabella2[[#This Row],[New_Deaths_fit]]+CIt</f>
        <v>149.90988851094932</v>
      </c>
      <c r="AD15" s="10">
        <f>MAX(Tabella2[[#This Row],[New_Deaths_fit]]-CIt,0)</f>
        <v>0</v>
      </c>
      <c r="AE15" s="1"/>
      <c r="AF15" s="68" t="s">
        <v>6</v>
      </c>
      <c r="AG15" s="123">
        <f>TINV(0.05,dfn)</f>
        <v>2.0117405137297668</v>
      </c>
      <c r="AT15" s="119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Tabella2[[#This Row],[New cases]]*NOT(ISBLANK(Tabella2[[#This Row],[New cases]]))</f>
        <v>466</v>
      </c>
      <c r="G16" s="50">
        <f>kn*t0n*_xlfn.GAMMA.DIST(Tabella2[[#This Row],[Day]]/t0n,wn+1,1,1)*_xlfn.GAMMA(wn+1)</f>
        <v>759.97807819054958</v>
      </c>
      <c r="H16" s="10">
        <f>kn*((Tabella2[[#This Row],[Day]]/t0n)^wn)*EXP(-(Tabella2[[#This Row],[Day]]/t0n))</f>
        <v>416.9484575737261</v>
      </c>
      <c r="I16" s="56">
        <f>Tabella2[[#This Row],[New_cases_fit]]*NOT(ISBLANK(Tabella2[[#This Row],[New cases]]))</f>
        <v>416.9484575737261</v>
      </c>
      <c r="J16" s="10">
        <f>Tabella2[[#This Row],[New_cases_fit]]+CIn</f>
        <v>1637.2100337093098</v>
      </c>
      <c r="K16" s="10">
        <f>MAX(Tabella2[[#This Row],[New_cases_fit]]-CIn,0)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Tabella2[[#This Row],[New_cases_fit]]-Tabella2[[#This Row],[New_Recovered_fit]]-Tabella2[[#This Row],[New_Deaths_fit]]</f>
        <v>368.60293127082775</v>
      </c>
      <c r="O16" s="10">
        <f>'dpc-covid19-ita-andamento-naz'!J10</f>
        <v>160</v>
      </c>
      <c r="P16" s="48">
        <f>Tabella2[[#This Row],[Cum_recov]]-O15</f>
        <v>11</v>
      </c>
      <c r="Q16" s="60">
        <f>Tabella2[[#This Row],[New recovered]]*NOT(ISBLANK(Tabella2[[#This Row],[New recovered]]))</f>
        <v>11</v>
      </c>
      <c r="R16" s="50">
        <f>kd*t0d*_xlfn.GAMMA.DIST(Tabella2[[#This Row],[Day]]/t0d,wd+1,1,1)*_xlfn.GAMMA(wd+1)</f>
        <v>79.876969475922266</v>
      </c>
      <c r="S16" s="10">
        <f>kd*((Tabella2[[#This Row],[Day]]/t0d)^wd)*EXP(-(Tabella2[[#This Row],[Day]]/t0d))</f>
        <v>39.168141016440359</v>
      </c>
      <c r="T16" s="60">
        <f>Tabella2[[#This Row],[New_Recovered_fit]]*NOT(ISBLANK(Tabella2[[#This Row],[New recovered]]))</f>
        <v>39.168141016440359</v>
      </c>
      <c r="U16" s="10">
        <f>Tabella2[[#This Row],[New_Recovered_fit]]+CId</f>
        <v>572.64616469208522</v>
      </c>
      <c r="V16" s="10">
        <f>MAX(Tabella2[[#This Row],[New_Recovered_fit]]-CId,0)</f>
        <v>0</v>
      </c>
      <c r="W16" s="10">
        <f>'dpc-covid19-ita-andamento-naz'!K10</f>
        <v>79</v>
      </c>
      <c r="X16" s="26">
        <f>Tabella2[[#This Row],[Cum_deaths]]-W15</f>
        <v>27</v>
      </c>
      <c r="Y16" s="65">
        <f>Tabella2[[#This Row],[New deaths]]*NOT(ISBLANK(Tabella2[[#This Row],[New deaths]]))</f>
        <v>27</v>
      </c>
      <c r="Z16" s="50">
        <f>kt*t0t*_xlfn.GAMMA.DIST(Tabella2[[#This Row],[Day]]/t0t,wt+1,1,1)*_xlfn.GAMMA(wt+1)</f>
        <v>11.698636308628711</v>
      </c>
      <c r="AA16" s="10">
        <f>kt*((Tabella2[[#This Row],[Day]]/t0t)^wt)*EXP(-(Tabella2[[#This Row],[Day]]/t0t))</f>
        <v>9.1773852864579926</v>
      </c>
      <c r="AB16" s="65">
        <f>Tabella2[[#This Row],[New_Deaths_fit]]*NOT(ISBLANK(Tabella2[[#This Row],[New deaths]]))</f>
        <v>9.1773852864579926</v>
      </c>
      <c r="AC16" s="10">
        <f>Tabella2[[#This Row],[New_Deaths_fit]]+CIt</f>
        <v>154.4815105142913</v>
      </c>
      <c r="AD16" s="10">
        <f>MAX(Tabella2[[#This Row],[New_Deaths_fit]]-CIt,0)</f>
        <v>0</v>
      </c>
      <c r="AE16" s="1"/>
      <c r="AF16" s="68" t="s">
        <v>7</v>
      </c>
      <c r="AG16" s="121">
        <f>Critical_tn*SE_of_yn</f>
        <v>1220.2615761355837</v>
      </c>
      <c r="AT16" s="119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Tabella2[[#This Row],[New cases]]*NOT(ISBLANK(Tabella2[[#This Row],[New cases]]))</f>
        <v>587</v>
      </c>
      <c r="G17" s="50">
        <f>kn*t0n*_xlfn.GAMMA.DIST(Tabella2[[#This Row],[Day]]/t0n,wn+1,1,1)*_xlfn.GAMMA(wn+1)</f>
        <v>1266.0578410409928</v>
      </c>
      <c r="H17" s="10">
        <f>kn*((Tabella2[[#This Row],[Day]]/t0n)^wn)*EXP(-(Tabella2[[#This Row],[Day]]/t0n))</f>
        <v>601.40727113756213</v>
      </c>
      <c r="I17" s="56">
        <f>Tabella2[[#This Row],[New_cases_fit]]*NOT(ISBLANK(Tabella2[[#This Row],[New cases]]))</f>
        <v>601.40727113756213</v>
      </c>
      <c r="J17" s="10">
        <f>Tabella2[[#This Row],[New_cases_fit]]+CIn</f>
        <v>1821.6688472731457</v>
      </c>
      <c r="K17" s="10">
        <f>MAX(Tabella2[[#This Row],[New_cases_fit]]-CIn,0)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Tabella2[[#This Row],[New_cases_fit]]-Tabella2[[#This Row],[New_Recovered_fit]]-Tabella2[[#This Row],[New_Deaths_fit]]</f>
        <v>530.37194440020494</v>
      </c>
      <c r="O17" s="10">
        <f>'dpc-covid19-ita-andamento-naz'!J11</f>
        <v>276</v>
      </c>
      <c r="P17" s="48">
        <f>Tabella2[[#This Row],[Cum_recov]]-O16</f>
        <v>116</v>
      </c>
      <c r="Q17" s="60">
        <f>Tabella2[[#This Row],[New recovered]]*NOT(ISBLANK(Tabella2[[#This Row],[New recovered]]))</f>
        <v>116</v>
      </c>
      <c r="R17" s="50">
        <f>kd*t0d*_xlfn.GAMMA.DIST(Tabella2[[#This Row],[Day]]/t0d,wd+1,1,1)*_xlfn.GAMMA(wd+1)</f>
        <v>126.49502761202503</v>
      </c>
      <c r="S17" s="10">
        <f>kd*((Tabella2[[#This Row],[Day]]/t0d)^wd)*EXP(-(Tabella2[[#This Row],[Day]]/t0d))</f>
        <v>54.568910779721364</v>
      </c>
      <c r="T17" s="60">
        <f>Tabella2[[#This Row],[New_Recovered_fit]]*NOT(ISBLANK(Tabella2[[#This Row],[New recovered]]))</f>
        <v>54.568910779721364</v>
      </c>
      <c r="U17" s="10">
        <f>Tabella2[[#This Row],[New_Recovered_fit]]+CId</f>
        <v>588.04693445536623</v>
      </c>
      <c r="V17" s="10">
        <f>MAX(Tabella2[[#This Row],[New_Recovered_fit]]-CId,0)</f>
        <v>0</v>
      </c>
      <c r="W17" s="10">
        <f>'dpc-covid19-ita-andamento-naz'!K11</f>
        <v>107</v>
      </c>
      <c r="X17" s="26">
        <f>Tabella2[[#This Row],[Cum_deaths]]-W16</f>
        <v>28</v>
      </c>
      <c r="Y17" s="65">
        <f>Tabella2[[#This Row],[New deaths]]*NOT(ISBLANK(Tabella2[[#This Row],[New deaths]]))</f>
        <v>28</v>
      </c>
      <c r="Z17" s="50">
        <f>kt*t0t*_xlfn.GAMMA.DIST(Tabella2[[#This Row],[Day]]/t0t,wt+1,1,1)*_xlfn.GAMMA(wt+1)</f>
        <v>24.263089379382691</v>
      </c>
      <c r="AA17" s="10">
        <f>kt*((Tabella2[[#This Row],[Day]]/t0t)^wt)*EXP(-(Tabella2[[#This Row],[Day]]/t0t))</f>
        <v>16.466415957635853</v>
      </c>
      <c r="AB17" s="65">
        <f>Tabella2[[#This Row],[New_Deaths_fit]]*NOT(ISBLANK(Tabella2[[#This Row],[New deaths]]))</f>
        <v>16.466415957635853</v>
      </c>
      <c r="AC17" s="10">
        <f>Tabella2[[#This Row],[New_Deaths_fit]]+CIt</f>
        <v>161.77054118546917</v>
      </c>
      <c r="AD17" s="10">
        <f>MAX(Tabella2[[#This Row],[New_Deaths_fit]]-CIt,0)</f>
        <v>0</v>
      </c>
      <c r="AE17" s="1"/>
      <c r="AF17" s="68" t="s">
        <v>69</v>
      </c>
      <c r="AG17" s="121">
        <f>kn*(wn^wn)*EXP(-wn)</f>
        <v>5385.0557767610362</v>
      </c>
      <c r="AT17" s="120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Tabella2[[#This Row],[New cases]]*NOT(ISBLANK(Tabella2[[#This Row],[New cases]]))</f>
        <v>769</v>
      </c>
      <c r="G18" s="50">
        <f>kn*t0n*_xlfn.GAMMA.DIST(Tabella2[[#This Row],[Day]]/t0n,wn+1,1,1)*_xlfn.GAMMA(wn+1)</f>
        <v>1974.8613342616118</v>
      </c>
      <c r="H18" s="10">
        <f>kn*((Tabella2[[#This Row],[Day]]/t0n)^wn)*EXP(-(Tabella2[[#This Row],[Day]]/t0n))</f>
        <v>822.01393917406051</v>
      </c>
      <c r="I18" s="56">
        <f>Tabella2[[#This Row],[New_cases_fit]]*NOT(ISBLANK(Tabella2[[#This Row],[New cases]]))</f>
        <v>822.01393917406051</v>
      </c>
      <c r="J18" s="10">
        <f>Tabella2[[#This Row],[New_cases_fit]]+CIn</f>
        <v>2042.2755153096441</v>
      </c>
      <c r="K18" s="10">
        <f>MAX(Tabella2[[#This Row],[New_cases_fit]]-CIn,0)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Tabella2[[#This Row],[New_cases_fit]]-Tabella2[[#This Row],[New_Recovered_fit]]-Tabella2[[#This Row],[New_Deaths_fit]]</f>
        <v>721.79800648233117</v>
      </c>
      <c r="O18" s="10">
        <f>'dpc-covid19-ita-andamento-naz'!J12</f>
        <v>414</v>
      </c>
      <c r="P18" s="48">
        <f>Tabella2[[#This Row],[Cum_recov]]-O17</f>
        <v>138</v>
      </c>
      <c r="Q18" s="60">
        <f>Tabella2[[#This Row],[New recovered]]*NOT(ISBLANK(Tabella2[[#This Row],[New recovered]]))</f>
        <v>138</v>
      </c>
      <c r="R18" s="50">
        <f>kd*t0d*_xlfn.GAMMA.DIST(Tabella2[[#This Row],[Day]]/t0d,wd+1,1,1)*_xlfn.GAMMA(wd+1)</f>
        <v>190.03101783768352</v>
      </c>
      <c r="S18" s="10">
        <f>kd*((Tabella2[[#This Row],[Day]]/t0d)^wd)*EXP(-(Tabella2[[#This Row],[Day]]/t0d))</f>
        <v>73.01656524426086</v>
      </c>
      <c r="T18" s="60">
        <f>Tabella2[[#This Row],[New_Recovered_fit]]*NOT(ISBLANK(Tabella2[[#This Row],[New recovered]]))</f>
        <v>73.01656524426086</v>
      </c>
      <c r="U18" s="10">
        <f>Tabella2[[#This Row],[New_Recovered_fit]]+CId</f>
        <v>606.49458891990571</v>
      </c>
      <c r="V18" s="10">
        <f>MAX(Tabella2[[#This Row],[New_Recovered_fit]]-CId,0)</f>
        <v>0</v>
      </c>
      <c r="W18" s="10">
        <f>'dpc-covid19-ita-andamento-naz'!K12</f>
        <v>148</v>
      </c>
      <c r="X18" s="26">
        <f>Tabella2[[#This Row],[Cum_deaths]]-W17</f>
        <v>41</v>
      </c>
      <c r="Y18" s="65">
        <f>Tabella2[[#This Row],[New deaths]]*NOT(ISBLANK(Tabella2[[#This Row],[New deaths]]))</f>
        <v>41</v>
      </c>
      <c r="Z18" s="50">
        <f>kt*t0t*_xlfn.GAMMA.DIST(Tabella2[[#This Row],[Day]]/t0t,wt+1,1,1)*_xlfn.GAMMA(wt+1)</f>
        <v>45.78037316419384</v>
      </c>
      <c r="AA18" s="10">
        <f>kt*((Tabella2[[#This Row],[Day]]/t0t)^wt)*EXP(-(Tabella2[[#This Row],[Day]]/t0t))</f>
        <v>27.199367447468546</v>
      </c>
      <c r="AB18" s="65">
        <f>Tabella2[[#This Row],[New_Deaths_fit]]*NOT(ISBLANK(Tabella2[[#This Row],[New deaths]]))</f>
        <v>27.199367447468546</v>
      </c>
      <c r="AC18" s="10">
        <f>Tabella2[[#This Row],[New_Deaths_fit]]+CIt</f>
        <v>172.50349267530186</v>
      </c>
      <c r="AD18" s="10">
        <f>MAX(Tabella2[[#This Row],[New_Deaths_fit]]-CIt,0)</f>
        <v>0</v>
      </c>
      <c r="AE18" s="1"/>
      <c r="AF18" s="68" t="s">
        <v>70</v>
      </c>
      <c r="AG18" s="78">
        <f>_xlfn.XLOOKUP(ROUND(wn*t0n,0),Tabella2[Day],Tabella2[Date])</f>
        <v>43915</v>
      </c>
      <c r="AT18" s="104">
        <f>MAX($AG$26)</f>
        <v>0.89906334719295455</v>
      </c>
    </row>
    <row r="19" spans="2:46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Tabella2[[#This Row],[New cases]]*NOT(ISBLANK(Tabella2[[#This Row],[New cases]]))</f>
        <v>778</v>
      </c>
      <c r="G19" s="50">
        <f>kn*t0n*_xlfn.GAMMA.DIST(Tabella2[[#This Row],[Day]]/t0n,wn+1,1,1)*_xlfn.GAMMA(wn+1)</f>
        <v>2921.1165074242931</v>
      </c>
      <c r="H19" s="10">
        <f>kn*((Tabella2[[#This Row],[Day]]/t0n)^wn)*EXP(-(Tabella2[[#This Row],[Day]]/t0n))</f>
        <v>1075.6666353608193</v>
      </c>
      <c r="I19" s="56">
        <f>Tabella2[[#This Row],[New_cases_fit]]*NOT(ISBLANK(Tabella2[[#This Row],[New cases]]))</f>
        <v>1075.6666353608193</v>
      </c>
      <c r="J19" s="10">
        <f>Tabella2[[#This Row],[New_cases_fit]]+CIn</f>
        <v>2295.928211496403</v>
      </c>
      <c r="K19" s="10">
        <f>MAX(Tabella2[[#This Row],[New_cases_fit]]-CIn,0)</f>
        <v>0</v>
      </c>
      <c r="L19" s="54">
        <f>'dpc-covid19-ita-andamento-naz'!G13</f>
        <v>3916</v>
      </c>
      <c r="M19" s="54">
        <f>'dpc-covid19-ita-andamento-naz'!H13</f>
        <v>620</v>
      </c>
      <c r="N19" s="54">
        <f>Tabella2[[#This Row],[New_cases_fit]]-Tabella2[[#This Row],[New_Recovered_fit]]-Tabella2[[#This Row],[New_Deaths_fit]]</f>
        <v>939.08595161406902</v>
      </c>
      <c r="O19" s="10">
        <f>'dpc-covid19-ita-andamento-naz'!J13</f>
        <v>523</v>
      </c>
      <c r="P19" s="48">
        <f>Tabella2[[#This Row],[Cum_recov]]-O18</f>
        <v>109</v>
      </c>
      <c r="Q19" s="60">
        <f>Tabella2[[#This Row],[New recovered]]*NOT(ISBLANK(Tabella2[[#This Row],[New recovered]]))</f>
        <v>109</v>
      </c>
      <c r="R19" s="50">
        <f>kd*t0d*_xlfn.GAMMA.DIST(Tabella2[[#This Row],[Day]]/t0d,wd+1,1,1)*_xlfn.GAMMA(wd+1)</f>
        <v>273.56080473933156</v>
      </c>
      <c r="S19" s="10">
        <f>kd*((Tabella2[[#This Row],[Day]]/t0d)^wd)*EXP(-(Tabella2[[#This Row],[Day]]/t0d))</f>
        <v>94.560549905537925</v>
      </c>
      <c r="T19" s="60">
        <f>Tabella2[[#This Row],[New_Recovered_fit]]*NOT(ISBLANK(Tabella2[[#This Row],[New recovered]]))</f>
        <v>94.560549905537925</v>
      </c>
      <c r="U19" s="10">
        <f>Tabella2[[#This Row],[New_Recovered_fit]]+CId</f>
        <v>628.03857358118285</v>
      </c>
      <c r="V19" s="10">
        <f>MAX(Tabella2[[#This Row],[New_Recovered_fit]]-CId,0)</f>
        <v>0</v>
      </c>
      <c r="W19" s="10">
        <f>'dpc-covid19-ita-andamento-naz'!K13</f>
        <v>197</v>
      </c>
      <c r="X19" s="26">
        <f>Tabella2[[#This Row],[Cum_deaths]]-W18</f>
        <v>49</v>
      </c>
      <c r="Y19" s="65">
        <f>Tabella2[[#This Row],[New deaths]]*NOT(ISBLANK(Tabella2[[#This Row],[New deaths]]))</f>
        <v>49</v>
      </c>
      <c r="Z19" s="50">
        <f>kt*t0t*_xlfn.GAMMA.DIST(Tabella2[[#This Row],[Day]]/t0t,wt+1,1,1)*_xlfn.GAMMA(wt+1)</f>
        <v>80.02606831143062</v>
      </c>
      <c r="AA19" s="10">
        <f>kt*((Tabella2[[#This Row],[Day]]/t0t)^wt)*EXP(-(Tabella2[[#This Row],[Day]]/t0t))</f>
        <v>42.020133841212385</v>
      </c>
      <c r="AB19" s="65">
        <f>Tabella2[[#This Row],[New_Deaths_fit]]*NOT(ISBLANK(Tabella2[[#This Row],[New deaths]]))</f>
        <v>42.020133841212385</v>
      </c>
      <c r="AC19" s="10">
        <f>Tabella2[[#This Row],[New_Deaths_fit]]+CIt</f>
        <v>187.3242590690457</v>
      </c>
      <c r="AD19" s="10">
        <f>MAX(Tabella2[[#This Row],[New_Deaths_fit]]-CIt,0)</f>
        <v>0</v>
      </c>
      <c r="AE19" s="1"/>
      <c r="AF19" s="59" t="s">
        <v>81</v>
      </c>
      <c r="AG19" s="76" t="s">
        <v>95</v>
      </c>
      <c r="AT19" s="105">
        <f>COUNT($AG$20,$AG$21,$AG$22)</f>
        <v>3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Tabella2[[#This Row],[New cases]]*NOT(ISBLANK(Tabella2[[#This Row],[New cases]]))</f>
        <v>1247</v>
      </c>
      <c r="G20" s="50">
        <f>kn*t0n*_xlfn.GAMMA.DIST(Tabella2[[#This Row],[Day]]/t0n,wn+1,1,1)*_xlfn.GAMMA(wn+1)</f>
        <v>4135.7247264594953</v>
      </c>
      <c r="H20" s="10">
        <f>kn*((Tabella2[[#This Row],[Day]]/t0n)^wn)*EXP(-(Tabella2[[#This Row],[Day]]/t0n))</f>
        <v>1357.8760550042825</v>
      </c>
      <c r="I20" s="56">
        <f>Tabella2[[#This Row],[New_cases_fit]]*NOT(ISBLANK(Tabella2[[#This Row],[New cases]]))</f>
        <v>1357.8760550042825</v>
      </c>
      <c r="J20" s="10">
        <f>Tabella2[[#This Row],[New_cases_fit]]+CIn</f>
        <v>2578.1376311398662</v>
      </c>
      <c r="K20" s="10">
        <f>MAX(Tabella2[[#This Row],[New_cases_fit]]-CIn,0)</f>
        <v>137.61447886869882</v>
      </c>
      <c r="L20" s="54">
        <f>'dpc-covid19-ita-andamento-naz'!G14</f>
        <v>5061</v>
      </c>
      <c r="M20" s="54">
        <f>'dpc-covid19-ita-andamento-naz'!H14</f>
        <v>1145</v>
      </c>
      <c r="N20" s="54">
        <f>Tabella2[[#This Row],[New_cases_fit]]-Tabella2[[#This Row],[New_Recovered_fit]]-Tabella2[[#This Row],[New_Deaths_fit]]</f>
        <v>1177.2469950748136</v>
      </c>
      <c r="O20" s="10">
        <f>'dpc-covid19-ita-andamento-naz'!J14</f>
        <v>589</v>
      </c>
      <c r="P20" s="48">
        <f>Tabella2[[#This Row],[Cum_recov]]-O19</f>
        <v>66</v>
      </c>
      <c r="Q20" s="60">
        <f>Tabella2[[#This Row],[New recovered]]*NOT(ISBLANK(Tabella2[[#This Row],[New recovered]]))</f>
        <v>66</v>
      </c>
      <c r="R20" s="50">
        <f>kd*t0d*_xlfn.GAMMA.DIST(Tabella2[[#This Row],[Day]]/t0d,wd+1,1,1)*_xlfn.GAMMA(wd+1)</f>
        <v>380.18508622850095</v>
      </c>
      <c r="S20" s="10">
        <f>kd*((Tabella2[[#This Row],[Day]]/t0d)^wd)*EXP(-(Tabella2[[#This Row],[Day]]/t0d))</f>
        <v>119.20201587052298</v>
      </c>
      <c r="T20" s="60">
        <f>Tabella2[[#This Row],[New_Recovered_fit]]*NOT(ISBLANK(Tabella2[[#This Row],[New recovered]]))</f>
        <v>119.20201587052298</v>
      </c>
      <c r="U20" s="10">
        <f>Tabella2[[#This Row],[New_Recovered_fit]]+CId</f>
        <v>652.68003954616779</v>
      </c>
      <c r="V20" s="10">
        <f>MAX(Tabella2[[#This Row],[New_Recovered_fit]]-CId,0)</f>
        <v>0</v>
      </c>
      <c r="W20" s="10">
        <f>'dpc-covid19-ita-andamento-naz'!K14</f>
        <v>233</v>
      </c>
      <c r="X20" s="26">
        <f>Tabella2[[#This Row],[Cum_deaths]]-W19</f>
        <v>36</v>
      </c>
      <c r="Y20" s="65">
        <f>Tabella2[[#This Row],[New deaths]]*NOT(ISBLANK(Tabella2[[#This Row],[New deaths]]))</f>
        <v>36</v>
      </c>
      <c r="Z20" s="50">
        <f>kt*t0t*_xlfn.GAMMA.DIST(Tabella2[[#This Row],[Day]]/t0t,wt+1,1,1)*_xlfn.GAMMA(wt+1)</f>
        <v>131.35152143874689</v>
      </c>
      <c r="AA20" s="10">
        <f>kt*((Tabella2[[#This Row],[Day]]/t0t)^wt)*EXP(-(Tabella2[[#This Row],[Day]]/t0t))</f>
        <v>61.427044058946052</v>
      </c>
      <c r="AB20" s="65">
        <f>Tabella2[[#This Row],[New_Deaths_fit]]*NOT(ISBLANK(Tabella2[[#This Row],[New deaths]]))</f>
        <v>61.427044058946052</v>
      </c>
      <c r="AC20" s="10">
        <f>Tabella2[[#This Row],[New_Deaths_fit]]+CIt</f>
        <v>206.73116928677936</v>
      </c>
      <c r="AD20" s="10">
        <f>MAX(Tabella2[[#This Row],[New_Deaths_fit]]-CIt,0)</f>
        <v>0</v>
      </c>
      <c r="AE20" s="1"/>
      <c r="AF20" s="91" t="s">
        <v>105</v>
      </c>
      <c r="AG20" s="92">
        <f>kr</f>
        <v>1070.8259806288913</v>
      </c>
      <c r="AT20" s="105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Tabella2[[#This Row],[New cases]]*NOT(ISBLANK(Tabella2[[#This Row],[New cases]]))</f>
        <v>1492</v>
      </c>
      <c r="G21" s="50">
        <f>kn*t0n*_xlfn.GAMMA.DIST(Tabella2[[#This Row],[Day]]/t0n,wn+1,1,1)*_xlfn.GAMMA(wn+1)</f>
        <v>5644.5613464907883</v>
      </c>
      <c r="H21" s="10">
        <f>kn*((Tabella2[[#This Row],[Day]]/t0n)^wn)*EXP(-(Tabella2[[#This Row],[Day]]/t0n))</f>
        <v>1663.1423649716255</v>
      </c>
      <c r="I21" s="56">
        <f>Tabella2[[#This Row],[New_cases_fit]]*NOT(ISBLANK(Tabella2[[#This Row],[New cases]]))</f>
        <v>1663.1423649716255</v>
      </c>
      <c r="J21" s="10">
        <f>Tabella2[[#This Row],[New_cases_fit]]+CIn</f>
        <v>2883.403941107209</v>
      </c>
      <c r="K21" s="10">
        <f>MAX(Tabella2[[#This Row],[New_cases_fit]]-CIn,0)</f>
        <v>442.8807888360418</v>
      </c>
      <c r="L21" s="54">
        <f>'dpc-covid19-ita-andamento-naz'!G15</f>
        <v>6387</v>
      </c>
      <c r="M21" s="54">
        <f>'dpc-covid19-ita-andamento-naz'!H15</f>
        <v>1326</v>
      </c>
      <c r="N21" s="54">
        <f>Tabella2[[#This Row],[New_cases_fit]]-Tabella2[[#This Row],[New_Recovered_fit]]-Tabella2[[#This Row],[New_Deaths_fit]]</f>
        <v>1430.5172088311033</v>
      </c>
      <c r="O21" s="10">
        <f>'dpc-covid19-ita-andamento-naz'!J15</f>
        <v>622</v>
      </c>
      <c r="P21" s="48">
        <f>Tabella2[[#This Row],[Cum_recov]]-O20</f>
        <v>33</v>
      </c>
      <c r="Q21" s="60">
        <f>Tabella2[[#This Row],[New recovered]]*NOT(ISBLANK(Tabella2[[#This Row],[New recovered]]))</f>
        <v>33</v>
      </c>
      <c r="R21" s="50">
        <f>kd*t0d*_xlfn.GAMMA.DIST(Tabella2[[#This Row],[Day]]/t0d,wd+1,1,1)*_xlfn.GAMMA(wd+1)</f>
        <v>512.98387812547651</v>
      </c>
      <c r="S21" s="10">
        <f>kd*((Tabella2[[#This Row],[Day]]/t0d)^wd)*EXP(-(Tabella2[[#This Row],[Day]]/t0d))</f>
        <v>146.89936242057252</v>
      </c>
      <c r="T21" s="60">
        <f>Tabella2[[#This Row],[New_Recovered_fit]]*NOT(ISBLANK(Tabella2[[#This Row],[New recovered]]))</f>
        <v>146.89936242057252</v>
      </c>
      <c r="U21" s="10">
        <f>Tabella2[[#This Row],[New_Recovered_fit]]+CId</f>
        <v>680.37738609621738</v>
      </c>
      <c r="V21" s="10">
        <f>MAX(Tabella2[[#This Row],[New_Recovered_fit]]-CId,0)</f>
        <v>0</v>
      </c>
      <c r="W21" s="10">
        <f>'dpc-covid19-ita-andamento-naz'!K15</f>
        <v>366</v>
      </c>
      <c r="X21" s="26">
        <f>Tabella2[[#This Row],[Cum_deaths]]-W20</f>
        <v>133</v>
      </c>
      <c r="Y21" s="65">
        <f>Tabella2[[#This Row],[New deaths]]*NOT(ISBLANK(Tabella2[[#This Row],[New deaths]]))</f>
        <v>133</v>
      </c>
      <c r="Z21" s="50">
        <f>kt*t0t*_xlfn.GAMMA.DIST(Tabella2[[#This Row],[Day]]/t0t,wt+1,1,1)*_xlfn.GAMMA(wt+1)</f>
        <v>204.51324838514489</v>
      </c>
      <c r="AA21" s="10">
        <f>kt*((Tabella2[[#This Row],[Day]]/t0t)^wt)*EXP(-(Tabella2[[#This Row],[Day]]/t0t))</f>
        <v>85.725793719949607</v>
      </c>
      <c r="AB21" s="65">
        <f>Tabella2[[#This Row],[New_Deaths_fit]]*NOT(ISBLANK(Tabella2[[#This Row],[New deaths]]))</f>
        <v>85.725793719949607</v>
      </c>
      <c r="AC21" s="10">
        <f>Tabella2[[#This Row],[New_Deaths_fit]]+CIt</f>
        <v>231.0299189477829</v>
      </c>
      <c r="AD21" s="10">
        <f>MAX(Tabella2[[#This Row],[New_Deaths_fit]]-CIt,0)</f>
        <v>0</v>
      </c>
      <c r="AE21" s="1"/>
      <c r="AF21" s="91" t="s">
        <v>111</v>
      </c>
      <c r="AG21" s="92">
        <f>t0r</f>
        <v>19.513832896873833</v>
      </c>
      <c r="AT21" s="105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Tabella2[[#This Row],[New cases]]*NOT(ISBLANK(Tabella2[[#This Row],[New cases]]))</f>
        <v>1797</v>
      </c>
      <c r="G22" s="50">
        <f>kn*t0n*_xlfn.GAMMA.DIST(Tabella2[[#This Row],[Day]]/t0n,wn+1,1,1)*_xlfn.GAMMA(wn+1)</f>
        <v>7467.6508972314678</v>
      </c>
      <c r="H22" s="10">
        <f>kn*((Tabella2[[#This Row],[Day]]/t0n)^wn)*EXP(-(Tabella2[[#This Row],[Day]]/t0n))</f>
        <v>1985.3229768279293</v>
      </c>
      <c r="I22" s="56">
        <f>Tabella2[[#This Row],[New_cases_fit]]*NOT(ISBLANK(Tabella2[[#This Row],[New cases]]))</f>
        <v>1985.3229768279293</v>
      </c>
      <c r="J22" s="10">
        <f>Tabella2[[#This Row],[New_cases_fit]]+CIn</f>
        <v>3205.584552963513</v>
      </c>
      <c r="K22" s="10">
        <f>MAX(Tabella2[[#This Row],[New_cases_fit]]-CIn,0)</f>
        <v>765.06140069234561</v>
      </c>
      <c r="L22" s="54">
        <f>'dpc-covid19-ita-andamento-naz'!G16</f>
        <v>7985</v>
      </c>
      <c r="M22" s="54">
        <f>'dpc-covid19-ita-andamento-naz'!H16</f>
        <v>1598</v>
      </c>
      <c r="N22" s="54">
        <f>Tabella2[[#This Row],[New_cases_fit]]-Tabella2[[#This Row],[New_Recovered_fit]]-Tabella2[[#This Row],[New_Deaths_fit]]</f>
        <v>1692.7480339750111</v>
      </c>
      <c r="O22" s="10">
        <f>'dpc-covid19-ita-andamento-naz'!J16</f>
        <v>724</v>
      </c>
      <c r="P22" s="48">
        <f>Tabella2[[#This Row],[Cum_recov]]-O21</f>
        <v>102</v>
      </c>
      <c r="Q22" s="60">
        <f>Tabella2[[#This Row],[New recovered]]*NOT(ISBLANK(Tabella2[[#This Row],[New recovered]]))</f>
        <v>102</v>
      </c>
      <c r="R22" s="50">
        <f>kd*t0d*_xlfn.GAMMA.DIST(Tabella2[[#This Row],[Day]]/t0d,wd+1,1,1)*_xlfn.GAMMA(wd+1)</f>
        <v>674.97647530628683</v>
      </c>
      <c r="S22" s="10">
        <f>kd*((Tabella2[[#This Row],[Day]]/t0d)^wd)*EXP(-(Tabella2[[#This Row],[Day]]/t0d))</f>
        <v>177.57362933305379</v>
      </c>
      <c r="T22" s="60">
        <f>Tabella2[[#This Row],[New_Recovered_fit]]*NOT(ISBLANK(Tabella2[[#This Row],[New recovered]]))</f>
        <v>177.57362933305379</v>
      </c>
      <c r="U22" s="10">
        <f>Tabella2[[#This Row],[New_Recovered_fit]]+CId</f>
        <v>711.05165300869862</v>
      </c>
      <c r="V22" s="10">
        <f>MAX(Tabella2[[#This Row],[New_Recovered_fit]]-CId,0)</f>
        <v>0</v>
      </c>
      <c r="W22" s="10">
        <f>'dpc-covid19-ita-andamento-naz'!K16</f>
        <v>463</v>
      </c>
      <c r="X22" s="26">
        <f>Tabella2[[#This Row],[Cum_deaths]]-W21</f>
        <v>97</v>
      </c>
      <c r="Y22" s="65">
        <f>Tabella2[[#This Row],[New deaths]]*NOT(ISBLANK(Tabella2[[#This Row],[New deaths]]))</f>
        <v>97</v>
      </c>
      <c r="Z22" s="50">
        <f>kt*t0t*_xlfn.GAMMA.DIST(Tabella2[[#This Row],[Day]]/t0t,wt+1,1,1)*_xlfn.GAMMA(wt+1)</f>
        <v>304.46460741422607</v>
      </c>
      <c r="AA22" s="10">
        <f>kt*((Tabella2[[#This Row],[Day]]/t0t)^wt)*EXP(-(Tabella2[[#This Row],[Day]]/t0t))</f>
        <v>115.00131351986445</v>
      </c>
      <c r="AB22" s="65">
        <f>Tabella2[[#This Row],[New_Deaths_fit]]*NOT(ISBLANK(Tabella2[[#This Row],[New deaths]]))</f>
        <v>115.00131351986445</v>
      </c>
      <c r="AC22" s="10">
        <f>Tabella2[[#This Row],[New_Deaths_fit]]+CIt</f>
        <v>260.30543874769774</v>
      </c>
      <c r="AD22" s="10">
        <f>MAX(Tabella2[[#This Row],[New_Deaths_fit]]-CIt,0)</f>
        <v>0</v>
      </c>
      <c r="AE22" s="1"/>
      <c r="AF22" s="91" t="s">
        <v>1</v>
      </c>
      <c r="AG22" s="92">
        <f>wr</f>
        <v>3.2504369603929812</v>
      </c>
      <c r="AT22" s="105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Tabella2[[#This Row],[New cases]]*NOT(ISBLANK(Tabella2[[#This Row],[New cases]]))</f>
        <v>977</v>
      </c>
      <c r="G23" s="50">
        <f>kn*t0n*_xlfn.GAMMA.DIST(Tabella2[[#This Row],[Day]]/t0n,wn+1,1,1)*_xlfn.GAMMA(wn+1)</f>
        <v>9618.6959608471316</v>
      </c>
      <c r="H23" s="10">
        <f>kn*((Tabella2[[#This Row],[Day]]/t0n)^wn)*EXP(-(Tabella2[[#This Row],[Day]]/t0n))</f>
        <v>2317.9693366893043</v>
      </c>
      <c r="I23" s="56">
        <f>Tabella2[[#This Row],[New_cases_fit]]*NOT(ISBLANK(Tabella2[[#This Row],[New cases]]))</f>
        <v>2317.9693366893043</v>
      </c>
      <c r="J23" s="10">
        <f>Tabella2[[#This Row],[New_cases_fit]]+CIn</f>
        <v>3538.230912824888</v>
      </c>
      <c r="K23" s="10">
        <f>MAX(Tabella2[[#This Row],[New_cases_fit]]-CIn,0)</f>
        <v>1097.7077605537206</v>
      </c>
      <c r="L23" s="54">
        <f>'dpc-covid19-ita-andamento-naz'!G17</f>
        <v>8514</v>
      </c>
      <c r="M23" s="54">
        <f>'dpc-covid19-ita-andamento-naz'!H17</f>
        <v>529</v>
      </c>
      <c r="N23" s="54">
        <f>Tabella2[[#This Row],[New_cases_fit]]-Tabella2[[#This Row],[New_Recovered_fit]]-Tabella2[[#This Row],[New_Deaths_fit]]</f>
        <v>1957.7468109994825</v>
      </c>
      <c r="O23" s="10">
        <f>'dpc-covid19-ita-andamento-naz'!J17</f>
        <v>1004</v>
      </c>
      <c r="P23" s="48">
        <f>Tabella2[[#This Row],[Cum_recov]]-O22</f>
        <v>280</v>
      </c>
      <c r="Q23" s="60">
        <f>Tabella2[[#This Row],[New recovered]]*NOT(ISBLANK(Tabella2[[#This Row],[New recovered]]))</f>
        <v>280</v>
      </c>
      <c r="R23" s="50">
        <f>kd*t0d*_xlfn.GAMMA.DIST(Tabella2[[#This Row],[Day]]/t0d,wd+1,1,1)*_xlfn.GAMMA(wd+1)</f>
        <v>869.0866916491774</v>
      </c>
      <c r="S23" s="10">
        <f>kd*((Tabella2[[#This Row],[Day]]/t0d)^wd)*EXP(-(Tabella2[[#This Row],[Day]]/t0d))</f>
        <v>211.11365059712406</v>
      </c>
      <c r="T23" s="60">
        <f>Tabella2[[#This Row],[New_Recovered_fit]]*NOT(ISBLANK(Tabella2[[#This Row],[New recovered]]))</f>
        <v>211.11365059712406</v>
      </c>
      <c r="U23" s="10">
        <f>Tabella2[[#This Row],[New_Recovered_fit]]+CId</f>
        <v>744.59167427276896</v>
      </c>
      <c r="V23" s="10">
        <f>MAX(Tabella2[[#This Row],[New_Recovered_fit]]-CId,0)</f>
        <v>0</v>
      </c>
      <c r="W23" s="10">
        <f>'dpc-covid19-ita-andamento-naz'!K17</f>
        <v>631</v>
      </c>
      <c r="X23" s="26">
        <f>Tabella2[[#This Row],[Cum_deaths]]-W22</f>
        <v>168</v>
      </c>
      <c r="Y23" s="65">
        <f>Tabella2[[#This Row],[New deaths]]*NOT(ISBLANK(Tabella2[[#This Row],[New deaths]]))</f>
        <v>168</v>
      </c>
      <c r="Z23" s="50">
        <f>kt*t0t*_xlfn.GAMMA.DIST(Tabella2[[#This Row],[Day]]/t0t,wt+1,1,1)*_xlfn.GAMMA(wt+1)</f>
        <v>436.1290315539116</v>
      </c>
      <c r="AA23" s="10">
        <f>kt*((Tabella2[[#This Row],[Day]]/t0t)^wt)*EXP(-(Tabella2[[#This Row],[Day]]/t0t))</f>
        <v>149.10887509269799</v>
      </c>
      <c r="AB23" s="65">
        <f>Tabella2[[#This Row],[New_Deaths_fit]]*NOT(ISBLANK(Tabella2[[#This Row],[New deaths]]))</f>
        <v>149.10887509269799</v>
      </c>
      <c r="AC23" s="10">
        <f>Tabella2[[#This Row],[New_Deaths_fit]]+CIt</f>
        <v>294.4130003205313</v>
      </c>
      <c r="AD23" s="10">
        <f>MAX(Tabella2[[#This Row],[New_Deaths_fit]]-CIt,0)</f>
        <v>3.8047498648646751</v>
      </c>
      <c r="AE23" s="1"/>
      <c r="AF23" s="124" t="s">
        <v>2</v>
      </c>
      <c r="AG23" s="125">
        <f>AVERAGE(Tabella2[New recovered])</f>
        <v>723.14285714285711</v>
      </c>
      <c r="AT23" s="106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Tabella2[[#This Row],[New cases]]*NOT(ISBLANK(Tabella2[[#This Row],[New cases]]))</f>
        <v>2313</v>
      </c>
      <c r="G24" s="50">
        <f>kn*t0n*_xlfn.GAMMA.DIST(Tabella2[[#This Row],[Day]]/t0n,wn+1,1,1)*_xlfn.GAMMA(wn+1)</f>
        <v>12104.921655382574</v>
      </c>
      <c r="H24" s="10">
        <f>kn*((Tabella2[[#This Row],[Day]]/t0n)^wn)*EXP(-(Tabella2[[#This Row],[Day]]/t0n))</f>
        <v>2654.6198135266723</v>
      </c>
      <c r="I24" s="56">
        <f>Tabella2[[#This Row],[New_cases_fit]]*NOT(ISBLANK(Tabella2[[#This Row],[New cases]]))</f>
        <v>2654.6198135266723</v>
      </c>
      <c r="J24" s="10">
        <f>Tabella2[[#This Row],[New_cases_fit]]+CIn</f>
        <v>3874.881389662256</v>
      </c>
      <c r="K24" s="10">
        <f>MAX(Tabella2[[#This Row],[New_cases_fit]]-CIn,0)</f>
        <v>1434.3582373910886</v>
      </c>
      <c r="L24" s="54">
        <f>'dpc-covid19-ita-andamento-naz'!G18</f>
        <v>10590</v>
      </c>
      <c r="M24" s="54">
        <f>'dpc-covid19-ita-andamento-naz'!H18</f>
        <v>2076</v>
      </c>
      <c r="N24" s="54">
        <f>Tabella2[[#This Row],[New_cases_fit]]-Tabella2[[#This Row],[New_Recovered_fit]]-Tabella2[[#This Row],[New_Deaths_fit]]</f>
        <v>2219.5562219336662</v>
      </c>
      <c r="O24" s="10">
        <f>'dpc-covid19-ita-andamento-naz'!J18</f>
        <v>1045</v>
      </c>
      <c r="P24" s="48">
        <f>Tabella2[[#This Row],[Cum_recov]]-O23</f>
        <v>41</v>
      </c>
      <c r="Q24" s="60">
        <f>Tabella2[[#This Row],[New recovered]]*NOT(ISBLANK(Tabella2[[#This Row],[New recovered]]))</f>
        <v>41</v>
      </c>
      <c r="R24" s="50">
        <f>kd*t0d*_xlfn.GAMMA.DIST(Tabella2[[#This Row],[Day]]/t0d,wd+1,1,1)*_xlfn.GAMMA(wd+1)</f>
        <v>1098.1131103877392</v>
      </c>
      <c r="S24" s="10">
        <f>kd*((Tabella2[[#This Row],[Day]]/t0d)^wd)*EXP(-(Tabella2[[#This Row],[Day]]/t0d))</f>
        <v>247.38091450993758</v>
      </c>
      <c r="T24" s="60">
        <f>Tabella2[[#This Row],[New_Recovered_fit]]*NOT(ISBLANK(Tabella2[[#This Row],[New recovered]]))</f>
        <v>247.38091450993758</v>
      </c>
      <c r="U24" s="10">
        <f>Tabella2[[#This Row],[New_Recovered_fit]]+CId</f>
        <v>780.85893818558247</v>
      </c>
      <c r="V24" s="10">
        <f>MAX(Tabella2[[#This Row],[New_Recovered_fit]]-CId,0)</f>
        <v>0</v>
      </c>
      <c r="W24" s="10">
        <f>'dpc-covid19-ita-andamento-naz'!K18</f>
        <v>827</v>
      </c>
      <c r="X24" s="26">
        <f>Tabella2[[#This Row],[Cum_deaths]]-W23</f>
        <v>196</v>
      </c>
      <c r="Y24" s="65">
        <f>Tabella2[[#This Row],[New deaths]]*NOT(ISBLANK(Tabella2[[#This Row],[New deaths]]))</f>
        <v>196</v>
      </c>
      <c r="Z24" s="50">
        <f>kt*t0t*_xlfn.GAMMA.DIST(Tabella2[[#This Row],[Day]]/t0t,wt+1,1,1)*_xlfn.GAMMA(wt+1)</f>
        <v>604.17331952961706</v>
      </c>
      <c r="AA24" s="10">
        <f>kt*((Tabella2[[#This Row],[Day]]/t0t)^wt)*EXP(-(Tabella2[[#This Row],[Day]]/t0t))</f>
        <v>187.68267708306851</v>
      </c>
      <c r="AB24" s="65">
        <f>Tabella2[[#This Row],[New_Deaths_fit]]*NOT(ISBLANK(Tabella2[[#This Row],[New deaths]]))</f>
        <v>187.68267708306851</v>
      </c>
      <c r="AC24" s="10">
        <f>Tabella2[[#This Row],[New_Deaths_fit]]+CIt</f>
        <v>332.98680231090179</v>
      </c>
      <c r="AD24" s="10">
        <f>MAX(Tabella2[[#This Row],[New_Deaths_fit]]-CIt,0)</f>
        <v>42.378551855235202</v>
      </c>
      <c r="AE24" s="1"/>
      <c r="AF24" s="124" t="s">
        <v>3</v>
      </c>
      <c r="AG24" s="125">
        <f>COUNT(Tabella2[New recovered])-COUNT(AG20:AG22)</f>
        <v>46</v>
      </c>
      <c r="AT24" s="118" t="s">
        <v>98</v>
      </c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Tabella2[[#This Row],[New cases]]*NOT(ISBLANK(Tabella2[[#This Row],[New cases]]))</f>
        <v>2651</v>
      </c>
      <c r="G25" s="50">
        <f>kn*t0n*_xlfn.GAMMA.DIST(Tabella2[[#This Row],[Day]]/t0n,wn+1,1,1)*_xlfn.GAMMA(wn+1)</f>
        <v>14927.188236478683</v>
      </c>
      <c r="H25" s="10">
        <f>kn*((Tabella2[[#This Row],[Day]]/t0n)^wn)*EXP(-(Tabella2[[#This Row],[Day]]/t0n))</f>
        <v>2989.0424660406079</v>
      </c>
      <c r="I25" s="56">
        <f>Tabella2[[#This Row],[New_cases_fit]]*NOT(ISBLANK(Tabella2[[#This Row],[New cases]]))</f>
        <v>2989.0424660406079</v>
      </c>
      <c r="J25" s="10">
        <f>Tabella2[[#This Row],[New_cases_fit]]+CIn</f>
        <v>4209.3040421761916</v>
      </c>
      <c r="K25" s="10">
        <f>MAX(Tabella2[[#This Row],[New_cases_fit]]-CIn,0)</f>
        <v>1768.7808899050242</v>
      </c>
      <c r="L25" s="54">
        <f>'dpc-covid19-ita-andamento-naz'!G19</f>
        <v>12839</v>
      </c>
      <c r="M25" s="54">
        <f>'dpc-covid19-ita-andamento-naz'!H19</f>
        <v>2249</v>
      </c>
      <c r="N25" s="54">
        <f>Tabella2[[#This Row],[New_cases_fit]]-Tabella2[[#This Row],[New_Recovered_fit]]-Tabella2[[#This Row],[New_Deaths_fit]]</f>
        <v>2472.6695429905812</v>
      </c>
      <c r="O25" s="10">
        <f>'dpc-covid19-ita-andamento-naz'!J19</f>
        <v>1258</v>
      </c>
      <c r="P25" s="48">
        <f>Tabella2[[#This Row],[Cum_recov]]-O24</f>
        <v>213</v>
      </c>
      <c r="Q25" s="60">
        <f>Tabella2[[#This Row],[New recovered]]*NOT(ISBLANK(Tabella2[[#This Row],[New recovered]]))</f>
        <v>213</v>
      </c>
      <c r="R25" s="50">
        <f>kd*t0d*_xlfn.GAMMA.DIST(Tabella2[[#This Row],[Day]]/t0d,wd+1,1,1)*_xlfn.GAMMA(wd+1)</f>
        <v>1364.7040336427783</v>
      </c>
      <c r="S25" s="10">
        <f>kd*((Tabella2[[#This Row],[Day]]/t0d)^wd)*EXP(-(Tabella2[[#This Row],[Day]]/t0d))</f>
        <v>286.21409810669695</v>
      </c>
      <c r="T25" s="60">
        <f>Tabella2[[#This Row],[New_Recovered_fit]]*NOT(ISBLANK(Tabella2[[#This Row],[New recovered]]))</f>
        <v>286.21409810669695</v>
      </c>
      <c r="U25" s="10">
        <f>Tabella2[[#This Row],[New_Recovered_fit]]+CId</f>
        <v>819.69212178234181</v>
      </c>
      <c r="V25" s="10">
        <f>MAX(Tabella2[[#This Row],[New_Recovered_fit]]-CId,0)</f>
        <v>0</v>
      </c>
      <c r="W25" s="10">
        <f>'dpc-covid19-ita-andamento-naz'!K19</f>
        <v>1016</v>
      </c>
      <c r="X25" s="26">
        <f>Tabella2[[#This Row],[Cum_deaths]]-W24</f>
        <v>189</v>
      </c>
      <c r="Y25" s="65">
        <f>Tabella2[[#This Row],[New deaths]]*NOT(ISBLANK(Tabella2[[#This Row],[New deaths]]))</f>
        <v>189</v>
      </c>
      <c r="Z25" s="50">
        <f>kt*t0t*_xlfn.GAMMA.DIST(Tabella2[[#This Row],[Day]]/t0t,wt+1,1,1)*_xlfn.GAMMA(wt+1)</f>
        <v>812.79700408447763</v>
      </c>
      <c r="AA25" s="10">
        <f>kt*((Tabella2[[#This Row],[Day]]/t0t)^wt)*EXP(-(Tabella2[[#This Row],[Day]]/t0t))</f>
        <v>230.15882494332973</v>
      </c>
      <c r="AB25" s="65">
        <f>Tabella2[[#This Row],[New_Deaths_fit]]*NOT(ISBLANK(Tabella2[[#This Row],[New deaths]]))</f>
        <v>230.15882494332973</v>
      </c>
      <c r="AC25" s="10">
        <f>Tabella2[[#This Row],[New_Deaths_fit]]+CIt</f>
        <v>375.46295017116302</v>
      </c>
      <c r="AD25" s="10">
        <f>MAX(Tabella2[[#This Row],[New_Deaths_fit]]-CIt,0)</f>
        <v>84.854699715496423</v>
      </c>
      <c r="AE25" s="1"/>
      <c r="AF25" s="124" t="s">
        <v>4</v>
      </c>
      <c r="AG25" s="126" cm="1">
        <f t="array" ref="AG25">SQRT(SUM((Tabella2[Colonna3]-Tabella2[Colonna4])^2)/dfd)</f>
        <v>265.03015057612947</v>
      </c>
      <c r="AT25" s="119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Tabella2[[#This Row],[New cases]]*NOT(ISBLANK(Tabella2[[#This Row],[New cases]]))</f>
        <v>2547</v>
      </c>
      <c r="G26" s="50">
        <f>kn*t0n*_xlfn.GAMMA.DIST(Tabella2[[#This Row],[Day]]/t0n,wn+1,1,1)*_xlfn.GAMMA(wn+1)</f>
        <v>18080.320674496241</v>
      </c>
      <c r="H26" s="10">
        <f>kn*((Tabella2[[#This Row],[Day]]/t0n)^wn)*EXP(-(Tabella2[[#This Row],[Day]]/t0n))</f>
        <v>3315.4263179687323</v>
      </c>
      <c r="I26" s="56">
        <f>Tabella2[[#This Row],[New_cases_fit]]*NOT(ISBLANK(Tabella2[[#This Row],[New cases]]))</f>
        <v>3315.4263179687323</v>
      </c>
      <c r="J26" s="10">
        <f>Tabella2[[#This Row],[New_cases_fit]]+CIn</f>
        <v>4535.687894104316</v>
      </c>
      <c r="K26" s="10">
        <f>MAX(Tabella2[[#This Row],[New_cases_fit]]-CIn,0)</f>
        <v>2095.1647418331486</v>
      </c>
      <c r="L26" s="54">
        <f>'dpc-covid19-ita-andamento-naz'!G20</f>
        <v>14955</v>
      </c>
      <c r="M26" s="54">
        <f>'dpc-covid19-ita-andamento-naz'!H20</f>
        <v>2116</v>
      </c>
      <c r="N26" s="54">
        <f>Tabella2[[#This Row],[New_cases_fit]]-Tabella2[[#This Row],[New_Recovered_fit]]-Tabella2[[#This Row],[New_Deaths_fit]]</f>
        <v>2712.1841149298198</v>
      </c>
      <c r="O26" s="10">
        <f>'dpc-covid19-ita-andamento-naz'!J20</f>
        <v>1439</v>
      </c>
      <c r="P26" s="48">
        <f>Tabella2[[#This Row],[Cum_recov]]-O25</f>
        <v>181</v>
      </c>
      <c r="Q26" s="60">
        <f>Tabella2[[#This Row],[New recovered]]*NOT(ISBLANK(Tabella2[[#This Row],[New recovered]]))</f>
        <v>181</v>
      </c>
      <c r="R26" s="50">
        <f>kd*t0d*_xlfn.GAMMA.DIST(Tabella2[[#This Row],[Day]]/t0d,wd+1,1,1)*_xlfn.GAMMA(wd+1)</f>
        <v>1671.3367963564588</v>
      </c>
      <c r="S26" s="10">
        <f>kd*((Tabella2[[#This Row],[Day]]/t0d)^wd)*EXP(-(Tabella2[[#This Row],[Day]]/t0d))</f>
        <v>327.43325993210323</v>
      </c>
      <c r="T26" s="60">
        <f>Tabella2[[#This Row],[New_Recovered_fit]]*NOT(ISBLANK(Tabella2[[#This Row],[New recovered]]))</f>
        <v>327.43325993210323</v>
      </c>
      <c r="U26" s="10">
        <f>Tabella2[[#This Row],[New_Recovered_fit]]+CId</f>
        <v>860.91128360774815</v>
      </c>
      <c r="V26" s="10">
        <f>MAX(Tabella2[[#This Row],[New_Recovered_fit]]-CId,0)</f>
        <v>0</v>
      </c>
      <c r="W26" s="10">
        <f>'dpc-covid19-ita-andamento-naz'!K20</f>
        <v>1266</v>
      </c>
      <c r="X26" s="26">
        <f>Tabella2[[#This Row],[Cum_deaths]]-W25</f>
        <v>250</v>
      </c>
      <c r="Y26" s="65">
        <f>Tabella2[[#This Row],[New deaths]]*NOT(ISBLANK(Tabella2[[#This Row],[New deaths]]))</f>
        <v>250</v>
      </c>
      <c r="Z26" s="50">
        <f>kt*t0t*_xlfn.GAMMA.DIST(Tabella2[[#This Row],[Day]]/t0t,wt+1,1,1)*_xlfn.GAMMA(wt+1)</f>
        <v>1065.5503428413692</v>
      </c>
      <c r="AA26" s="10">
        <f>kt*((Tabella2[[#This Row],[Day]]/t0t)^wt)*EXP(-(Tabella2[[#This Row],[Day]]/t0t))</f>
        <v>275.80894310680929</v>
      </c>
      <c r="AB26" s="65">
        <f>Tabella2[[#This Row],[New_Deaths_fit]]*NOT(ISBLANK(Tabella2[[#This Row],[New deaths]]))</f>
        <v>275.80894310680929</v>
      </c>
      <c r="AC26" s="10">
        <f>Tabella2[[#This Row],[New_Deaths_fit]]+CIt</f>
        <v>421.11306833464261</v>
      </c>
      <c r="AD26" s="10">
        <f>MAX(Tabella2[[#This Row],[New_Deaths_fit]]-CIt,0)</f>
        <v>130.50481787897598</v>
      </c>
      <c r="AE26" s="1"/>
      <c r="AF26" s="124" t="s">
        <v>113</v>
      </c>
      <c r="AG26" s="127" cm="1">
        <f t="array" ref="AG26">1-SUM((Tabella2[Colonna3]-Tabella2[Colonna4])^2)/SUM((Tabella2[Colonna3]-Mean_of_yd)^2)</f>
        <v>0.89906334719295455</v>
      </c>
      <c r="AT26" s="119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Tabella2[[#This Row],[New cases]]*NOT(ISBLANK(Tabella2[[#This Row],[New cases]]))</f>
        <v>3497</v>
      </c>
      <c r="G27" s="50">
        <f>kn*t0n*_xlfn.GAMMA.DIST(Tabella2[[#This Row],[Day]]/t0n,wn+1,1,1)*_xlfn.GAMMA(wn+1)</f>
        <v>21553.604478829315</v>
      </c>
      <c r="H27" s="10">
        <f>kn*((Tabella2[[#This Row],[Day]]/t0n)^wn)*EXP(-(Tabella2[[#This Row],[Day]]/t0n))</f>
        <v>3628.5231184481031</v>
      </c>
      <c r="I27" s="56">
        <f>Tabella2[[#This Row],[New_cases_fit]]*NOT(ISBLANK(Tabella2[[#This Row],[New cases]]))</f>
        <v>3628.5231184481031</v>
      </c>
      <c r="J27" s="10">
        <f>Tabella2[[#This Row],[New_cases_fit]]+CIn</f>
        <v>4848.7846945836864</v>
      </c>
      <c r="K27" s="10">
        <f>MAX(Tabella2[[#This Row],[New_cases_fit]]-CIn,0)</f>
        <v>2408.2615423125194</v>
      </c>
      <c r="L27" s="54">
        <f>'dpc-covid19-ita-andamento-naz'!G21</f>
        <v>17750</v>
      </c>
      <c r="M27" s="54">
        <f>'dpc-covid19-ita-andamento-naz'!H21</f>
        <v>2795</v>
      </c>
      <c r="N27" s="54">
        <f>Tabella2[[#This Row],[New_cases_fit]]-Tabella2[[#This Row],[New_Recovered_fit]]-Tabella2[[#This Row],[New_Deaths_fit]]</f>
        <v>2933.89892080354</v>
      </c>
      <c r="O27" s="10">
        <f>'dpc-covid19-ita-andamento-naz'!J21</f>
        <v>1966</v>
      </c>
      <c r="P27" s="48">
        <f>Tabella2[[#This Row],[Cum_recov]]-O26</f>
        <v>527</v>
      </c>
      <c r="Q27" s="60">
        <f>Tabella2[[#This Row],[New recovered]]*NOT(ISBLANK(Tabella2[[#This Row],[New recovered]]))</f>
        <v>527</v>
      </c>
      <c r="R27" s="50">
        <f>kd*t0d*_xlfn.GAMMA.DIST(Tabella2[[#This Row],[Day]]/t0d,wd+1,1,1)*_xlfn.GAMMA(wd+1)</f>
        <v>2020.3010998433842</v>
      </c>
      <c r="S27" s="10">
        <f>kd*((Tabella2[[#This Row],[Day]]/t0d)^wd)*EXP(-(Tabella2[[#This Row],[Day]]/t0d))</f>
        <v>370.84368647282338</v>
      </c>
      <c r="T27" s="60">
        <f>Tabella2[[#This Row],[New_Recovered_fit]]*NOT(ISBLANK(Tabella2[[#This Row],[New recovered]]))</f>
        <v>370.84368647282338</v>
      </c>
      <c r="U27" s="10">
        <f>Tabella2[[#This Row],[New_Recovered_fit]]+CId</f>
        <v>904.32171014846824</v>
      </c>
      <c r="V27" s="10">
        <f>MAX(Tabella2[[#This Row],[New_Recovered_fit]]-CId,0)</f>
        <v>0</v>
      </c>
      <c r="W27" s="10">
        <f>'dpc-covid19-ita-andamento-naz'!K21</f>
        <v>1441</v>
      </c>
      <c r="X27" s="26">
        <f>Tabella2[[#This Row],[Cum_deaths]]-W26</f>
        <v>175</v>
      </c>
      <c r="Y27" s="65">
        <f>Tabella2[[#This Row],[New deaths]]*NOT(ISBLANK(Tabella2[[#This Row],[New deaths]]))</f>
        <v>175</v>
      </c>
      <c r="Z27" s="50">
        <f>kt*t0t*_xlfn.GAMMA.DIST(Tabella2[[#This Row],[Day]]/t0t,wt+1,1,1)*_xlfn.GAMMA(wt+1)</f>
        <v>1365.189603904184</v>
      </c>
      <c r="AA27" s="10">
        <f>kt*((Tabella2[[#This Row],[Day]]/t0t)^wt)*EXP(-(Tabella2[[#This Row],[Day]]/t0t))</f>
        <v>323.78051117173976</v>
      </c>
      <c r="AB27" s="65">
        <f>Tabella2[[#This Row],[New_Deaths_fit]]*NOT(ISBLANK(Tabella2[[#This Row],[New deaths]]))</f>
        <v>323.78051117173976</v>
      </c>
      <c r="AC27" s="10">
        <f>Tabella2[[#This Row],[New_Deaths_fit]]+CIt</f>
        <v>469.08463639957307</v>
      </c>
      <c r="AD27" s="10">
        <f>MAX(Tabella2[[#This Row],[New_Deaths_fit]]-CIt,0)</f>
        <v>178.47638594390645</v>
      </c>
      <c r="AE27" s="1"/>
      <c r="AF27" s="124" t="s">
        <v>6</v>
      </c>
      <c r="AG27" s="127">
        <f>TINV(0.05,dfd)</f>
        <v>2.0128955989194299</v>
      </c>
      <c r="AT27" s="120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Tabella2[[#This Row],[New cases]]*NOT(ISBLANK(Tabella2[[#This Row],[New cases]]))</f>
        <v>3590</v>
      </c>
      <c r="G28" s="50">
        <f>kn*t0n*_xlfn.GAMMA.DIST(Tabella2[[#This Row],[Day]]/t0n,wn+1,1,1)*_xlfn.GAMMA(wn+1)</f>
        <v>25331.400185332339</v>
      </c>
      <c r="H28" s="10">
        <f>kn*((Tabella2[[#This Row],[Day]]/t0n)^wn)*EXP(-(Tabella2[[#This Row],[Day]]/t0n))</f>
        <v>3923.7437261026857</v>
      </c>
      <c r="I28" s="56">
        <f>Tabella2[[#This Row],[New_cases_fit]]*NOT(ISBLANK(Tabella2[[#This Row],[New cases]]))</f>
        <v>3923.7437261026857</v>
      </c>
      <c r="J28" s="10">
        <f>Tabella2[[#This Row],[New_cases_fit]]+CIn</f>
        <v>5144.005302238269</v>
      </c>
      <c r="K28" s="10">
        <f>MAX(Tabella2[[#This Row],[New_cases_fit]]-CIn,0)</f>
        <v>2703.482149967102</v>
      </c>
      <c r="L28" s="54">
        <f>'dpc-covid19-ita-andamento-naz'!G22</f>
        <v>20603</v>
      </c>
      <c r="M28" s="54">
        <f>'dpc-covid19-ita-andamento-naz'!H22</f>
        <v>2853</v>
      </c>
      <c r="N28" s="54">
        <f>Tabella2[[#This Row],[New_cases_fit]]-Tabella2[[#This Row],[New_Recovered_fit]]-Tabella2[[#This Row],[New_Deaths_fit]]</f>
        <v>3134.3640758745778</v>
      </c>
      <c r="O28" s="10">
        <f>'dpc-covid19-ita-andamento-naz'!J22</f>
        <v>2335</v>
      </c>
      <c r="P28" s="48">
        <f>Tabella2[[#This Row],[Cum_recov]]-O27</f>
        <v>369</v>
      </c>
      <c r="Q28" s="60">
        <f>Tabella2[[#This Row],[New recovered]]*NOT(ISBLANK(Tabella2[[#This Row],[New recovered]]))</f>
        <v>369</v>
      </c>
      <c r="R28" s="50">
        <f>kd*t0d*_xlfn.GAMMA.DIST(Tabella2[[#This Row],[Day]]/t0d,wd+1,1,1)*_xlfn.GAMMA(wd+1)</f>
        <v>2413.6860197157239</v>
      </c>
      <c r="S28" s="10">
        <f>kd*((Tabella2[[#This Row],[Day]]/t0d)^wd)*EXP(-(Tabella2[[#This Row],[Day]]/t0d))</f>
        <v>416.239395550734</v>
      </c>
      <c r="T28" s="60">
        <f>Tabella2[[#This Row],[New_Recovered_fit]]*NOT(ISBLANK(Tabella2[[#This Row],[New recovered]]))</f>
        <v>416.239395550734</v>
      </c>
      <c r="U28" s="10">
        <f>Tabella2[[#This Row],[New_Recovered_fit]]+CId</f>
        <v>949.71741922637887</v>
      </c>
      <c r="V28" s="10">
        <f>MAX(Tabella2[[#This Row],[New_Recovered_fit]]-CId,0)</f>
        <v>0</v>
      </c>
      <c r="W28" s="10">
        <f>'dpc-covid19-ita-andamento-naz'!K22</f>
        <v>1809</v>
      </c>
      <c r="X28" s="26">
        <f>Tabella2[[#This Row],[Cum_deaths]]-W27</f>
        <v>368</v>
      </c>
      <c r="Y28" s="65">
        <f>Tabella2[[#This Row],[New deaths]]*NOT(ISBLANK(Tabella2[[#This Row],[New deaths]]))</f>
        <v>368</v>
      </c>
      <c r="Z28" s="50">
        <f>kt*t0t*_xlfn.GAMMA.DIST(Tabella2[[#This Row],[Day]]/t0t,wt+1,1,1)*_xlfn.GAMMA(wt+1)</f>
        <v>1713.574503183816</v>
      </c>
      <c r="AA28" s="10">
        <f>kt*((Tabella2[[#This Row],[Day]]/t0t)^wt)*EXP(-(Tabella2[[#This Row],[Day]]/t0t))</f>
        <v>373.14025467737366</v>
      </c>
      <c r="AB28" s="65">
        <f>Tabella2[[#This Row],[New_Deaths_fit]]*NOT(ISBLANK(Tabella2[[#This Row],[New deaths]]))</f>
        <v>373.14025467737366</v>
      </c>
      <c r="AC28" s="10">
        <f>Tabella2[[#This Row],[New_Deaths_fit]]+CIt</f>
        <v>518.44437990520692</v>
      </c>
      <c r="AD28" s="10">
        <f>MAX(Tabella2[[#This Row],[New_Deaths_fit]]-CIt,0)</f>
        <v>227.83612944954035</v>
      </c>
      <c r="AE28" s="1"/>
      <c r="AF28" s="124" t="s">
        <v>7</v>
      </c>
      <c r="AG28" s="125">
        <f>Critical_td*SE_of_yd</f>
        <v>533.47802367564486</v>
      </c>
      <c r="AT28" s="82">
        <f>MAX($AG$38)</f>
        <v>0.97116808659904663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Tabella2[[#This Row],[New cases]]*NOT(ISBLANK(Tabella2[[#This Row],[New cases]]))</f>
        <v>3233</v>
      </c>
      <c r="G29" s="50">
        <f>kn*t0n*_xlfn.GAMMA.DIST(Tabella2[[#This Row],[Day]]/t0n,wn+1,1,1)*_xlfn.GAMMA(wn+1)</f>
        <v>29393.833754034298</v>
      </c>
      <c r="H29" s="10">
        <f>kn*((Tabella2[[#This Row],[Day]]/t0n)^wn)*EXP(-(Tabella2[[#This Row],[Day]]/t0n))</f>
        <v>4197.2145102232498</v>
      </c>
      <c r="I29" s="56">
        <f>Tabella2[[#This Row],[New_cases_fit]]*NOT(ISBLANK(Tabella2[[#This Row],[New cases]]))</f>
        <v>4197.2145102232498</v>
      </c>
      <c r="J29" s="10">
        <f>Tabella2[[#This Row],[New_cases_fit]]+CIn</f>
        <v>5417.4760863588335</v>
      </c>
      <c r="K29" s="10">
        <f>MAX(Tabella2[[#This Row],[New_cases_fit]]-CIn,0)</f>
        <v>2976.9529340876661</v>
      </c>
      <c r="L29" s="54">
        <f>'dpc-covid19-ita-andamento-naz'!G23</f>
        <v>23073</v>
      </c>
      <c r="M29" s="54">
        <f>'dpc-covid19-ita-andamento-naz'!H23</f>
        <v>2470</v>
      </c>
      <c r="N29" s="54">
        <f>Tabella2[[#This Row],[New_cases_fit]]-Tabella2[[#This Row],[New_Recovered_fit]]-Tabella2[[#This Row],[New_Deaths_fit]]</f>
        <v>3310.8907934273552</v>
      </c>
      <c r="O29" s="10">
        <f>'dpc-covid19-ita-andamento-naz'!J23</f>
        <v>2749</v>
      </c>
      <c r="P29" s="48">
        <f>Tabella2[[#This Row],[Cum_recov]]-O28</f>
        <v>414</v>
      </c>
      <c r="Q29" s="60">
        <f>Tabella2[[#This Row],[New recovered]]*NOT(ISBLANK(Tabella2[[#This Row],[New recovered]]))</f>
        <v>414</v>
      </c>
      <c r="R29" s="50">
        <f>kd*t0d*_xlfn.GAMMA.DIST(Tabella2[[#This Row],[Day]]/t0d,wd+1,1,1)*_xlfn.GAMMA(wd+1)</f>
        <v>2853.3703492043487</v>
      </c>
      <c r="S29" s="10">
        <f>kd*((Tabella2[[#This Row],[Day]]/t0d)^wd)*EXP(-(Tabella2[[#This Row],[Day]]/t0d))</f>
        <v>463.40630557052936</v>
      </c>
      <c r="T29" s="60">
        <f>Tabella2[[#This Row],[New_Recovered_fit]]*NOT(ISBLANK(Tabella2[[#This Row],[New recovered]]))</f>
        <v>463.40630557052936</v>
      </c>
      <c r="U29" s="10">
        <f>Tabella2[[#This Row],[New_Recovered_fit]]+CId</f>
        <v>996.88432924617427</v>
      </c>
      <c r="V29" s="10">
        <f>MAX(Tabella2[[#This Row],[New_Recovered_fit]]-CId,0)</f>
        <v>0</v>
      </c>
      <c r="W29" s="10">
        <f>'dpc-covid19-ita-andamento-naz'!K23</f>
        <v>2158</v>
      </c>
      <c r="X29" s="26">
        <f>Tabella2[[#This Row],[Cum_deaths]]-W28</f>
        <v>349</v>
      </c>
      <c r="Y29" s="65">
        <f>Tabella2[[#This Row],[New deaths]]*NOT(ISBLANK(Tabella2[[#This Row],[New deaths]]))</f>
        <v>349</v>
      </c>
      <c r="Z29" s="50">
        <f>kt*t0t*_xlfn.GAMMA.DIST(Tabella2[[#This Row],[Day]]/t0t,wt+1,1,1)*_xlfn.GAMMA(wt+1)</f>
        <v>2111.6092103268288</v>
      </c>
      <c r="AA29" s="10">
        <f>kt*((Tabella2[[#This Row],[Day]]/t0t)^wt)*EXP(-(Tabella2[[#This Row],[Day]]/t0t))</f>
        <v>422.91741122536547</v>
      </c>
      <c r="AB29" s="65">
        <f>Tabella2[[#This Row],[New_Deaths_fit]]*NOT(ISBLANK(Tabella2[[#This Row],[New deaths]]))</f>
        <v>422.91741122536547</v>
      </c>
      <c r="AC29" s="10">
        <f>Tabella2[[#This Row],[New_Deaths_fit]]+CIt</f>
        <v>568.22153645319872</v>
      </c>
      <c r="AD29" s="10">
        <f>MAX(Tabella2[[#This Row],[New_Deaths_fit]]-CIt,0)</f>
        <v>277.61328599753216</v>
      </c>
      <c r="AE29" s="1"/>
      <c r="AF29" s="93" t="s">
        <v>69</v>
      </c>
      <c r="AG29" s="125">
        <f>kd*(wd^wd)*EXP(-wd)</f>
        <v>1914.7251513346787</v>
      </c>
      <c r="AT29" s="83">
        <f>COUNT($AG$32,$AG$33,$AG$34)</f>
        <v>3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Tabella2[[#This Row],[New cases]]*NOT(ISBLANK(Tabella2[[#This Row],[New cases]]))</f>
        <v>3526</v>
      </c>
      <c r="G30" s="50">
        <f>kn*t0n*_xlfn.GAMMA.DIST(Tabella2[[#This Row],[Day]]/t0n,wn+1,1,1)*_xlfn.GAMMA(wn+1)</f>
        <v>33717.525855455606</v>
      </c>
      <c r="H30" s="10">
        <f>kn*((Tabella2[[#This Row],[Day]]/t0n)^wn)*EXP(-(Tabella2[[#This Row],[Day]]/t0n))</f>
        <v>4445.7997426347474</v>
      </c>
      <c r="I30" s="56">
        <f>Tabella2[[#This Row],[New_cases_fit]]*NOT(ISBLANK(Tabella2[[#This Row],[New cases]]))</f>
        <v>4445.7997426347474</v>
      </c>
      <c r="J30" s="10">
        <f>Tabella2[[#This Row],[New_cases_fit]]+CIn</f>
        <v>5666.0613187703311</v>
      </c>
      <c r="K30" s="10">
        <f>MAX(Tabella2[[#This Row],[New_cases_fit]]-CIn,0)</f>
        <v>3225.5381664991637</v>
      </c>
      <c r="L30" s="54">
        <f>'dpc-covid19-ita-andamento-naz'!G24</f>
        <v>26062</v>
      </c>
      <c r="M30" s="54">
        <f>'dpc-covid19-ita-andamento-naz'!H24</f>
        <v>2989</v>
      </c>
      <c r="N30" s="54">
        <f>Tabella2[[#This Row],[New_cases_fit]]-Tabella2[[#This Row],[New_Recovered_fit]]-Tabella2[[#This Row],[New_Deaths_fit]]</f>
        <v>3461.53034058609</v>
      </c>
      <c r="O30" s="10">
        <f>'dpc-covid19-ita-andamento-naz'!J24</f>
        <v>2941</v>
      </c>
      <c r="P30" s="48">
        <f>Tabella2[[#This Row],[Cum_recov]]-O29</f>
        <v>192</v>
      </c>
      <c r="Q30" s="60">
        <f>Tabella2[[#This Row],[New recovered]]*NOT(ISBLANK(Tabella2[[#This Row],[New recovered]]))</f>
        <v>192</v>
      </c>
      <c r="R30" s="50">
        <f>kd*t0d*_xlfn.GAMMA.DIST(Tabella2[[#This Row],[Day]]/t0d,wd+1,1,1)*_xlfn.GAMMA(wd+1)</f>
        <v>3341.0159498440453</v>
      </c>
      <c r="S30" s="10">
        <f>kd*((Tabella2[[#This Row],[Day]]/t0d)^wd)*EXP(-(Tabella2[[#This Row],[Day]]/t0d))</f>
        <v>512.12508337431257</v>
      </c>
      <c r="T30" s="60">
        <f>Tabella2[[#This Row],[New_Recovered_fit]]*NOT(ISBLANK(Tabella2[[#This Row],[New recovered]]))</f>
        <v>512.12508337431257</v>
      </c>
      <c r="U30" s="10">
        <f>Tabella2[[#This Row],[New_Recovered_fit]]+CId</f>
        <v>1045.6031070499575</v>
      </c>
      <c r="V30" s="10">
        <f>MAX(Tabella2[[#This Row],[New_Recovered_fit]]-CId,0)</f>
        <v>0</v>
      </c>
      <c r="W30" s="10">
        <f>'dpc-covid19-ita-andamento-naz'!K24</f>
        <v>2503</v>
      </c>
      <c r="X30" s="26">
        <f>Tabella2[[#This Row],[Cum_deaths]]-W29</f>
        <v>345</v>
      </c>
      <c r="Y30" s="65">
        <f>Tabella2[[#This Row],[New deaths]]*NOT(ISBLANK(Tabella2[[#This Row],[New deaths]]))</f>
        <v>345</v>
      </c>
      <c r="Z30" s="50">
        <f>kt*t0t*_xlfn.GAMMA.DIST(Tabella2[[#This Row],[Day]]/t0t,wt+1,1,1)*_xlfn.GAMMA(wt+1)</f>
        <v>2559.225466730119</v>
      </c>
      <c r="AA30" s="10">
        <f>kt*((Tabella2[[#This Row],[Day]]/t0t)^wt)*EXP(-(Tabella2[[#This Row],[Day]]/t0t))</f>
        <v>472.14431867434485</v>
      </c>
      <c r="AB30" s="65">
        <f>Tabella2[[#This Row],[New_Deaths_fit]]*NOT(ISBLANK(Tabella2[[#This Row],[New deaths]]))</f>
        <v>472.14431867434485</v>
      </c>
      <c r="AC30" s="10">
        <f>Tabella2[[#This Row],[New_Deaths_fit]]+CIt</f>
        <v>617.44844390217816</v>
      </c>
      <c r="AD30" s="10">
        <f>MAX(Tabella2[[#This Row],[New_Deaths_fit]]-CIt,0)</f>
        <v>326.84019344651153</v>
      </c>
      <c r="AE30" s="1"/>
      <c r="AF30" s="93" t="s">
        <v>70</v>
      </c>
      <c r="AG30" s="94">
        <f>_xlfn.XLOOKUP(ROUND(wd*t0d,0),Tabella2[Day],Tabella2[Date])</f>
        <v>43948</v>
      </c>
      <c r="AT30" s="83">
        <f>{32767;32767;0.000001;0;FALSE;FALSE;TRUE;1;1;1;0.0001;TRUE}</f>
        <v>32767</v>
      </c>
    </row>
    <row r="31" spans="2:46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Tabella2[[#This Row],[New cases]]*NOT(ISBLANK(Tabella2[[#This Row],[New cases]]))</f>
        <v>4207</v>
      </c>
      <c r="G31" s="50">
        <f>kn*t0n*_xlfn.GAMMA.DIST(Tabella2[[#This Row],[Day]]/t0n,wn+1,1,1)*_xlfn.GAMMA(wn+1)</f>
        <v>38276.329078842056</v>
      </c>
      <c r="H31" s="10">
        <f>kn*((Tabella2[[#This Row],[Day]]/t0n)^wn)*EXP(-(Tabella2[[#This Row],[Day]]/t0n))</f>
        <v>4667.096049636838</v>
      </c>
      <c r="I31" s="56">
        <f>Tabella2[[#This Row],[New_cases_fit]]*NOT(ISBLANK(Tabella2[[#This Row],[New cases]]))</f>
        <v>4667.096049636838</v>
      </c>
      <c r="J31" s="10">
        <f>Tabella2[[#This Row],[New_cases_fit]]+CIn</f>
        <v>5887.3576257724217</v>
      </c>
      <c r="K31" s="10">
        <f>MAX(Tabella2[[#This Row],[New_cases_fit]]-CIn,0)</f>
        <v>3446.8344735012543</v>
      </c>
      <c r="L31" s="54">
        <f>'dpc-covid19-ita-andamento-naz'!G25</f>
        <v>28710</v>
      </c>
      <c r="M31" s="54">
        <f>'dpc-covid19-ita-andamento-naz'!H25</f>
        <v>2648</v>
      </c>
      <c r="N31" s="54">
        <f>Tabella2[[#This Row],[New_cases_fit]]-Tabella2[[#This Row],[New_Recovered_fit]]-Tabella2[[#This Row],[New_Deaths_fit]]</f>
        <v>3585.0299207947328</v>
      </c>
      <c r="O31" s="10">
        <f>'dpc-covid19-ita-andamento-naz'!J25</f>
        <v>4025</v>
      </c>
      <c r="P31" s="48">
        <f>Tabella2[[#This Row],[Cum_recov]]-O30</f>
        <v>1084</v>
      </c>
      <c r="Q31" s="60">
        <f>Tabella2[[#This Row],[New recovered]]*NOT(ISBLANK(Tabella2[[#This Row],[New recovered]]))</f>
        <v>1084</v>
      </c>
      <c r="R31" s="50">
        <f>kd*t0d*_xlfn.GAMMA.DIST(Tabella2[[#This Row],[Day]]/t0d,wd+1,1,1)*_xlfn.GAMMA(wd+1)</f>
        <v>3878.0637956262854</v>
      </c>
      <c r="S31" s="10">
        <f>kd*((Tabella2[[#This Row],[Day]]/t0d)^wd)*EXP(-(Tabella2[[#This Row],[Day]]/t0d))</f>
        <v>562.17368603937575</v>
      </c>
      <c r="T31" s="60">
        <f>Tabella2[[#This Row],[New_Recovered_fit]]*NOT(ISBLANK(Tabella2[[#This Row],[New recovered]]))</f>
        <v>562.17368603937575</v>
      </c>
      <c r="U31" s="10">
        <f>Tabella2[[#This Row],[New_Recovered_fit]]+CId</f>
        <v>1095.6517097150206</v>
      </c>
      <c r="V31" s="10">
        <f>MAX(Tabella2[[#This Row],[New_Recovered_fit]]-CId,0)</f>
        <v>28.695662363730889</v>
      </c>
      <c r="W31" s="10">
        <f>'dpc-covid19-ita-andamento-naz'!K25</f>
        <v>2978</v>
      </c>
      <c r="X31" s="26">
        <f>Tabella2[[#This Row],[Cum_deaths]]-W30</f>
        <v>475</v>
      </c>
      <c r="Y31" s="65">
        <f>Tabella2[[#This Row],[New deaths]]*NOT(ISBLANK(Tabella2[[#This Row],[New deaths]]))</f>
        <v>475</v>
      </c>
      <c r="Z31" s="50">
        <f>kt*t0t*_xlfn.GAMMA.DIST(Tabella2[[#This Row],[Day]]/t0t,wt+1,1,1)*_xlfn.GAMMA(wt+1)</f>
        <v>3055.4041405950684</v>
      </c>
      <c r="AA31" s="10">
        <f>kt*((Tabella2[[#This Row],[Day]]/t0t)^wt)*EXP(-(Tabella2[[#This Row],[Day]]/t0t))</f>
        <v>519.89244280272931</v>
      </c>
      <c r="AB31" s="65">
        <f>Tabella2[[#This Row],[New_Deaths_fit]]*NOT(ISBLANK(Tabella2[[#This Row],[New deaths]]))</f>
        <v>519.89244280272931</v>
      </c>
      <c r="AC31" s="10">
        <f>Tabella2[[#This Row],[New_Deaths_fit]]+CIt</f>
        <v>665.19656803056262</v>
      </c>
      <c r="AD31" s="10">
        <f>MAX(Tabella2[[#This Row],[New_Deaths_fit]]-CIt,0)</f>
        <v>374.588317574896</v>
      </c>
      <c r="AE31" s="1"/>
      <c r="AF31" s="23" t="s">
        <v>53</v>
      </c>
      <c r="AG31" s="69" t="s">
        <v>96</v>
      </c>
      <c r="AT31" s="83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Tabella2[[#This Row],[New cases]]*NOT(ISBLANK(Tabella2[[#This Row],[New cases]]))</f>
        <v>5322</v>
      </c>
      <c r="G32" s="50">
        <f>kn*t0n*_xlfn.GAMMA.DIST(Tabella2[[#This Row],[Day]]/t0n,wn+1,1,1)*_xlfn.GAMMA(wn+1)</f>
        <v>43042.048068744916</v>
      </c>
      <c r="H32" s="10">
        <f>kn*((Tabella2[[#This Row],[Day]]/t0n)^wn)*EXP(-(Tabella2[[#This Row],[Day]]/t0n))</f>
        <v>4859.404756100399</v>
      </c>
      <c r="I32" s="56">
        <f>Tabella2[[#This Row],[New_cases_fit]]*NOT(ISBLANK(Tabella2[[#This Row],[New cases]]))</f>
        <v>4859.404756100399</v>
      </c>
      <c r="J32" s="10">
        <f>Tabella2[[#This Row],[New_cases_fit]]+CIn</f>
        <v>6079.6663322359827</v>
      </c>
      <c r="K32" s="10">
        <f>MAX(Tabella2[[#This Row],[New_cases_fit]]-CIn,0)</f>
        <v>3639.1431799648153</v>
      </c>
      <c r="L32" s="54">
        <f>'dpc-covid19-ita-andamento-naz'!G26</f>
        <v>33190</v>
      </c>
      <c r="M32" s="54">
        <f>'dpc-covid19-ita-andamento-naz'!H26</f>
        <v>4480</v>
      </c>
      <c r="N32" s="54">
        <f>Tabella2[[#This Row],[New_cases_fit]]-Tabella2[[#This Row],[New_Recovered_fit]]-Tabella2[[#This Row],[New_Deaths_fit]]</f>
        <v>3680.7725317377794</v>
      </c>
      <c r="O32" s="10">
        <f>'dpc-covid19-ita-andamento-naz'!J26</f>
        <v>4440</v>
      </c>
      <c r="P32" s="48">
        <f>Tabella2[[#This Row],[Cum_recov]]-O31</f>
        <v>415</v>
      </c>
      <c r="Q32" s="60">
        <f>Tabella2[[#This Row],[New recovered]]*NOT(ISBLANK(Tabella2[[#This Row],[New recovered]]))</f>
        <v>415</v>
      </c>
      <c r="R32" s="50">
        <f>kd*t0d*_xlfn.GAMMA.DIST(Tabella2[[#This Row],[Day]]/t0d,wd+1,1,1)*_xlfn.GAMMA(wd+1)</f>
        <v>4465.732412945973</v>
      </c>
      <c r="S32" s="10">
        <f>kd*((Tabella2[[#This Row],[Day]]/t0d)^wd)*EXP(-(Tabella2[[#This Row],[Day]]/t0d))</f>
        <v>613.3296135938059</v>
      </c>
      <c r="T32" s="60">
        <f>Tabella2[[#This Row],[New_Recovered_fit]]*NOT(ISBLANK(Tabella2[[#This Row],[New recovered]]))</f>
        <v>613.3296135938059</v>
      </c>
      <c r="U32" s="10">
        <f>Tabella2[[#This Row],[New_Recovered_fit]]+CId</f>
        <v>1146.8076372694509</v>
      </c>
      <c r="V32" s="10">
        <f>MAX(Tabella2[[#This Row],[New_Recovered_fit]]-CId,0)</f>
        <v>79.851589918161039</v>
      </c>
      <c r="W32" s="10">
        <f>'dpc-covid19-ita-andamento-naz'!K26</f>
        <v>3405</v>
      </c>
      <c r="X32" s="26">
        <f>Tabella2[[#This Row],[Cum_deaths]]-W31</f>
        <v>427</v>
      </c>
      <c r="Y32" s="65">
        <f>Tabella2[[#This Row],[New deaths]]*NOT(ISBLANK(Tabella2[[#This Row],[New deaths]]))</f>
        <v>427</v>
      </c>
      <c r="Z32" s="50">
        <f>kt*t0t*_xlfn.GAMMA.DIST(Tabella2[[#This Row],[Day]]/t0t,wt+1,1,1)*_xlfn.GAMMA(wt+1)</f>
        <v>3598.2299898000206</v>
      </c>
      <c r="AA32" s="10">
        <f>kt*((Tabella2[[#This Row],[Day]]/t0t)^wt)*EXP(-(Tabella2[[#This Row],[Day]]/t0t))</f>
        <v>565.30261076881345</v>
      </c>
      <c r="AB32" s="65">
        <f>Tabella2[[#This Row],[New_Deaths_fit]]*NOT(ISBLANK(Tabella2[[#This Row],[New deaths]]))</f>
        <v>565.30261076881345</v>
      </c>
      <c r="AC32" s="10">
        <f>Tabella2[[#This Row],[New_Deaths_fit]]+CIt</f>
        <v>710.60673599664676</v>
      </c>
      <c r="AD32" s="10">
        <f>MAX(Tabella2[[#This Row],[New_Deaths_fit]]-CIt,0)</f>
        <v>419.99848554098014</v>
      </c>
      <c r="AE32" s="1"/>
      <c r="AF32" s="70" t="s">
        <v>105</v>
      </c>
      <c r="AG32" s="71">
        <f>kh</f>
        <v>2.0075885154267463</v>
      </c>
      <c r="AT32" s="83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Tabella2[[#This Row],[New cases]]*NOT(ISBLANK(Tabella2[[#This Row],[New cases]]))</f>
        <v>5986</v>
      </c>
      <c r="G33" s="50">
        <f>kn*t0n*_xlfn.GAMMA.DIST(Tabella2[[#This Row],[Day]]/t0n,wn+1,1,1)*_xlfn.GAMMA(wn+1)</f>
        <v>47985.123215984298</v>
      </c>
      <c r="H33" s="10">
        <f>kn*((Tabella2[[#This Row],[Day]]/t0n)^wn)*EXP(-(Tabella2[[#This Row],[Day]]/t0n))</f>
        <v>5021.6875012318742</v>
      </c>
      <c r="I33" s="56">
        <f>Tabella2[[#This Row],[New_cases_fit]]*NOT(ISBLANK(Tabella2[[#This Row],[New cases]]))</f>
        <v>5021.6875012318742</v>
      </c>
      <c r="J33" s="10">
        <f>Tabella2[[#This Row],[New_cases_fit]]+CIn</f>
        <v>6241.9490773674579</v>
      </c>
      <c r="K33" s="10">
        <f>MAX(Tabella2[[#This Row],[New_cases_fit]]-CIn,0)</f>
        <v>3801.4259250962905</v>
      </c>
      <c r="L33" s="54">
        <f>'dpc-covid19-ita-andamento-naz'!G27</f>
        <v>37860</v>
      </c>
      <c r="M33" s="54">
        <f>'dpc-covid19-ita-andamento-naz'!H27</f>
        <v>4670</v>
      </c>
      <c r="N33" s="54">
        <f>Tabella2[[#This Row],[New_cases_fit]]-Tabella2[[#This Row],[New_Recovered_fit]]-Tabella2[[#This Row],[New_Deaths_fit]]</f>
        <v>3748.7068108306012</v>
      </c>
      <c r="O33" s="10">
        <f>'dpc-covid19-ita-andamento-naz'!J27</f>
        <v>5129</v>
      </c>
      <c r="P33" s="48">
        <f>Tabella2[[#This Row],[Cum_recov]]-O32</f>
        <v>689</v>
      </c>
      <c r="Q33" s="60">
        <f>Tabella2[[#This Row],[New recovered]]*NOT(ISBLANK(Tabella2[[#This Row],[New recovered]]))</f>
        <v>689</v>
      </c>
      <c r="R33" s="50">
        <f>kd*t0d*_xlfn.GAMMA.DIST(Tabella2[[#This Row],[Day]]/t0d,wd+1,1,1)*_xlfn.GAMMA(wd+1)</f>
        <v>5105.0184361609572</v>
      </c>
      <c r="S33" s="10">
        <f>kd*((Tabella2[[#This Row],[Day]]/t0d)^wd)*EXP(-(Tabella2[[#This Row],[Day]]/t0d))</f>
        <v>665.37189055928604</v>
      </c>
      <c r="T33" s="60">
        <f>Tabella2[[#This Row],[New_Recovered_fit]]*NOT(ISBLANK(Tabella2[[#This Row],[New recovered]]))</f>
        <v>665.37189055928604</v>
      </c>
      <c r="U33" s="10">
        <f>Tabella2[[#This Row],[New_Recovered_fit]]+CId</f>
        <v>1198.849914234931</v>
      </c>
      <c r="V33" s="10">
        <f>MAX(Tabella2[[#This Row],[New_Recovered_fit]]-CId,0)</f>
        <v>131.89386688364118</v>
      </c>
      <c r="W33" s="10">
        <f>'dpc-covid19-ita-andamento-naz'!K27</f>
        <v>4032</v>
      </c>
      <c r="X33" s="26">
        <f>Tabella2[[#This Row],[Cum_deaths]]-W32</f>
        <v>627</v>
      </c>
      <c r="Y33" s="65">
        <f>Tabella2[[#This Row],[New deaths]]*NOT(ISBLANK(Tabella2[[#This Row],[New deaths]]))</f>
        <v>627</v>
      </c>
      <c r="Z33" s="50">
        <f>kt*t0t*_xlfn.GAMMA.DIST(Tabella2[[#This Row],[Day]]/t0t,wt+1,1,1)*_xlfn.GAMMA(wt+1)</f>
        <v>4184.973468064336</v>
      </c>
      <c r="AA33" s="10">
        <f>kt*((Tabella2[[#This Row],[Day]]/t0t)^wt)*EXP(-(Tabella2[[#This Row],[Day]]/t0t))</f>
        <v>607.60879984198721</v>
      </c>
      <c r="AB33" s="65">
        <f>Tabella2[[#This Row],[New_Deaths_fit]]*NOT(ISBLANK(Tabella2[[#This Row],[New deaths]]))</f>
        <v>607.60879984198721</v>
      </c>
      <c r="AC33" s="10">
        <f>Tabella2[[#This Row],[New_Deaths_fit]]+CIt</f>
        <v>752.91292506982052</v>
      </c>
      <c r="AD33" s="10">
        <f>MAX(Tabella2[[#This Row],[New_Deaths_fit]]-CIt,0)</f>
        <v>462.3046746141539</v>
      </c>
      <c r="AE33" s="1"/>
      <c r="AF33" s="70" t="s">
        <v>86</v>
      </c>
      <c r="AG33" s="71">
        <f>t0h</f>
        <v>5.0093968449710848</v>
      </c>
      <c r="AT33" s="84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Tabella2[[#This Row],[New cases]]*NOT(ISBLANK(Tabella2[[#This Row],[New cases]]))</f>
        <v>6557</v>
      </c>
      <c r="G34" s="50">
        <f>kn*t0n*_xlfn.GAMMA.DIST(Tabella2[[#This Row],[Day]]/t0n,wn+1,1,1)*_xlfn.GAMMA(wn+1)</f>
        <v>53075.263626824664</v>
      </c>
      <c r="H34" s="10">
        <f>kn*((Tabella2[[#This Row],[Day]]/t0n)^wn)*EXP(-(Tabella2[[#This Row],[Day]]/t0n))</f>
        <v>5153.5099273076185</v>
      </c>
      <c r="I34" s="56">
        <f>Tabella2[[#This Row],[New_cases_fit]]*NOT(ISBLANK(Tabella2[[#This Row],[New cases]]))</f>
        <v>5153.5099273076185</v>
      </c>
      <c r="J34" s="10">
        <f>Tabella2[[#This Row],[New_cases_fit]]+CIn</f>
        <v>6373.7715034432022</v>
      </c>
      <c r="K34" s="10">
        <f>MAX(Tabella2[[#This Row],[New_cases_fit]]-CIn,0)</f>
        <v>3933.2483511720347</v>
      </c>
      <c r="L34" s="54">
        <f>'dpc-covid19-ita-andamento-naz'!G28</f>
        <v>42681</v>
      </c>
      <c r="M34" s="54">
        <f>'dpc-covid19-ita-andamento-naz'!H28</f>
        <v>4821</v>
      </c>
      <c r="N34" s="54">
        <f>Tabella2[[#This Row],[New_cases_fit]]-Tabella2[[#This Row],[New_Recovered_fit]]-Tabella2[[#This Row],[New_Deaths_fit]]</f>
        <v>3789.2718097624202</v>
      </c>
      <c r="O34" s="10">
        <f>'dpc-covid19-ita-andamento-naz'!J28</f>
        <v>6072</v>
      </c>
      <c r="P34" s="48">
        <f>Tabella2[[#This Row],[Cum_recov]]-O33</f>
        <v>943</v>
      </c>
      <c r="Q34" s="60">
        <f>Tabella2[[#This Row],[New recovered]]*NOT(ISBLANK(Tabella2[[#This Row],[New recovered]]))</f>
        <v>943</v>
      </c>
      <c r="R34" s="50">
        <f>kd*t0d*_xlfn.GAMMA.DIST(Tabella2[[#This Row],[Day]]/t0d,wd+1,1,1)*_xlfn.GAMMA(wd+1)</f>
        <v>5796.699016735196</v>
      </c>
      <c r="S34" s="10">
        <f>kd*((Tabella2[[#This Row],[Day]]/t0d)^wd)*EXP(-(Tabella2[[#This Row],[Day]]/t0d))</f>
        <v>718.08279464060502</v>
      </c>
      <c r="T34" s="60">
        <f>Tabella2[[#This Row],[New_Recovered_fit]]*NOT(ISBLANK(Tabella2[[#This Row],[New recovered]]))</f>
        <v>718.08279464060502</v>
      </c>
      <c r="U34" s="10">
        <f>Tabella2[[#This Row],[New_Recovered_fit]]+CId</f>
        <v>1251.5608183162499</v>
      </c>
      <c r="V34" s="10">
        <f>MAX(Tabella2[[#This Row],[New_Recovered_fit]]-CId,0)</f>
        <v>184.60477096496015</v>
      </c>
      <c r="W34" s="10">
        <f>'dpc-covid19-ita-andamento-naz'!K28</f>
        <v>4825</v>
      </c>
      <c r="X34" s="26">
        <f>Tabella2[[#This Row],[Cum_deaths]]-W33</f>
        <v>793</v>
      </c>
      <c r="Y34" s="65">
        <f>Tabella2[[#This Row],[New deaths]]*NOT(ISBLANK(Tabella2[[#This Row],[New deaths]]))</f>
        <v>793</v>
      </c>
      <c r="Z34" s="50">
        <f>kt*t0t*_xlfn.GAMMA.DIST(Tabella2[[#This Row],[Day]]/t0t,wt+1,1,1)*_xlfn.GAMMA(wt+1)</f>
        <v>4812.1930135948587</v>
      </c>
      <c r="AA34" s="10">
        <f>kt*((Tabella2[[#This Row],[Day]]/t0t)^wt)*EXP(-(Tabella2[[#This Row],[Day]]/t0t))</f>
        <v>646.15532290459316</v>
      </c>
      <c r="AB34" s="65">
        <f>Tabella2[[#This Row],[New_Deaths_fit]]*NOT(ISBLANK(Tabella2[[#This Row],[New deaths]]))</f>
        <v>646.15532290459316</v>
      </c>
      <c r="AC34" s="10">
        <f>Tabella2[[#This Row],[New_Deaths_fit]]+CIt</f>
        <v>791.45944813242647</v>
      </c>
      <c r="AD34" s="10">
        <f>MAX(Tabella2[[#This Row],[New_Deaths_fit]]-CIt,0)</f>
        <v>500.85119767675985</v>
      </c>
      <c r="AE34" s="1"/>
      <c r="AF34" s="70" t="s">
        <v>1</v>
      </c>
      <c r="AG34" s="71">
        <f>wh</f>
        <v>6.6580505435120383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Tabella2[[#This Row],[New cases]]*NOT(ISBLANK(Tabella2[[#This Row],[New cases]]))</f>
        <v>5560</v>
      </c>
      <c r="G35" s="50">
        <f>kn*t0n*_xlfn.GAMMA.DIST(Tabella2[[#This Row],[Day]]/t0n,wn+1,1,1)*_xlfn.GAMMA(wn+1)</f>
        <v>58282.019579486412</v>
      </c>
      <c r="H35" s="10">
        <f>kn*((Tabella2[[#This Row],[Day]]/t0n)^wn)*EXP(-(Tabella2[[#This Row],[Day]]/t0n))</f>
        <v>5254.9776052959041</v>
      </c>
      <c r="I35" s="56">
        <f>Tabella2[[#This Row],[New_cases_fit]]*NOT(ISBLANK(Tabella2[[#This Row],[New cases]]))</f>
        <v>5254.9776052959041</v>
      </c>
      <c r="J35" s="10">
        <f>Tabella2[[#This Row],[New_cases_fit]]+CIn</f>
        <v>6475.2391814314879</v>
      </c>
      <c r="K35" s="10">
        <f>MAX(Tabella2[[#This Row],[New_cases_fit]]-CIn,0)</f>
        <v>4034.7160291603204</v>
      </c>
      <c r="L35" s="54">
        <f>'dpc-covid19-ita-andamento-naz'!G29</f>
        <v>46638</v>
      </c>
      <c r="M35" s="54">
        <f>'dpc-covid19-ita-andamento-naz'!H29</f>
        <v>3957</v>
      </c>
      <c r="N35" s="54">
        <f>Tabella2[[#This Row],[New_cases_fit]]-Tabella2[[#This Row],[New_Recovered_fit]]-Tabella2[[#This Row],[New_Deaths_fit]]</f>
        <v>3803.320611928832</v>
      </c>
      <c r="O35" s="10">
        <f>'dpc-covid19-ita-andamento-naz'!J29</f>
        <v>7024</v>
      </c>
      <c r="P35" s="48">
        <f>Tabella2[[#This Row],[Cum_recov]]-O34</f>
        <v>952</v>
      </c>
      <c r="Q35" s="60">
        <f>Tabella2[[#This Row],[New recovered]]*NOT(ISBLANK(Tabella2[[#This Row],[New recovered]]))</f>
        <v>952</v>
      </c>
      <c r="R35" s="50">
        <f>kd*t0d*_xlfn.GAMMA.DIST(Tabella2[[#This Row],[Day]]/t0d,wd+1,1,1)*_xlfn.GAMMA(wd+1)</f>
        <v>6541.3358422935798</v>
      </c>
      <c r="S35" s="10">
        <f>kd*((Tabella2[[#This Row],[Day]]/t0d)^wd)*EXP(-(Tabella2[[#This Row],[Day]]/t0d))</f>
        <v>771.24935090122483</v>
      </c>
      <c r="T35" s="60">
        <f>Tabella2[[#This Row],[New_Recovered_fit]]*NOT(ISBLANK(Tabella2[[#This Row],[New recovered]]))</f>
        <v>771.24935090122483</v>
      </c>
      <c r="U35" s="10">
        <f>Tabella2[[#This Row],[New_Recovered_fit]]+CId</f>
        <v>1304.7273745768698</v>
      </c>
      <c r="V35" s="10">
        <f>MAX(Tabella2[[#This Row],[New_Recovered_fit]]-CId,0)</f>
        <v>237.77132722557997</v>
      </c>
      <c r="W35" s="10">
        <f>'dpc-covid19-ita-andamento-naz'!K29</f>
        <v>5476</v>
      </c>
      <c r="X35" s="26">
        <f>Tabella2[[#This Row],[Cum_deaths]]-W34</f>
        <v>651</v>
      </c>
      <c r="Y35" s="65">
        <f>Tabella2[[#This Row],[New deaths]]*NOT(ISBLANK(Tabella2[[#This Row],[New deaths]]))</f>
        <v>651</v>
      </c>
      <c r="Z35" s="50">
        <f>kt*t0t*_xlfn.GAMMA.DIST(Tabella2[[#This Row],[Day]]/t0t,wt+1,1,1)*_xlfn.GAMMA(wt+1)</f>
        <v>5475.8513046403714</v>
      </c>
      <c r="AA35" s="10">
        <f>kt*((Tabella2[[#This Row],[Day]]/t0t)^wt)*EXP(-(Tabella2[[#This Row],[Day]]/t0t))</f>
        <v>680.40764246584752</v>
      </c>
      <c r="AB35" s="65">
        <f>Tabella2[[#This Row],[New_Deaths_fit]]*NOT(ISBLANK(Tabella2[[#This Row],[New deaths]]))</f>
        <v>680.40764246584752</v>
      </c>
      <c r="AC35" s="10">
        <f>Tabella2[[#This Row],[New_Deaths_fit]]+CIt</f>
        <v>825.71176769368083</v>
      </c>
      <c r="AD35" s="10">
        <f>MAX(Tabella2[[#This Row],[New_Deaths_fit]]-CIt,0)</f>
        <v>535.10351723801421</v>
      </c>
      <c r="AF35" s="72" t="s">
        <v>2</v>
      </c>
      <c r="AG35" s="35">
        <f>AVERAGE(Tabella2[New deaths])</f>
        <v>417.51020408163265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Tabella2[[#This Row],[New cases]]*NOT(ISBLANK(Tabella2[[#This Row],[New cases]]))</f>
        <v>4789</v>
      </c>
      <c r="G36" s="50">
        <f>kn*t0n*_xlfn.GAMMA.DIST(Tabella2[[#This Row],[Day]]/t0n,wn+1,1,1)*_xlfn.GAMMA(wn+1)</f>
        <v>63575.288516031142</v>
      </c>
      <c r="H36" s="10">
        <f>kn*((Tabella2[[#This Row],[Day]]/t0n)^wn)*EXP(-(Tabella2[[#This Row],[Day]]/t0n))</f>
        <v>5326.6677125317165</v>
      </c>
      <c r="I36" s="56">
        <f>Tabella2[[#This Row],[New_cases_fit]]*NOT(ISBLANK(Tabella2[[#This Row],[New cases]]))</f>
        <v>5326.6677125317165</v>
      </c>
      <c r="J36" s="10">
        <f>Tabella2[[#This Row],[New_cases_fit]]+CIn</f>
        <v>6546.9292886673002</v>
      </c>
      <c r="K36" s="10">
        <f>MAX(Tabella2[[#This Row],[New_cases_fit]]-CIn,0)</f>
        <v>4106.4061363961328</v>
      </c>
      <c r="L36" s="54">
        <f>'dpc-covid19-ita-andamento-naz'!G30</f>
        <v>50418</v>
      </c>
      <c r="M36" s="54">
        <f>'dpc-covid19-ita-andamento-naz'!H30</f>
        <v>3780</v>
      </c>
      <c r="N36" s="54">
        <f>Tabella2[[#This Row],[New_cases_fit]]-Tabella2[[#This Row],[New_Recovered_fit]]-Tabella2[[#This Row],[New_Deaths_fit]]</f>
        <v>3792.0457695640607</v>
      </c>
      <c r="O36" s="10">
        <f>'dpc-covid19-ita-andamento-naz'!J30</f>
        <v>7432</v>
      </c>
      <c r="P36" s="48">
        <f>Tabella2[[#This Row],[Cum_recov]]-O35</f>
        <v>408</v>
      </c>
      <c r="Q36" s="60">
        <f>Tabella2[[#This Row],[New recovered]]*NOT(ISBLANK(Tabella2[[#This Row],[New recovered]]))</f>
        <v>408</v>
      </c>
      <c r="R36" s="50">
        <f>kd*t0d*_xlfn.GAMMA.DIST(Tabella2[[#This Row],[Day]]/t0d,wd+1,1,1)*_xlfn.GAMMA(wd+1)</f>
        <v>7339.2805401421174</v>
      </c>
      <c r="S36" s="10">
        <f>kd*((Tabella2[[#This Row],[Day]]/t0d)^wd)*EXP(-(Tabella2[[#This Row],[Day]]/t0d))</f>
        <v>824.66460949563918</v>
      </c>
      <c r="T36" s="60">
        <f>Tabella2[[#This Row],[New_Recovered_fit]]*NOT(ISBLANK(Tabella2[[#This Row],[New recovered]]))</f>
        <v>824.66460949563918</v>
      </c>
      <c r="U36" s="10">
        <f>Tabella2[[#This Row],[New_Recovered_fit]]+CId</f>
        <v>1358.1426331712842</v>
      </c>
      <c r="V36" s="10">
        <f>MAX(Tabella2[[#This Row],[New_Recovered_fit]]-CId,0)</f>
        <v>291.18658581999432</v>
      </c>
      <c r="W36" s="10">
        <f>'dpc-covid19-ita-andamento-naz'!K30</f>
        <v>6077</v>
      </c>
      <c r="X36" s="26">
        <f>Tabella2[[#This Row],[Cum_deaths]]-W35</f>
        <v>601</v>
      </c>
      <c r="Y36" s="65">
        <f>Tabella2[[#This Row],[New deaths]]*NOT(ISBLANK(Tabella2[[#This Row],[New deaths]]))</f>
        <v>601</v>
      </c>
      <c r="Z36" s="50">
        <f>kt*t0t*_xlfn.GAMMA.DIST(Tabella2[[#This Row],[Day]]/t0t,wt+1,1,1)*_xlfn.GAMMA(wt+1)</f>
        <v>6171.4393506477199</v>
      </c>
      <c r="AA36" s="10">
        <f>kt*((Tabella2[[#This Row],[Day]]/t0t)^wt)*EXP(-(Tabella2[[#This Row],[Day]]/t0t))</f>
        <v>709.95733347201599</v>
      </c>
      <c r="AB36" s="65">
        <f>Tabella2[[#This Row],[New_Deaths_fit]]*NOT(ISBLANK(Tabella2[[#This Row],[New deaths]]))</f>
        <v>709.95733347201599</v>
      </c>
      <c r="AC36" s="10">
        <f>Tabella2[[#This Row],[New_Deaths_fit]]+CIt</f>
        <v>855.2614586998493</v>
      </c>
      <c r="AD36" s="10">
        <f>MAX(Tabella2[[#This Row],[New_Deaths_fit]]-CIt,0)</f>
        <v>564.65320824418268</v>
      </c>
      <c r="AF36" s="72" t="s">
        <v>3</v>
      </c>
      <c r="AG36" s="35">
        <f>COUNT(Tabella2[New deaths])-COUNT(AG32:AG34)</f>
        <v>46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Tabella2[[#This Row],[New cases]]*NOT(ISBLANK(Tabella2[[#This Row],[New cases]]))</f>
        <v>5249</v>
      </c>
      <c r="G37" s="50">
        <f>kn*t0n*_xlfn.GAMMA.DIST(Tabella2[[#This Row],[Day]]/t0n,wn+1,1,1)*_xlfn.GAMMA(wn+1)</f>
        <v>68925.751816432428</v>
      </c>
      <c r="H37" s="10">
        <f>kn*((Tabella2[[#This Row],[Day]]/t0n)^wn)*EXP(-(Tabella2[[#This Row],[Day]]/t0n))</f>
        <v>5369.5593505518118</v>
      </c>
      <c r="I37" s="56">
        <f>Tabella2[[#This Row],[New_cases_fit]]*NOT(ISBLANK(Tabella2[[#This Row],[New cases]]))</f>
        <v>5369.5593505518118</v>
      </c>
      <c r="J37" s="10">
        <f>Tabella2[[#This Row],[New_cases_fit]]+CIn</f>
        <v>6589.8209266873955</v>
      </c>
      <c r="K37" s="10">
        <f>MAX(Tabella2[[#This Row],[New_cases_fit]]-CIn,0)</f>
        <v>4149.2977744162281</v>
      </c>
      <c r="L37" s="54">
        <f>'dpc-covid19-ita-andamento-naz'!G31</f>
        <v>54030</v>
      </c>
      <c r="M37" s="54">
        <f>'dpc-covid19-ita-andamento-naz'!H31</f>
        <v>3612</v>
      </c>
      <c r="N37" s="54">
        <f>Tabella2[[#This Row],[New_cases_fit]]-Tabella2[[#This Row],[New_Recovered_fit]]-Tabella2[[#This Row],[New_Deaths_fit]]</f>
        <v>3756.9087165870897</v>
      </c>
      <c r="O37" s="10">
        <f>'dpc-covid19-ita-andamento-naz'!J31</f>
        <v>8326</v>
      </c>
      <c r="P37" s="48">
        <f>Tabella2[[#This Row],[Cum_recov]]-O36</f>
        <v>894</v>
      </c>
      <c r="Q37" s="60">
        <f>Tabella2[[#This Row],[New recovered]]*NOT(ISBLANK(Tabella2[[#This Row],[New recovered]]))</f>
        <v>894</v>
      </c>
      <c r="R37" s="50">
        <f>kd*t0d*_xlfn.GAMMA.DIST(Tabella2[[#This Row],[Day]]/t0d,wd+1,1,1)*_xlfn.GAMMA(wd+1)</f>
        <v>8190.6812576529128</v>
      </c>
      <c r="S37" s="10">
        <f>kd*((Tabella2[[#This Row],[Day]]/t0d)^wd)*EXP(-(Tabella2[[#This Row],[Day]]/t0d))</f>
        <v>878.12872454983449</v>
      </c>
      <c r="T37" s="60">
        <f>Tabella2[[#This Row],[New_Recovered_fit]]*NOT(ISBLANK(Tabella2[[#This Row],[New recovered]]))</f>
        <v>878.12872454983449</v>
      </c>
      <c r="U37" s="10">
        <f>Tabella2[[#This Row],[New_Recovered_fit]]+CId</f>
        <v>1411.6067482254794</v>
      </c>
      <c r="V37" s="10">
        <f>MAX(Tabella2[[#This Row],[New_Recovered_fit]]-CId,0)</f>
        <v>344.65070087418962</v>
      </c>
      <c r="W37" s="10">
        <f>'dpc-covid19-ita-andamento-naz'!K31</f>
        <v>6820</v>
      </c>
      <c r="X37" s="26">
        <f>Tabella2[[#This Row],[Cum_deaths]]-W36</f>
        <v>743</v>
      </c>
      <c r="Y37" s="65">
        <f>Tabella2[[#This Row],[New deaths]]*NOT(ISBLANK(Tabella2[[#This Row],[New deaths]]))</f>
        <v>743</v>
      </c>
      <c r="Z37" s="50">
        <f>kt*t0t*_xlfn.GAMMA.DIST(Tabella2[[#This Row],[Day]]/t0t,wt+1,1,1)*_xlfn.GAMMA(wt+1)</f>
        <v>6894.1029125236855</v>
      </c>
      <c r="AA37" s="10">
        <f>kt*((Tabella2[[#This Row],[Day]]/t0t)^wt)*EXP(-(Tabella2[[#This Row],[Day]]/t0t))</f>
        <v>734.521909414888</v>
      </c>
      <c r="AB37" s="65">
        <f>Tabella2[[#This Row],[New_Deaths_fit]]*NOT(ISBLANK(Tabella2[[#This Row],[New deaths]]))</f>
        <v>734.521909414888</v>
      </c>
      <c r="AC37" s="10">
        <f>Tabella2[[#This Row],[New_Deaths_fit]]+CIt</f>
        <v>879.82603464272131</v>
      </c>
      <c r="AD37" s="10">
        <f>MAX(Tabella2[[#This Row],[New_Deaths_fit]]-CIt,0)</f>
        <v>589.21778418705469</v>
      </c>
      <c r="AF37" s="72" t="s">
        <v>4</v>
      </c>
      <c r="AG37" s="73" cm="1">
        <f t="array" ref="AG37">SQRT(SUM((Tabella2[Colonna5]-Tabella2[Colonna6])^2)/dft)</f>
        <v>72.186617778803836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Tabella2[[#This Row],[New cases]]*NOT(ISBLANK(Tabella2[[#This Row],[New cases]]))</f>
        <v>5210</v>
      </c>
      <c r="G38" s="50">
        <f>kn*t0n*_xlfn.GAMMA.DIST(Tabella2[[#This Row],[Day]]/t0n,wn+1,1,1)*_xlfn.GAMMA(wn+1)</f>
        <v>74305.242193620506</v>
      </c>
      <c r="H38" s="10">
        <f>kn*((Tabella2[[#This Row],[Day]]/t0n)^wn)*EXP(-(Tabella2[[#This Row],[Day]]/t0n))</f>
        <v>5384.9648074574961</v>
      </c>
      <c r="I38" s="56">
        <f>Tabella2[[#This Row],[New_cases_fit]]*NOT(ISBLANK(Tabella2[[#This Row],[New cases]]))</f>
        <v>5384.9648074574961</v>
      </c>
      <c r="J38" s="10">
        <f>Tabella2[[#This Row],[New_cases_fit]]+CIn</f>
        <v>6605.2263835930798</v>
      </c>
      <c r="K38" s="10">
        <f>MAX(Tabella2[[#This Row],[New_cases_fit]]-CIn,0)</f>
        <v>4164.7032313219124</v>
      </c>
      <c r="L38" s="54">
        <f>'dpc-covid19-ita-andamento-naz'!G32</f>
        <v>57521</v>
      </c>
      <c r="M38" s="54">
        <f>'dpc-covid19-ita-andamento-naz'!H32</f>
        <v>3491</v>
      </c>
      <c r="N38" s="54">
        <f>Tabella2[[#This Row],[New_cases_fit]]-Tabella2[[#This Row],[New_Recovered_fit]]-Tabella2[[#This Row],[New_Deaths_fit]]</f>
        <v>3699.5746183739789</v>
      </c>
      <c r="O38" s="10">
        <f>'dpc-covid19-ita-andamento-naz'!J32</f>
        <v>9362</v>
      </c>
      <c r="P38" s="48">
        <f>Tabella2[[#This Row],[Cum_recov]]-O37</f>
        <v>1036</v>
      </c>
      <c r="Q38" s="60">
        <f>Tabella2[[#This Row],[New recovered]]*NOT(ISBLANK(Tabella2[[#This Row],[New recovered]]))</f>
        <v>1036</v>
      </c>
      <c r="R38" s="50">
        <f>kd*t0d*_xlfn.GAMMA.DIST(Tabella2[[#This Row],[Day]]/t0d,wd+1,1,1)*_xlfn.GAMMA(wd+1)</f>
        <v>9095.4902292000461</v>
      </c>
      <c r="S38" s="10">
        <f>kd*((Tabella2[[#This Row],[Day]]/t0d)^wd)*EXP(-(Tabella2[[#This Row],[Day]]/t0d))</f>
        <v>931.44985115066925</v>
      </c>
      <c r="T38" s="60">
        <f>Tabella2[[#This Row],[New_Recovered_fit]]*NOT(ISBLANK(Tabella2[[#This Row],[New recovered]]))</f>
        <v>931.44985115066925</v>
      </c>
      <c r="U38" s="10">
        <f>Tabella2[[#This Row],[New_Recovered_fit]]+CId</f>
        <v>1464.9278748263141</v>
      </c>
      <c r="V38" s="10">
        <f>MAX(Tabella2[[#This Row],[New_Recovered_fit]]-CId,0)</f>
        <v>397.97182747502438</v>
      </c>
      <c r="W38" s="10">
        <f>'dpc-covid19-ita-andamento-naz'!K32</f>
        <v>7503</v>
      </c>
      <c r="X38" s="26">
        <f>Tabella2[[#This Row],[Cum_deaths]]-W37</f>
        <v>683</v>
      </c>
      <c r="Y38" s="65">
        <f>Tabella2[[#This Row],[New deaths]]*NOT(ISBLANK(Tabella2[[#This Row],[New deaths]]))</f>
        <v>683</v>
      </c>
      <c r="Z38" s="50">
        <f>kt*t0t*_xlfn.GAMMA.DIST(Tabella2[[#This Row],[Day]]/t0t,wt+1,1,1)*_xlfn.GAMMA(wt+1)</f>
        <v>7638.7665221683283</v>
      </c>
      <c r="AA38" s="10">
        <f>kt*((Tabella2[[#This Row],[Day]]/t0t)^wt)*EXP(-(Tabella2[[#This Row],[Day]]/t0t))</f>
        <v>753.94033793284837</v>
      </c>
      <c r="AB38" s="65">
        <f>Tabella2[[#This Row],[New_Deaths_fit]]*NOT(ISBLANK(Tabella2[[#This Row],[New deaths]]))</f>
        <v>753.94033793284837</v>
      </c>
      <c r="AC38" s="10">
        <f>Tabella2[[#This Row],[New_Deaths_fit]]+CIt</f>
        <v>899.24446316068168</v>
      </c>
      <c r="AD38" s="10">
        <f>MAX(Tabella2[[#This Row],[New_Deaths_fit]]-CIt,0)</f>
        <v>608.63621270501505</v>
      </c>
      <c r="AF38" s="72" t="s">
        <v>87</v>
      </c>
      <c r="AG38" s="74" cm="1">
        <f t="array" ref="AG38">1-SUM((Tabella2[Colonna5]-Tabella2[Colonna6])^2)/SUM((Tabella2[Colonna5]-Mean_of_yt)^2)</f>
        <v>0.97116808659904663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Tabella2[[#This Row],[New cases]]*NOT(ISBLANK(Tabella2[[#This Row],[New cases]]))</f>
        <v>6153</v>
      </c>
      <c r="G39" s="50">
        <f>kn*t0n*_xlfn.GAMMA.DIST(Tabella2[[#This Row],[Day]]/t0n,wn+1,1,1)*_xlfn.GAMMA(wn+1)</f>
        <v>79687.04358386551</v>
      </c>
      <c r="H39" s="10">
        <f>kn*((Tabella2[[#This Row],[Day]]/t0n)^wn)*EXP(-(Tabella2[[#This Row],[Day]]/t0n))</f>
        <v>5374.4635416735646</v>
      </c>
      <c r="I39" s="56">
        <f>Tabella2[[#This Row],[New_cases_fit]]*NOT(ISBLANK(Tabella2[[#This Row],[New cases]]))</f>
        <v>5374.4635416735646</v>
      </c>
      <c r="J39" s="10">
        <f>Tabella2[[#This Row],[New_cases_fit]]+CIn</f>
        <v>6594.7251178091483</v>
      </c>
      <c r="K39" s="10">
        <f>MAX(Tabella2[[#This Row],[New_cases_fit]]-CIn,0)</f>
        <v>4154.2019655379809</v>
      </c>
      <c r="L39" s="54">
        <f>'dpc-covid19-ita-andamento-naz'!G33</f>
        <v>62013</v>
      </c>
      <c r="M39" s="54">
        <f>'dpc-covid19-ita-andamento-naz'!H33</f>
        <v>4492</v>
      </c>
      <c r="N39" s="54">
        <f>Tabella2[[#This Row],[New_cases_fit]]-Tabella2[[#This Row],[New_Recovered_fit]]-Tabella2[[#This Row],[New_Deaths_fit]]</f>
        <v>3621.8535497549174</v>
      </c>
      <c r="O39" s="10">
        <f>'dpc-covid19-ita-andamento-naz'!J33</f>
        <v>10361</v>
      </c>
      <c r="P39" s="48">
        <f>Tabella2[[#This Row],[Cum_recov]]-O38</f>
        <v>999</v>
      </c>
      <c r="Q39" s="60">
        <f>Tabella2[[#This Row],[New recovered]]*NOT(ISBLANK(Tabella2[[#This Row],[New recovered]]))</f>
        <v>999</v>
      </c>
      <c r="R39" s="50">
        <f>kd*t0d*_xlfn.GAMMA.DIST(Tabella2[[#This Row],[Day]]/t0d,wd+1,1,1)*_xlfn.GAMMA(wd+1)</f>
        <v>10053.472155932479</v>
      </c>
      <c r="S39" s="10">
        <f>kd*((Tabella2[[#This Row],[Day]]/t0d)^wd)*EXP(-(Tabella2[[#This Row],[Day]]/t0d))</f>
        <v>984.44487666945417</v>
      </c>
      <c r="T39" s="60">
        <f>Tabella2[[#This Row],[New_Recovered_fit]]*NOT(ISBLANK(Tabella2[[#This Row],[New recovered]]))</f>
        <v>984.44487666945417</v>
      </c>
      <c r="U39" s="10">
        <f>Tabella2[[#This Row],[New_Recovered_fit]]+CId</f>
        <v>1517.9229003450992</v>
      </c>
      <c r="V39" s="10">
        <f>MAX(Tabella2[[#This Row],[New_Recovered_fit]]-CId,0)</f>
        <v>450.96685299380931</v>
      </c>
      <c r="W39" s="10">
        <f>'dpc-covid19-ita-andamento-naz'!K33</f>
        <v>8165</v>
      </c>
      <c r="X39" s="26">
        <f>Tabella2[[#This Row],[Cum_deaths]]-W38</f>
        <v>662</v>
      </c>
      <c r="Y39" s="65">
        <f>Tabella2[[#This Row],[New deaths]]*NOT(ISBLANK(Tabella2[[#This Row],[New deaths]]))</f>
        <v>662</v>
      </c>
      <c r="Z39" s="50">
        <f>kt*t0t*_xlfn.GAMMA.DIST(Tabella2[[#This Row],[Day]]/t0t,wt+1,1,1)*_xlfn.GAMMA(wt+1)</f>
        <v>8400.2512243200163</v>
      </c>
      <c r="AA39" s="10">
        <f>kt*((Tabella2[[#This Row],[Day]]/t0t)^wt)*EXP(-(Tabella2[[#This Row],[Day]]/t0t))</f>
        <v>768.16511524919326</v>
      </c>
      <c r="AB39" s="65">
        <f>Tabella2[[#This Row],[New_Deaths_fit]]*NOT(ISBLANK(Tabella2[[#This Row],[New deaths]]))</f>
        <v>768.16511524919326</v>
      </c>
      <c r="AC39" s="10">
        <f>Tabella2[[#This Row],[New_Deaths_fit]]+CIt</f>
        <v>913.46924047702657</v>
      </c>
      <c r="AD39" s="10">
        <f>MAX(Tabella2[[#This Row],[New_Deaths_fit]]-CIt,0)</f>
        <v>622.86099002135995</v>
      </c>
      <c r="AF39" s="72" t="s">
        <v>6</v>
      </c>
      <c r="AG39" s="74">
        <f>TINV(0.05,dft)</f>
        <v>2.0128955989194299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Tabella2[[#This Row],[New cases]]*NOT(ISBLANK(Tabella2[[#This Row],[New cases]]))</f>
        <v>5959</v>
      </c>
      <c r="G40" s="50">
        <f>kn*t0n*_xlfn.GAMMA.DIST(Tabella2[[#This Row],[Day]]/t0n,wn+1,1,1)*_xlfn.GAMMA(wn+1)</f>
        <v>85046.126945972501</v>
      </c>
      <c r="H40" s="10">
        <f>kn*((Tabella2[[#This Row],[Day]]/t0n)^wn)*EXP(-(Tabella2[[#This Row],[Day]]/t0n))</f>
        <v>5339.8401991635728</v>
      </c>
      <c r="I40" s="56">
        <f>Tabella2[[#This Row],[New_cases_fit]]*NOT(ISBLANK(Tabella2[[#This Row],[New cases]]))</f>
        <v>5339.8401991635728</v>
      </c>
      <c r="J40" s="10">
        <f>Tabella2[[#This Row],[New_cases_fit]]+CIn</f>
        <v>6560.1017752991565</v>
      </c>
      <c r="K40" s="10">
        <f>MAX(Tabella2[[#This Row],[New_cases_fit]]-CIn,0)</f>
        <v>4119.5786230279891</v>
      </c>
      <c r="L40" s="54">
        <f>'dpc-covid19-ita-andamento-naz'!G34</f>
        <v>66414</v>
      </c>
      <c r="M40" s="54">
        <f>'dpc-covid19-ita-andamento-naz'!H34</f>
        <v>4401</v>
      </c>
      <c r="N40" s="54">
        <f>Tabella2[[#This Row],[New_cases_fit]]-Tabella2[[#This Row],[New_Recovered_fit]]-Tabella2[[#This Row],[New_Deaths_fit]]</f>
        <v>3525.6484394132704</v>
      </c>
      <c r="O40" s="10">
        <f>'dpc-covid19-ita-andamento-naz'!J34</f>
        <v>10950</v>
      </c>
      <c r="P40" s="48">
        <f>Tabella2[[#This Row],[Cum_recov]]-O39</f>
        <v>589</v>
      </c>
      <c r="Q40" s="60">
        <f>Tabella2[[#This Row],[New recovered]]*NOT(ISBLANK(Tabella2[[#This Row],[New recovered]]))</f>
        <v>589</v>
      </c>
      <c r="R40" s="50">
        <f>kd*t0d*_xlfn.GAMMA.DIST(Tabella2[[#This Row],[Day]]/t0d,wd+1,1,1)*_xlfn.GAMMA(wd+1)</f>
        <v>11064.213240497631</v>
      </c>
      <c r="S40" s="10">
        <f>kd*((Tabella2[[#This Row],[Day]]/t0d)^wd)*EXP(-(Tabella2[[#This Row],[Day]]/t0d))</f>
        <v>1036.9400018399824</v>
      </c>
      <c r="T40" s="60">
        <f>Tabella2[[#This Row],[New_Recovered_fit]]*NOT(ISBLANK(Tabella2[[#This Row],[New recovered]]))</f>
        <v>1036.9400018399824</v>
      </c>
      <c r="U40" s="10">
        <f>Tabella2[[#This Row],[New_Recovered_fit]]+CId</f>
        <v>1570.4180255156273</v>
      </c>
      <c r="V40" s="10">
        <f>MAX(Tabella2[[#This Row],[New_Recovered_fit]]-CId,0)</f>
        <v>503.46197816433755</v>
      </c>
      <c r="W40" s="10">
        <f>'dpc-covid19-ita-andamento-naz'!K34</f>
        <v>9134</v>
      </c>
      <c r="X40" s="26">
        <f>Tabella2[[#This Row],[Cum_deaths]]-W39</f>
        <v>969</v>
      </c>
      <c r="Y40" s="65">
        <f>Tabella2[[#This Row],[New deaths]]*NOT(ISBLANK(Tabella2[[#This Row],[New deaths]]))</f>
        <v>969</v>
      </c>
      <c r="Z40" s="50">
        <f>kt*t0t*_xlfn.GAMMA.DIST(Tabella2[[#This Row],[Day]]/t0t,wt+1,1,1)*_xlfn.GAMMA(wt+1)</f>
        <v>9173.3830315638043</v>
      </c>
      <c r="AA40" s="10">
        <f>kt*((Tabella2[[#This Row],[Day]]/t0t)^wt)*EXP(-(Tabella2[[#This Row],[Day]]/t0t))</f>
        <v>777.25175791031961</v>
      </c>
      <c r="AB40" s="65">
        <f>Tabella2[[#This Row],[New_Deaths_fit]]*NOT(ISBLANK(Tabella2[[#This Row],[New deaths]]))</f>
        <v>777.25175791031961</v>
      </c>
      <c r="AC40" s="10">
        <f>Tabella2[[#This Row],[New_Deaths_fit]]+CIt</f>
        <v>922.55588313815292</v>
      </c>
      <c r="AD40" s="10">
        <f>MAX(Tabella2[[#This Row],[New_Deaths_fit]]-CIt,0)</f>
        <v>631.9476326824863</v>
      </c>
      <c r="AF40" s="72" t="s">
        <v>7</v>
      </c>
      <c r="AG40" s="35">
        <f>Critical_tt*SE_of_yt</f>
        <v>145.30412522783331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Tabella2[[#This Row],[New cases]]*NOT(ISBLANK(Tabella2[[#This Row],[New cases]]))</f>
        <v>5974</v>
      </c>
      <c r="G41" s="50">
        <f>kn*t0n*_xlfn.GAMMA.DIST(Tabella2[[#This Row],[Day]]/t0n,wn+1,1,1)*_xlfn.GAMMA(wn+1)</f>
        <v>90359.326489296829</v>
      </c>
      <c r="H41" s="10">
        <f>kn*((Tabella2[[#This Row],[Day]]/t0n)^wn)*EXP(-(Tabella2[[#This Row],[Day]]/t0n))</f>
        <v>5283.0275758115986</v>
      </c>
      <c r="I41" s="56">
        <f>Tabella2[[#This Row],[New_cases_fit]]*NOT(ISBLANK(Tabella2[[#This Row],[New cases]]))</f>
        <v>5283.0275758115986</v>
      </c>
      <c r="J41" s="10">
        <f>Tabella2[[#This Row],[New_cases_fit]]+CIn</f>
        <v>6503.2891519471823</v>
      </c>
      <c r="K41" s="10">
        <f>MAX(Tabella2[[#This Row],[New_cases_fit]]-CIn,0)</f>
        <v>4062.7659996760149</v>
      </c>
      <c r="L41" s="54">
        <f>'dpc-covid19-ita-andamento-naz'!G35</f>
        <v>70065</v>
      </c>
      <c r="M41" s="54">
        <f>'dpc-covid19-ita-andamento-naz'!H35</f>
        <v>3651</v>
      </c>
      <c r="N41" s="54">
        <f>Tabella2[[#This Row],[New_cases_fit]]-Tabella2[[#This Row],[New_Recovered_fit]]-Tabella2[[#This Row],[New_Deaths_fit]]</f>
        <v>3412.9098703885179</v>
      </c>
      <c r="O41" s="10">
        <f>'dpc-covid19-ita-andamento-naz'!J35</f>
        <v>12384</v>
      </c>
      <c r="P41" s="48">
        <f>Tabella2[[#This Row],[Cum_recov]]-O40</f>
        <v>1434</v>
      </c>
      <c r="Q41" s="60">
        <f>Tabella2[[#This Row],[New recovered]]*NOT(ISBLANK(Tabella2[[#This Row],[New recovered]]))</f>
        <v>1434</v>
      </c>
      <c r="R41" s="50">
        <f>kd*t0d*_xlfn.GAMMA.DIST(Tabella2[[#This Row],[Day]]/t0d,wd+1,1,1)*_xlfn.GAMMA(wd+1)</f>
        <v>12127.13073382836</v>
      </c>
      <c r="S41" s="10">
        <f>kd*((Tabella2[[#This Row],[Day]]/t0d)^wd)*EXP(-(Tabella2[[#This Row],[Day]]/t0d))</f>
        <v>1088.7711861643479</v>
      </c>
      <c r="T41" s="60">
        <f>Tabella2[[#This Row],[New_Recovered_fit]]*NOT(ISBLANK(Tabella2[[#This Row],[New recovered]]))</f>
        <v>1088.7711861643479</v>
      </c>
      <c r="U41" s="10">
        <f>Tabella2[[#This Row],[New_Recovered_fit]]+CId</f>
        <v>1622.2492098399928</v>
      </c>
      <c r="V41" s="10">
        <f>MAX(Tabella2[[#This Row],[New_Recovered_fit]]-CId,0)</f>
        <v>555.29316248870305</v>
      </c>
      <c r="W41" s="10">
        <f>'dpc-covid19-ita-andamento-naz'!K35</f>
        <v>10023</v>
      </c>
      <c r="X41" s="26">
        <f>Tabella2[[#This Row],[Cum_deaths]]-W40</f>
        <v>889</v>
      </c>
      <c r="Y41" s="65">
        <f>Tabella2[[#This Row],[New deaths]]*NOT(ISBLANK(Tabella2[[#This Row],[New deaths]]))</f>
        <v>889</v>
      </c>
      <c r="Z41" s="50">
        <f>kt*t0t*_xlfn.GAMMA.DIST(Tabella2[[#This Row],[Day]]/t0t,wt+1,1,1)*_xlfn.GAMMA(wt+1)</f>
        <v>9953.08991910228</v>
      </c>
      <c r="AA41" s="10">
        <f>kt*((Tabella2[[#This Row],[Day]]/t0t)^wt)*EXP(-(Tabella2[[#This Row],[Day]]/t0t))</f>
        <v>781.34651925873322</v>
      </c>
      <c r="AB41" s="65">
        <f>Tabella2[[#This Row],[New_Deaths_fit]]*NOT(ISBLANK(Tabella2[[#This Row],[New deaths]]))</f>
        <v>781.34651925873322</v>
      </c>
      <c r="AC41" s="10">
        <f>Tabella2[[#This Row],[New_Deaths_fit]]+CIt</f>
        <v>926.65064448656653</v>
      </c>
      <c r="AD41" s="10">
        <f>MAX(Tabella2[[#This Row],[New_Deaths_fit]]-CIt,0)</f>
        <v>636.04239403089991</v>
      </c>
      <c r="AF41" s="34" t="s">
        <v>69</v>
      </c>
      <c r="AG41" s="35">
        <f>kt*(wt^wt)*EXP(-wt)</f>
        <v>781.63971217744881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Tabella2[[#This Row],[New cases]]*NOT(ISBLANK(Tabella2[[#This Row],[New cases]]))</f>
        <v>5217</v>
      </c>
      <c r="G42" s="50">
        <f>kn*t0n*_xlfn.GAMMA.DIST(Tabella2[[#This Row],[Day]]/t0n,wn+1,1,1)*_xlfn.GAMMA(wn+1)</f>
        <v>95605.461588477483</v>
      </c>
      <c r="H42" s="10">
        <f>kn*((Tabella2[[#This Row],[Day]]/t0n)^wn)*EXP(-(Tabella2[[#This Row],[Day]]/t0n))</f>
        <v>5206.05509927617</v>
      </c>
      <c r="I42" s="56">
        <f>Tabella2[[#This Row],[New_cases_fit]]*NOT(ISBLANK(Tabella2[[#This Row],[New cases]]))</f>
        <v>5206.05509927617</v>
      </c>
      <c r="J42" s="10">
        <f>Tabella2[[#This Row],[New_cases_fit]]+CIn</f>
        <v>6426.3166754117537</v>
      </c>
      <c r="K42" s="10">
        <f>MAX(Tabella2[[#This Row],[New_cases_fit]]-CIn,0)</f>
        <v>3985.7935231405863</v>
      </c>
      <c r="L42" s="54">
        <f>'dpc-covid19-ita-andamento-naz'!G36</f>
        <v>73880</v>
      </c>
      <c r="M42" s="54">
        <f>'dpc-covid19-ita-andamento-naz'!H36</f>
        <v>3815</v>
      </c>
      <c r="N42" s="54">
        <f>Tabella2[[#This Row],[New_cases_fit]]-Tabella2[[#This Row],[New_Recovered_fit]]-Tabella2[[#This Row],[New_Deaths_fit]]</f>
        <v>3285.5975684892901</v>
      </c>
      <c r="O42" s="10">
        <f>'dpc-covid19-ita-andamento-naz'!J36</f>
        <v>13030</v>
      </c>
      <c r="P42" s="48">
        <f>Tabella2[[#This Row],[Cum_recov]]-O41</f>
        <v>646</v>
      </c>
      <c r="Q42" s="60">
        <f>Tabella2[[#This Row],[New recovered]]*NOT(ISBLANK(Tabella2[[#This Row],[New recovered]]))</f>
        <v>646</v>
      </c>
      <c r="R42" s="50">
        <f>kd*t0d*_xlfn.GAMMA.DIST(Tabella2[[#This Row],[Day]]/t0d,wd+1,1,1)*_xlfn.GAMMA(wd+1)</f>
        <v>13241.482865246777</v>
      </c>
      <c r="S42" s="10">
        <f>kd*((Tabella2[[#This Row],[Day]]/t0d)^wd)*EXP(-(Tabella2[[#This Row],[Day]]/t0d))</f>
        <v>1139.7844713522668</v>
      </c>
      <c r="T42" s="60">
        <f>Tabella2[[#This Row],[New_Recovered_fit]]*NOT(ISBLANK(Tabella2[[#This Row],[New recovered]]))</f>
        <v>1139.7844713522668</v>
      </c>
      <c r="U42" s="10">
        <f>Tabella2[[#This Row],[New_Recovered_fit]]+CId</f>
        <v>1673.2624950279117</v>
      </c>
      <c r="V42" s="10">
        <f>MAX(Tabella2[[#This Row],[New_Recovered_fit]]-CId,0)</f>
        <v>606.30644767662193</v>
      </c>
      <c r="W42" s="10">
        <f>'dpc-covid19-ita-andamento-naz'!K36</f>
        <v>10779</v>
      </c>
      <c r="X42" s="26">
        <f>Tabella2[[#This Row],[Cum_deaths]]-W41</f>
        <v>756</v>
      </c>
      <c r="Y42" s="65">
        <f>Tabella2[[#This Row],[New deaths]]*NOT(ISBLANK(Tabella2[[#This Row],[New deaths]]))</f>
        <v>756</v>
      </c>
      <c r="Z42" s="50">
        <f>kt*t0t*_xlfn.GAMMA.DIST(Tabella2[[#This Row],[Day]]/t0t,wt+1,1,1)*_xlfn.GAMMA(wt+1)</f>
        <v>10734.485955825689</v>
      </c>
      <c r="AA42" s="10">
        <f>kt*((Tabella2[[#This Row],[Day]]/t0t)^wt)*EXP(-(Tabella2[[#This Row],[Day]]/t0t))</f>
        <v>780.67305943461292</v>
      </c>
      <c r="AB42" s="65">
        <f>Tabella2[[#This Row],[New_Deaths_fit]]*NOT(ISBLANK(Tabella2[[#This Row],[New deaths]]))</f>
        <v>780.67305943461292</v>
      </c>
      <c r="AC42" s="10">
        <f>Tabella2[[#This Row],[New_Deaths_fit]]+CIt</f>
        <v>925.97718466244623</v>
      </c>
      <c r="AD42" s="10">
        <f>MAX(Tabella2[[#This Row],[New_Deaths_fit]]-CIt,0)</f>
        <v>635.36893420677961</v>
      </c>
      <c r="AF42" s="34" t="s">
        <v>70</v>
      </c>
      <c r="AG42" s="77">
        <f>_xlfn.XLOOKUP(ROUND(wt*t0t,0),Tabella2[Day],Tabella2[Date])</f>
        <v>43918</v>
      </c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Tabella2[[#This Row],[New cases]]*NOT(ISBLANK(Tabella2[[#This Row],[New cases]]))</f>
        <v>4050</v>
      </c>
      <c r="G43" s="50">
        <f>kn*t0n*_xlfn.GAMMA.DIST(Tabella2[[#This Row],[Day]]/t0n,wn+1,1,1)*_xlfn.GAMMA(wn+1)</f>
        <v>100765.4100732755</v>
      </c>
      <c r="H43" s="10">
        <f>kn*((Tabella2[[#This Row],[Day]]/t0n)^wn)*EXP(-(Tabella2[[#This Row],[Day]]/t0n))</f>
        <v>5111.0031264706431</v>
      </c>
      <c r="I43" s="56">
        <f>Tabella2[[#This Row],[New_cases_fit]]*NOT(ISBLANK(Tabella2[[#This Row],[New cases]]))</f>
        <v>5111.0031264706431</v>
      </c>
      <c r="J43" s="10">
        <f>Tabella2[[#This Row],[New_cases_fit]]+CIn</f>
        <v>6331.2647026062268</v>
      </c>
      <c r="K43" s="10">
        <f>MAX(Tabella2[[#This Row],[New_cases_fit]]-CIn,0)</f>
        <v>3890.7415503350594</v>
      </c>
      <c r="L43" s="54">
        <f>'dpc-covid19-ita-andamento-naz'!G37</f>
        <v>75528</v>
      </c>
      <c r="M43" s="54">
        <f>'dpc-covid19-ita-andamento-naz'!H37</f>
        <v>1648</v>
      </c>
      <c r="N43" s="54">
        <f>Tabella2[[#This Row],[New_cases_fit]]-Tabella2[[#This Row],[New_Recovered_fit]]-Tabella2[[#This Row],[New_Deaths_fit]]</f>
        <v>3145.6482286212927</v>
      </c>
      <c r="O43" s="10">
        <f>'dpc-covid19-ita-andamento-naz'!J37</f>
        <v>14620</v>
      </c>
      <c r="P43" s="48">
        <f>Tabella2[[#This Row],[Cum_recov]]-O42</f>
        <v>1590</v>
      </c>
      <c r="Q43" s="60">
        <f>Tabella2[[#This Row],[New recovered]]*NOT(ISBLANK(Tabella2[[#This Row],[New recovered]]))</f>
        <v>1590</v>
      </c>
      <c r="R43" s="50">
        <f>kd*t0d*_xlfn.GAMMA.DIST(Tabella2[[#This Row],[Day]]/t0d,wd+1,1,1)*_xlfn.GAMMA(wd+1)</f>
        <v>14406.379040407779</v>
      </c>
      <c r="S43" s="10">
        <f>kd*((Tabella2[[#This Row],[Day]]/t0d)^wd)*EXP(-(Tabella2[[#This Row],[Day]]/t0d))</f>
        <v>1189.836195627709</v>
      </c>
      <c r="T43" s="60">
        <f>Tabella2[[#This Row],[New_Recovered_fit]]*NOT(ISBLANK(Tabella2[[#This Row],[New recovered]]))</f>
        <v>1189.836195627709</v>
      </c>
      <c r="U43" s="10">
        <f>Tabella2[[#This Row],[New_Recovered_fit]]+CId</f>
        <v>1723.3142193033539</v>
      </c>
      <c r="V43" s="10">
        <f>MAX(Tabella2[[#This Row],[New_Recovered_fit]]-CId,0)</f>
        <v>656.35817195206414</v>
      </c>
      <c r="W43" s="10">
        <f>'dpc-covid19-ita-andamento-naz'!K37</f>
        <v>11591</v>
      </c>
      <c r="X43" s="26">
        <f>Tabella2[[#This Row],[Cum_deaths]]-W42</f>
        <v>812</v>
      </c>
      <c r="Y43" s="65">
        <f>Tabella2[[#This Row],[New deaths]]*NOT(ISBLANK(Tabella2[[#This Row],[New deaths]]))</f>
        <v>812</v>
      </c>
      <c r="Z43" s="50">
        <f>kt*t0t*_xlfn.GAMMA.DIST(Tabella2[[#This Row],[Day]]/t0t,wt+1,1,1)*_xlfn.GAMMA(wt+1)</f>
        <v>11512.941850277233</v>
      </c>
      <c r="AA43" s="10">
        <f>kt*((Tabella2[[#This Row],[Day]]/t0t)^wt)*EXP(-(Tabella2[[#This Row],[Day]]/t0t))</f>
        <v>775.51870222164143</v>
      </c>
      <c r="AB43" s="65">
        <f>Tabella2[[#This Row],[New_Deaths_fit]]*NOT(ISBLANK(Tabella2[[#This Row],[New deaths]]))</f>
        <v>775.51870222164143</v>
      </c>
      <c r="AC43" s="10">
        <f>Tabella2[[#This Row],[New_Deaths_fit]]+CIt</f>
        <v>920.82282744947474</v>
      </c>
      <c r="AD43" s="10">
        <f>MAX(Tabella2[[#This Row],[New_Deaths_fit]]-CIt,0)</f>
        <v>630.21457699380812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Tabella2[[#This Row],[New cases]]*NOT(ISBLANK(Tabella2[[#This Row],[New cases]]))</f>
        <v>4053</v>
      </c>
      <c r="G44" s="50">
        <f>kn*t0n*_xlfn.GAMMA.DIST(Tabella2[[#This Row],[Day]]/t0n,wn+1,1,1)*_xlfn.GAMMA(wn+1)</f>
        <v>105822.13876180045</v>
      </c>
      <c r="H44" s="10">
        <f>kn*((Tabella2[[#This Row],[Day]]/t0n)^wn)*EXP(-(Tabella2[[#This Row],[Day]]/t0n))</f>
        <v>4999.9631288836272</v>
      </c>
      <c r="I44" s="56">
        <f>Tabella2[[#This Row],[New_cases_fit]]*NOT(ISBLANK(Tabella2[[#This Row],[New cases]]))</f>
        <v>4999.9631288836272</v>
      </c>
      <c r="J44" s="10">
        <f>Tabella2[[#This Row],[New_cases_fit]]+CIn</f>
        <v>6220.2247050192109</v>
      </c>
      <c r="K44" s="10">
        <f>MAX(Tabella2[[#This Row],[New_cases_fit]]-CIn,0)</f>
        <v>3779.7015527480435</v>
      </c>
      <c r="L44" s="54">
        <f>'dpc-covid19-ita-andamento-naz'!G38</f>
        <v>77635</v>
      </c>
      <c r="M44" s="54">
        <f>'dpc-covid19-ita-andamento-naz'!H38</f>
        <v>2107</v>
      </c>
      <c r="N44" s="54">
        <f>Tabella2[[#This Row],[New_cases_fit]]-Tabella2[[#This Row],[New_Recovered_fit]]-Tabella2[[#This Row],[New_Deaths_fit]]</f>
        <v>2994.9492094088073</v>
      </c>
      <c r="O44" s="10">
        <f>'dpc-covid19-ita-andamento-naz'!J38</f>
        <v>15729</v>
      </c>
      <c r="P44" s="48">
        <f>Tabella2[[#This Row],[Cum_recov]]-O43</f>
        <v>1109</v>
      </c>
      <c r="Q44" s="60">
        <f>Tabella2[[#This Row],[New recovered]]*NOT(ISBLANK(Tabella2[[#This Row],[New recovered]]))</f>
        <v>1109</v>
      </c>
      <c r="R44" s="50">
        <f>kd*t0d*_xlfn.GAMMA.DIST(Tabella2[[#This Row],[Day]]/t0d,wd+1,1,1)*_xlfn.GAMMA(wd+1)</f>
        <v>15620.790204005842</v>
      </c>
      <c r="S44" s="10">
        <f>kd*((Tabella2[[#This Row],[Day]]/t0d)^wd)*EXP(-(Tabella2[[#This Row],[Day]]/t0d))</f>
        <v>1238.7931108729374</v>
      </c>
      <c r="T44" s="60">
        <f>Tabella2[[#This Row],[New_Recovered_fit]]*NOT(ISBLANK(Tabella2[[#This Row],[New recovered]]))</f>
        <v>1238.7931108729374</v>
      </c>
      <c r="U44" s="10">
        <f>Tabella2[[#This Row],[New_Recovered_fit]]+CId</f>
        <v>1772.2711345485823</v>
      </c>
      <c r="V44" s="10">
        <f>MAX(Tabella2[[#This Row],[New_Recovered_fit]]-CId,0)</f>
        <v>705.31508719729254</v>
      </c>
      <c r="W44" s="10">
        <f>'dpc-covid19-ita-andamento-naz'!K38</f>
        <v>12428</v>
      </c>
      <c r="X44" s="26">
        <f>Tabella2[[#This Row],[Cum_deaths]]-W43</f>
        <v>837</v>
      </c>
      <c r="Y44" s="65">
        <f>Tabella2[[#This Row],[New deaths]]*NOT(ISBLANK(Tabella2[[#This Row],[New deaths]]))</f>
        <v>837</v>
      </c>
      <c r="Z44" s="50">
        <f>kt*t0t*_xlfn.GAMMA.DIST(Tabella2[[#This Row],[Day]]/t0t,wt+1,1,1)*_xlfn.GAMMA(wt+1)</f>
        <v>12284.141772045245</v>
      </c>
      <c r="AA44" s="10">
        <f>kt*((Tabella2[[#This Row],[Day]]/t0t)^wt)*EXP(-(Tabella2[[#This Row],[Day]]/t0t))</f>
        <v>766.2208086018826</v>
      </c>
      <c r="AB44" s="65">
        <f>Tabella2[[#This Row],[New_Deaths_fit]]*NOT(ISBLANK(Tabella2[[#This Row],[New deaths]]))</f>
        <v>766.2208086018826</v>
      </c>
      <c r="AC44" s="10">
        <f>Tabella2[[#This Row],[New_Deaths_fit]]+CIt</f>
        <v>911.52493382971591</v>
      </c>
      <c r="AD44" s="10">
        <f>MAX(Tabella2[[#This Row],[New_Deaths_fit]]-CIt,0)</f>
        <v>620.91668337404928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Tabella2[[#This Row],[New cases]]*NOT(ISBLANK(Tabella2[[#This Row],[New cases]]))</f>
        <v>4782</v>
      </c>
      <c r="G45" s="50">
        <f>kn*t0n*_xlfn.GAMMA.DIST(Tabella2[[#This Row],[Day]]/t0n,wn+1,1,1)*_xlfn.GAMMA(wn+1)</f>
        <v>110760.69708609102</v>
      </c>
      <c r="H45" s="10">
        <f>kn*((Tabella2[[#This Row],[Day]]/t0n)^wn)*EXP(-(Tabella2[[#This Row],[Day]]/t0n))</f>
        <v>4875.0036624576296</v>
      </c>
      <c r="I45" s="56">
        <f>Tabella2[[#This Row],[New_cases_fit]]*NOT(ISBLANK(Tabella2[[#This Row],[New cases]]))</f>
        <v>4875.0036624576296</v>
      </c>
      <c r="J45" s="10">
        <f>Tabella2[[#This Row],[New_cases_fit]]+CIn</f>
        <v>6095.2652385932133</v>
      </c>
      <c r="K45" s="10">
        <f>MAX(Tabella2[[#This Row],[New_cases_fit]]-CIn,0)</f>
        <v>3654.7420863220459</v>
      </c>
      <c r="L45" s="54">
        <f>'dpc-covid19-ita-andamento-naz'!G39</f>
        <v>80572</v>
      </c>
      <c r="M45" s="54">
        <f>'dpc-covid19-ita-andamento-naz'!H39</f>
        <v>2937</v>
      </c>
      <c r="N45" s="54">
        <f>Tabella2[[#This Row],[New_cases_fit]]-Tabella2[[#This Row],[New_Recovered_fit]]-Tabella2[[#This Row],[New_Deaths_fit]]</f>
        <v>2835.3175562928732</v>
      </c>
      <c r="O45" s="10">
        <f>'dpc-covid19-ita-andamento-naz'!J39</f>
        <v>16847</v>
      </c>
      <c r="P45" s="48">
        <f>Tabella2[[#This Row],[Cum_recov]]-O44</f>
        <v>1118</v>
      </c>
      <c r="Q45" s="60">
        <f>Tabella2[[#This Row],[New recovered]]*NOT(ISBLANK(Tabella2[[#This Row],[New recovered]]))</f>
        <v>1118</v>
      </c>
      <c r="R45" s="50">
        <f>kd*t0d*_xlfn.GAMMA.DIST(Tabella2[[#This Row],[Day]]/t0d,wd+1,1,1)*_xlfn.GAMMA(wd+1)</f>
        <v>16883.559275714437</v>
      </c>
      <c r="S45" s="10">
        <f>kd*((Tabella2[[#This Row],[Day]]/t0d)^wd)*EXP(-(Tabella2[[#This Row],[Day]]/t0d))</f>
        <v>1286.5324137339849</v>
      </c>
      <c r="T45" s="60">
        <f>Tabella2[[#This Row],[New_Recovered_fit]]*NOT(ISBLANK(Tabella2[[#This Row],[New recovered]]))</f>
        <v>1286.5324137339849</v>
      </c>
      <c r="U45" s="10">
        <f>Tabella2[[#This Row],[New_Recovered_fit]]+CId</f>
        <v>1820.0104374096297</v>
      </c>
      <c r="V45" s="10">
        <f>MAX(Tabella2[[#This Row],[New_Recovered_fit]]-CId,0)</f>
        <v>753.05439005834</v>
      </c>
      <c r="W45" s="10">
        <f>'dpc-covid19-ita-andamento-naz'!K39</f>
        <v>13155</v>
      </c>
      <c r="X45" s="26">
        <f>Tabella2[[#This Row],[Cum_deaths]]-W44</f>
        <v>727</v>
      </c>
      <c r="Y45" s="65">
        <f>Tabella2[[#This Row],[New deaths]]*NOT(ISBLANK(Tabella2[[#This Row],[New deaths]]))</f>
        <v>727</v>
      </c>
      <c r="Z45" s="50">
        <f>kt*t0t*_xlfn.GAMMA.DIST(Tabella2[[#This Row],[Day]]/t0t,wt+1,1,1)*_xlfn.GAMMA(wt+1)</f>
        <v>13044.126786593126</v>
      </c>
      <c r="AA45" s="10">
        <f>kt*((Tabella2[[#This Row],[Day]]/t0t)^wt)*EXP(-(Tabella2[[#This Row],[Day]]/t0t))</f>
        <v>753.15369243077168</v>
      </c>
      <c r="AB45" s="65">
        <f>Tabella2[[#This Row],[New_Deaths_fit]]*NOT(ISBLANK(Tabella2[[#This Row],[New deaths]]))</f>
        <v>753.15369243077168</v>
      </c>
      <c r="AC45" s="10">
        <f>Tabella2[[#This Row],[New_Deaths_fit]]+CIt</f>
        <v>898.45781765860499</v>
      </c>
      <c r="AD45" s="10">
        <f>MAX(Tabella2[[#This Row],[New_Deaths_fit]]-CIt,0)</f>
        <v>607.84956720293837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Tabella2[[#This Row],[New cases]]*NOT(ISBLANK(Tabella2[[#This Row],[New cases]]))</f>
        <v>4668</v>
      </c>
      <c r="G46" s="50">
        <f>kn*t0n*_xlfn.GAMMA.DIST(Tabella2[[#This Row],[Day]]/t0n,wn+1,1,1)*_xlfn.GAMMA(wn+1)</f>
        <v>115568.17948590679</v>
      </c>
      <c r="H46" s="10">
        <f>kn*((Tabella2[[#This Row],[Day]]/t0n)^wn)*EXP(-(Tabella2[[#This Row],[Day]]/t0n))</f>
        <v>4738.1418856615019</v>
      </c>
      <c r="I46" s="56">
        <f>Tabella2[[#This Row],[New_cases_fit]]*NOT(ISBLANK(Tabella2[[#This Row],[New cases]]))</f>
        <v>4738.1418856615019</v>
      </c>
      <c r="J46" s="10">
        <f>Tabella2[[#This Row],[New_cases_fit]]+CIn</f>
        <v>5958.4034617970856</v>
      </c>
      <c r="K46" s="10">
        <f>MAX(Tabella2[[#This Row],[New_cases_fit]]-CIn,0)</f>
        <v>3517.8803095259182</v>
      </c>
      <c r="L46" s="54">
        <f>'dpc-covid19-ita-andamento-naz'!G40</f>
        <v>83049</v>
      </c>
      <c r="M46" s="54">
        <f>'dpc-covid19-ita-andamento-naz'!H40</f>
        <v>2477</v>
      </c>
      <c r="N46" s="54">
        <f>Tabella2[[#This Row],[New_cases_fit]]-Tabella2[[#This Row],[New_Recovered_fit]]-Tabella2[[#This Row],[New_Deaths_fit]]</f>
        <v>2668.4837812765677</v>
      </c>
      <c r="O46" s="10">
        <f>'dpc-covid19-ita-andamento-naz'!J40</f>
        <v>18278</v>
      </c>
      <c r="P46" s="48">
        <f>Tabella2[[#This Row],[Cum_recov]]-O45</f>
        <v>1431</v>
      </c>
      <c r="Q46" s="60">
        <f>Tabella2[[#This Row],[New recovered]]*NOT(ISBLANK(Tabella2[[#This Row],[New recovered]]))</f>
        <v>1431</v>
      </c>
      <c r="R46" s="50">
        <f>kd*t0d*_xlfn.GAMMA.DIST(Tabella2[[#This Row],[Day]]/t0d,wd+1,1,1)*_xlfn.GAMMA(wd+1)</f>
        <v>18193.411578537696</v>
      </c>
      <c r="S46" s="10">
        <f>kd*((Tabella2[[#This Row],[Day]]/t0d)^wd)*EXP(-(Tabella2[[#This Row],[Day]]/t0d))</f>
        <v>1332.941700990239</v>
      </c>
      <c r="T46" s="60">
        <f>Tabella2[[#This Row],[New_Recovered_fit]]*NOT(ISBLANK(Tabella2[[#This Row],[New recovered]]))</f>
        <v>1332.941700990239</v>
      </c>
      <c r="U46" s="10">
        <f>Tabella2[[#This Row],[New_Recovered_fit]]+CId</f>
        <v>1866.4197246658839</v>
      </c>
      <c r="V46" s="10">
        <f>MAX(Tabella2[[#This Row],[New_Recovered_fit]]-CId,0)</f>
        <v>799.46367731459418</v>
      </c>
      <c r="W46" s="10">
        <f>'dpc-covid19-ita-andamento-naz'!K40</f>
        <v>13915</v>
      </c>
      <c r="X46" s="26">
        <f>Tabella2[[#This Row],[Cum_deaths]]-W45</f>
        <v>760</v>
      </c>
      <c r="Y46" s="65">
        <f>Tabella2[[#This Row],[New deaths]]*NOT(ISBLANK(Tabella2[[#This Row],[New deaths]]))</f>
        <v>760</v>
      </c>
      <c r="Z46" s="50">
        <f>kt*t0t*_xlfn.GAMMA.DIST(Tabella2[[#This Row],[Day]]/t0t,wt+1,1,1)*_xlfn.GAMMA(wt+1)</f>
        <v>13789.325616299981</v>
      </c>
      <c r="AA46" s="10">
        <f>kt*((Tabella2[[#This Row],[Day]]/t0t)^wt)*EXP(-(Tabella2[[#This Row],[Day]]/t0t))</f>
        <v>736.71640339469513</v>
      </c>
      <c r="AB46" s="65">
        <f>Tabella2[[#This Row],[New_Deaths_fit]]*NOT(ISBLANK(Tabella2[[#This Row],[New deaths]]))</f>
        <v>736.71640339469513</v>
      </c>
      <c r="AC46" s="10">
        <f>Tabella2[[#This Row],[New_Deaths_fit]]+CIt</f>
        <v>882.02052862252845</v>
      </c>
      <c r="AD46" s="10">
        <f>MAX(Tabella2[[#This Row],[New_Deaths_fit]]-CIt,0)</f>
        <v>591.41227816686182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Tabella2[[#This Row],[New cases]]*NOT(ISBLANK(Tabella2[[#This Row],[New cases]]))</f>
        <v>4585</v>
      </c>
      <c r="G47" s="50">
        <f>kn*t0n*_xlfn.GAMMA.DIST(Tabella2[[#This Row],[Day]]/t0n,wn+1,1,1)*_xlfn.GAMMA(wn+1)</f>
        <v>120233.66195910878</v>
      </c>
      <c r="H47" s="10">
        <f>kn*((Tabella2[[#This Row],[Day]]/t0n)^wn)*EXP(-(Tabella2[[#This Row],[Day]]/t0n))</f>
        <v>4591.3202927461007</v>
      </c>
      <c r="I47" s="56">
        <f>Tabella2[[#This Row],[New_cases_fit]]*NOT(ISBLANK(Tabella2[[#This Row],[New cases]]))</f>
        <v>4591.3202927461007</v>
      </c>
      <c r="J47" s="10">
        <f>Tabella2[[#This Row],[New_cases_fit]]+CIn</f>
        <v>5811.5818688816844</v>
      </c>
      <c r="K47" s="10">
        <f>MAX(Tabella2[[#This Row],[New_cases_fit]]-CIn,0)</f>
        <v>3371.058716610517</v>
      </c>
      <c r="L47" s="54">
        <f>'dpc-covid19-ita-andamento-naz'!G41</f>
        <v>85388</v>
      </c>
      <c r="M47" s="54">
        <f>'dpc-covid19-ita-andamento-naz'!H41</f>
        <v>2339</v>
      </c>
      <c r="N47" s="54">
        <f>Tabella2[[#This Row],[New_cases_fit]]-Tabella2[[#This Row],[New_Recovered_fit]]-Tabella2[[#This Row],[New_Deaths_fit]]</f>
        <v>2496.0798240286085</v>
      </c>
      <c r="O47" s="10">
        <f>'dpc-covid19-ita-andamento-naz'!J41</f>
        <v>19758</v>
      </c>
      <c r="P47" s="48">
        <f>Tabella2[[#This Row],[Cum_recov]]-O46</f>
        <v>1480</v>
      </c>
      <c r="Q47" s="60">
        <f>Tabella2[[#This Row],[New recovered]]*NOT(ISBLANK(Tabella2[[#This Row],[New recovered]]))</f>
        <v>1480</v>
      </c>
      <c r="R47" s="50">
        <f>kd*t0d*_xlfn.GAMMA.DIST(Tabella2[[#This Row],[Day]]/t0d,wd+1,1,1)*_xlfn.GAMMA(wd+1)</f>
        <v>19548.965188658924</v>
      </c>
      <c r="S47" s="10">
        <f>kd*((Tabella2[[#This Row],[Day]]/t0d)^wd)*EXP(-(Tabella2[[#This Row],[Day]]/t0d))</f>
        <v>1377.9188586992861</v>
      </c>
      <c r="T47" s="60">
        <f>Tabella2[[#This Row],[New_Recovered_fit]]*NOT(ISBLANK(Tabella2[[#This Row],[New recovered]]))</f>
        <v>1377.9188586992861</v>
      </c>
      <c r="U47" s="10">
        <f>Tabella2[[#This Row],[New_Recovered_fit]]+CId</f>
        <v>1911.396882374931</v>
      </c>
      <c r="V47" s="10">
        <f>MAX(Tabella2[[#This Row],[New_Recovered_fit]]-CId,0)</f>
        <v>844.44083502364128</v>
      </c>
      <c r="W47" s="10">
        <f>'dpc-covid19-ita-andamento-naz'!K41</f>
        <v>14681</v>
      </c>
      <c r="X47" s="26">
        <f>Tabella2[[#This Row],[Cum_deaths]]-W46</f>
        <v>766</v>
      </c>
      <c r="Y47" s="65">
        <f>Tabella2[[#This Row],[New deaths]]*NOT(ISBLANK(Tabella2[[#This Row],[New deaths]]))</f>
        <v>766</v>
      </c>
      <c r="Z47" s="50">
        <f>kt*t0t*_xlfn.GAMMA.DIST(Tabella2[[#This Row],[Day]]/t0t,wt+1,1,1)*_xlfn.GAMMA(wt+1)</f>
        <v>14516.573718680251</v>
      </c>
      <c r="AA47" s="10">
        <f>kt*((Tabella2[[#This Row],[Day]]/t0t)^wt)*EXP(-(Tabella2[[#This Row],[Day]]/t0t))</f>
        <v>717.32161001820612</v>
      </c>
      <c r="AB47" s="65">
        <f>Tabella2[[#This Row],[New_Deaths_fit]]*NOT(ISBLANK(Tabella2[[#This Row],[New deaths]]))</f>
        <v>717.32161001820612</v>
      </c>
      <c r="AC47" s="10">
        <f>Tabella2[[#This Row],[New_Deaths_fit]]+CIt</f>
        <v>862.62573524603943</v>
      </c>
      <c r="AD47" s="10">
        <f>MAX(Tabella2[[#This Row],[New_Deaths_fit]]-CIt,0)</f>
        <v>572.01748479037281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Tabella2[[#This Row],[New cases]]*NOT(ISBLANK(Tabella2[[#This Row],[New cases]]))</f>
        <v>4805</v>
      </c>
      <c r="G48" s="50">
        <f>kn*t0n*_xlfn.GAMMA.DIST(Tabella2[[#This Row],[Day]]/t0n,wn+1,1,1)*_xlfn.GAMMA(wn+1)</f>
        <v>124748.11778870685</v>
      </c>
      <c r="H48" s="10">
        <f>kn*((Tabella2[[#This Row],[Day]]/t0n)^wn)*EXP(-(Tabella2[[#This Row],[Day]]/t0n))</f>
        <v>4436.3882632629438</v>
      </c>
      <c r="I48" s="56">
        <f>Tabella2[[#This Row],[New_cases_fit]]*NOT(ISBLANK(Tabella2[[#This Row],[New cases]]))</f>
        <v>4436.3882632629438</v>
      </c>
      <c r="J48" s="10">
        <f>Tabella2[[#This Row],[New_cases_fit]]+CIn</f>
        <v>5656.6498393985275</v>
      </c>
      <c r="K48" s="10">
        <f>MAX(Tabella2[[#This Row],[New_cases_fit]]-CIn,0)</f>
        <v>3216.1266871273601</v>
      </c>
      <c r="L48" s="54">
        <f>'dpc-covid19-ita-andamento-naz'!G42</f>
        <v>88274</v>
      </c>
      <c r="M48" s="54">
        <f>'dpc-covid19-ita-andamento-naz'!H42</f>
        <v>2886</v>
      </c>
      <c r="N48" s="54">
        <f>Tabella2[[#This Row],[New_cases_fit]]-Tabella2[[#This Row],[New_Recovered_fit]]-Tabella2[[#This Row],[New_Deaths_fit]]</f>
        <v>2319.6306361260813</v>
      </c>
      <c r="O48" s="10">
        <f>'dpc-covid19-ita-andamento-naz'!J42</f>
        <v>20996</v>
      </c>
      <c r="P48" s="48">
        <f>Tabella2[[#This Row],[Cum_recov]]-O47</f>
        <v>1238</v>
      </c>
      <c r="Q48" s="60">
        <f>Tabella2[[#This Row],[New recovered]]*NOT(ISBLANK(Tabella2[[#This Row],[New recovered]]))</f>
        <v>1238</v>
      </c>
      <c r="R48" s="50">
        <f>kd*t0d*_xlfn.GAMMA.DIST(Tabella2[[#This Row],[Day]]/t0d,wd+1,1,1)*_xlfn.GAMMA(wd+1)</f>
        <v>20948.741144999265</v>
      </c>
      <c r="S48" s="10">
        <f>kd*((Tabella2[[#This Row],[Day]]/t0d)^wd)*EXP(-(Tabella2[[#This Row],[Day]]/t0d))</f>
        <v>1421.371893870072</v>
      </c>
      <c r="T48" s="60">
        <f>Tabella2[[#This Row],[New_Recovered_fit]]*NOT(ISBLANK(Tabella2[[#This Row],[New recovered]]))</f>
        <v>1421.371893870072</v>
      </c>
      <c r="U48" s="10">
        <f>Tabella2[[#This Row],[New_Recovered_fit]]+CId</f>
        <v>1954.8499175457168</v>
      </c>
      <c r="V48" s="10">
        <f>MAX(Tabella2[[#This Row],[New_Recovered_fit]]-CId,0)</f>
        <v>887.89387019442711</v>
      </c>
      <c r="W48" s="10">
        <f>'dpc-covid19-ita-andamento-naz'!K42</f>
        <v>15362</v>
      </c>
      <c r="X48" s="26">
        <f>Tabella2[[#This Row],[Cum_deaths]]-W47</f>
        <v>681</v>
      </c>
      <c r="Y48" s="65">
        <f>Tabella2[[#This Row],[New deaths]]*NOT(ISBLANK(Tabella2[[#This Row],[New deaths]]))</f>
        <v>681</v>
      </c>
      <c r="Z48" s="50">
        <f>kt*t0t*_xlfn.GAMMA.DIST(Tabella2[[#This Row],[Day]]/t0t,wt+1,1,1)*_xlfn.GAMMA(wt+1)</f>
        <v>15223.121863492852</v>
      </c>
      <c r="AA48" s="10">
        <f>kt*((Tabella2[[#This Row],[Day]]/t0t)^wt)*EXP(-(Tabella2[[#This Row],[Day]]/t0t))</f>
        <v>695.38573326679045</v>
      </c>
      <c r="AB48" s="65">
        <f>Tabella2[[#This Row],[New_Deaths_fit]]*NOT(ISBLANK(Tabella2[[#This Row],[New deaths]]))</f>
        <v>695.38573326679045</v>
      </c>
      <c r="AC48" s="10">
        <f>Tabella2[[#This Row],[New_Deaths_fit]]+CIt</f>
        <v>840.68985849462376</v>
      </c>
      <c r="AD48" s="10">
        <f>MAX(Tabella2[[#This Row],[New_Deaths_fit]]-CIt,0)</f>
        <v>550.08160803895714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Tabella2[[#This Row],[New cases]]*NOT(ISBLANK(Tabella2[[#This Row],[New cases]]))</f>
        <v>4316</v>
      </c>
      <c r="G49" s="50">
        <f>kn*t0n*_xlfn.GAMMA.DIST(Tabella2[[#This Row],[Day]]/t0n,wn+1,1,1)*_xlfn.GAMMA(wn+1)</f>
        <v>129104.31704559058</v>
      </c>
      <c r="H49" s="10">
        <f>kn*((Tabella2[[#This Row],[Day]]/t0n)^wn)*EXP(-(Tabella2[[#This Row],[Day]]/t0n))</f>
        <v>4275.0879884705</v>
      </c>
      <c r="I49" s="56">
        <f>Tabella2[[#This Row],[New_cases_fit]]*NOT(ISBLANK(Tabella2[[#This Row],[New cases]]))</f>
        <v>4275.0879884705</v>
      </c>
      <c r="J49" s="10">
        <f>Tabella2[[#This Row],[New_cases_fit]]+CIn</f>
        <v>5495.3495646060837</v>
      </c>
      <c r="K49" s="10">
        <f>MAX(Tabella2[[#This Row],[New_cases_fit]]-CIn,0)</f>
        <v>3054.8264123349163</v>
      </c>
      <c r="L49" s="54">
        <f>'dpc-covid19-ita-andamento-naz'!G43</f>
        <v>91246</v>
      </c>
      <c r="M49" s="54">
        <f>'dpc-covid19-ita-andamento-naz'!H43</f>
        <v>2972</v>
      </c>
      <c r="N49" s="54">
        <f>Tabella2[[#This Row],[New_cases_fit]]-Tabella2[[#This Row],[New_Recovered_fit]]-Tabella2[[#This Row],[New_Deaths_fit]]</f>
        <v>2140.5488612940208</v>
      </c>
      <c r="O49" s="10">
        <f>'dpc-covid19-ita-andamento-naz'!J43</f>
        <v>21815</v>
      </c>
      <c r="P49" s="48">
        <f>Tabella2[[#This Row],[Cum_recov]]-O48</f>
        <v>819</v>
      </c>
      <c r="Q49" s="60">
        <f>Tabella2[[#This Row],[New recovered]]*NOT(ISBLANK(Tabella2[[#This Row],[New recovered]]))</f>
        <v>819</v>
      </c>
      <c r="R49" s="50">
        <f>kd*t0d*_xlfn.GAMMA.DIST(Tabella2[[#This Row],[Day]]/t0d,wd+1,1,1)*_xlfn.GAMMA(wd+1)</f>
        <v>22391.173465089149</v>
      </c>
      <c r="S49" s="10">
        <f>kd*((Tabella2[[#This Row],[Day]]/t0d)^wd)*EXP(-(Tabella2[[#This Row],[Day]]/t0d))</f>
        <v>1463.2187166952021</v>
      </c>
      <c r="T49" s="60">
        <f>Tabella2[[#This Row],[New_Recovered_fit]]*NOT(ISBLANK(Tabella2[[#This Row],[New recovered]]))</f>
        <v>1463.2187166952021</v>
      </c>
      <c r="U49" s="10">
        <f>Tabella2[[#This Row],[New_Recovered_fit]]+CId</f>
        <v>1996.696740370847</v>
      </c>
      <c r="V49" s="10">
        <f>MAX(Tabella2[[#This Row],[New_Recovered_fit]]-CId,0)</f>
        <v>929.74069301955728</v>
      </c>
      <c r="W49" s="10">
        <f>'dpc-covid19-ita-andamento-naz'!K43</f>
        <v>15887</v>
      </c>
      <c r="X49" s="26">
        <f>Tabella2[[#This Row],[Cum_deaths]]-W48</f>
        <v>525</v>
      </c>
      <c r="Y49" s="65">
        <f>Tabella2[[#This Row],[New deaths]]*NOT(ISBLANK(Tabella2[[#This Row],[New deaths]]))</f>
        <v>525</v>
      </c>
      <c r="Z49" s="50">
        <f>kt*t0t*_xlfn.GAMMA.DIST(Tabella2[[#This Row],[Day]]/t0t,wt+1,1,1)*_xlfn.GAMMA(wt+1)</f>
        <v>15906.635504613081</v>
      </c>
      <c r="AA49" s="10">
        <f>kt*((Tabella2[[#This Row],[Day]]/t0t)^wt)*EXP(-(Tabella2[[#This Row],[Day]]/t0t))</f>
        <v>671.32041048127701</v>
      </c>
      <c r="AB49" s="65">
        <f>Tabella2[[#This Row],[New_Deaths_fit]]*NOT(ISBLANK(Tabella2[[#This Row],[New deaths]]))</f>
        <v>671.32041048127701</v>
      </c>
      <c r="AC49" s="10">
        <f>Tabella2[[#This Row],[New_Deaths_fit]]+CIt</f>
        <v>816.62453570911032</v>
      </c>
      <c r="AD49" s="10">
        <f>MAX(Tabella2[[#This Row],[New_Deaths_fit]]-CIt,0)</f>
        <v>526.0162852534437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Tabella2[[#This Row],[New cases]]*NOT(ISBLANK(Tabella2[[#This Row],[New cases]]))</f>
        <v>3599</v>
      </c>
      <c r="G50" s="50">
        <f>kn*t0n*_xlfn.GAMMA.DIST(Tabella2[[#This Row],[Day]]/t0n,wn+1,1,1)*_xlfn.GAMMA(wn+1)</f>
        <v>133296.71401515396</v>
      </c>
      <c r="H50" s="10">
        <f>kn*((Tabella2[[#This Row],[Day]]/t0n)^wn)*EXP(-(Tabella2[[#This Row],[Day]]/t0n))</f>
        <v>4109.0443154677478</v>
      </c>
      <c r="I50" s="56">
        <f>Tabella2[[#This Row],[New_cases_fit]]*NOT(ISBLANK(Tabella2[[#This Row],[New cases]]))</f>
        <v>4109.0443154677478</v>
      </c>
      <c r="J50" s="10">
        <f>Tabella2[[#This Row],[New_cases_fit]]+CIn</f>
        <v>5329.3058916033315</v>
      </c>
      <c r="K50" s="10">
        <f>MAX(Tabella2[[#This Row],[New_cases_fit]]-CIn,0)</f>
        <v>2888.7827393321641</v>
      </c>
      <c r="L50" s="54">
        <f>'dpc-covid19-ita-andamento-naz'!G44</f>
        <v>93187</v>
      </c>
      <c r="M50" s="54">
        <f>'dpc-covid19-ita-andamento-naz'!H44</f>
        <v>1941</v>
      </c>
      <c r="N50" s="54">
        <f>Tabella2[[#This Row],[New_cases_fit]]-Tabella2[[#This Row],[New_Recovered_fit]]-Tabella2[[#This Row],[New_Deaths_fit]]</f>
        <v>1960.1321244130631</v>
      </c>
      <c r="O50" s="10">
        <f>'dpc-covid19-ita-andamento-naz'!J44</f>
        <v>22837</v>
      </c>
      <c r="P50" s="48">
        <f>Tabella2[[#This Row],[Cum_recov]]-O49</f>
        <v>1022</v>
      </c>
      <c r="Q50" s="60">
        <f>Tabella2[[#This Row],[New recovered]]*NOT(ISBLANK(Tabella2[[#This Row],[New recovered]]))</f>
        <v>1022</v>
      </c>
      <c r="R50" s="50">
        <f>kd*t0d*_xlfn.GAMMA.DIST(Tabella2[[#This Row],[Day]]/t0d,wd+1,1,1)*_xlfn.GAMMA(wd+1)</f>
        <v>23874.618921539644</v>
      </c>
      <c r="S50" s="10">
        <f>kd*((Tabella2[[#This Row],[Day]]/t0d)^wd)*EXP(-(Tabella2[[#This Row],[Day]]/t0d))</f>
        <v>1503.3868806882756</v>
      </c>
      <c r="T50" s="60">
        <f>Tabella2[[#This Row],[New_Recovered_fit]]*NOT(ISBLANK(Tabella2[[#This Row],[New recovered]]))</f>
        <v>1503.3868806882756</v>
      </c>
      <c r="U50" s="10">
        <f>Tabella2[[#This Row],[New_Recovered_fit]]+CId</f>
        <v>2036.8649043639205</v>
      </c>
      <c r="V50" s="10">
        <f>MAX(Tabella2[[#This Row],[New_Recovered_fit]]-CId,0)</f>
        <v>969.90885701263073</v>
      </c>
      <c r="W50" s="10">
        <f>'dpc-covid19-ita-andamento-naz'!K44</f>
        <v>16523</v>
      </c>
      <c r="X50" s="26">
        <f>Tabella2[[#This Row],[Cum_deaths]]-W49</f>
        <v>636</v>
      </c>
      <c r="Y50" s="65">
        <f>Tabella2[[#This Row],[New deaths]]*NOT(ISBLANK(Tabella2[[#This Row],[New deaths]]))</f>
        <v>636</v>
      </c>
      <c r="Z50" s="50">
        <f>kt*t0t*_xlfn.GAMMA.DIST(Tabella2[[#This Row],[Day]]/t0t,wt+1,1,1)*_xlfn.GAMMA(wt+1)</f>
        <v>16565.186291789378</v>
      </c>
      <c r="AA50" s="10">
        <f>kt*((Tabella2[[#This Row],[Day]]/t0t)^wt)*EXP(-(Tabella2[[#This Row],[Day]]/t0t))</f>
        <v>645.52531036640892</v>
      </c>
      <c r="AB50" s="65">
        <f>Tabella2[[#This Row],[New_Deaths_fit]]*NOT(ISBLANK(Tabella2[[#This Row],[New deaths]]))</f>
        <v>645.52531036640892</v>
      </c>
      <c r="AC50" s="10">
        <f>Tabella2[[#This Row],[New_Deaths_fit]]+CIt</f>
        <v>790.82943559424223</v>
      </c>
      <c r="AD50" s="10">
        <f>MAX(Tabella2[[#This Row],[New_Deaths_fit]]-CIt,0)</f>
        <v>500.22118513857561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Tabella2[[#This Row],[New cases]]*NOT(ISBLANK(Tabella2[[#This Row],[New cases]]))</f>
        <v>3039</v>
      </c>
      <c r="G51" s="50">
        <f>kn*t0n*_xlfn.GAMMA.DIST(Tabella2[[#This Row],[Day]]/t0n,wn+1,1,1)*_xlfn.GAMMA(wn+1)</f>
        <v>137321.32623397795</v>
      </c>
      <c r="H51" s="10">
        <f>kn*((Tabella2[[#This Row],[Day]]/t0n)^wn)*EXP(-(Tabella2[[#This Row],[Day]]/t0n))</f>
        <v>3939.758046531877</v>
      </c>
      <c r="I51" s="56">
        <f>Tabella2[[#This Row],[New_cases_fit]]*NOT(ISBLANK(Tabella2[[#This Row],[New cases]]))</f>
        <v>3939.758046531877</v>
      </c>
      <c r="J51" s="10">
        <f>Tabella2[[#This Row],[New_cases_fit]]+CIn</f>
        <v>5160.0196226674607</v>
      </c>
      <c r="K51" s="10">
        <f>MAX(Tabella2[[#This Row],[New_cases_fit]]-CIn,0)</f>
        <v>2719.4964703962933</v>
      </c>
      <c r="L51" s="54">
        <f>'dpc-covid19-ita-andamento-naz'!G45</f>
        <v>94067</v>
      </c>
      <c r="M51" s="54">
        <f>'dpc-covid19-ita-andamento-naz'!H45</f>
        <v>880</v>
      </c>
      <c r="N51" s="54">
        <f>Tabella2[[#This Row],[New_cases_fit]]-Tabella2[[#This Row],[New_Recovered_fit]]-Tabella2[[#This Row],[New_Deaths_fit]]</f>
        <v>1779.5624868242976</v>
      </c>
      <c r="O51" s="10">
        <f>'dpc-covid19-ita-andamento-naz'!J45</f>
        <v>24392</v>
      </c>
      <c r="P51" s="48">
        <f>Tabella2[[#This Row],[Cum_recov]]-O50</f>
        <v>1555</v>
      </c>
      <c r="Q51" s="60">
        <f>Tabella2[[#This Row],[New recovered]]*NOT(ISBLANK(Tabella2[[#This Row],[New recovered]]))</f>
        <v>1555</v>
      </c>
      <c r="R51" s="50">
        <f>kd*t0d*_xlfn.GAMMA.DIST(Tabella2[[#This Row],[Day]]/t0d,wd+1,1,1)*_xlfn.GAMMA(wd+1)</f>
        <v>25397.366540421186</v>
      </c>
      <c r="S51" s="10">
        <f>kd*((Tabella2[[#This Row],[Day]]/t0d)^wd)*EXP(-(Tabella2[[#This Row],[Day]]/t0d))</f>
        <v>1541.8132874251824</v>
      </c>
      <c r="T51" s="60">
        <f>Tabella2[[#This Row],[New_Recovered_fit]]*NOT(ISBLANK(Tabella2[[#This Row],[New recovered]]))</f>
        <v>1541.8132874251824</v>
      </c>
      <c r="U51" s="10">
        <f>Tabella2[[#This Row],[New_Recovered_fit]]+CId</f>
        <v>2075.2913111008274</v>
      </c>
      <c r="V51" s="10">
        <f>MAX(Tabella2[[#This Row],[New_Recovered_fit]]-CId,0)</f>
        <v>1008.3352637495375</v>
      </c>
      <c r="W51" s="10">
        <f>'dpc-covid19-ita-andamento-naz'!K45</f>
        <v>17127</v>
      </c>
      <c r="X51" s="26">
        <f>Tabella2[[#This Row],[Cum_deaths]]-W50</f>
        <v>604</v>
      </c>
      <c r="Y51" s="65">
        <f>Tabella2[[#This Row],[New deaths]]*NOT(ISBLANK(Tabella2[[#This Row],[New deaths]]))</f>
        <v>604</v>
      </c>
      <c r="Z51" s="50">
        <f>kt*t0t*_xlfn.GAMMA.DIST(Tabella2[[#This Row],[Day]]/t0t,wt+1,1,1)*_xlfn.GAMMA(wt+1)</f>
        <v>17197.237063454428</v>
      </c>
      <c r="AA51" s="10">
        <f>kt*((Tabella2[[#This Row],[Day]]/t0t)^wt)*EXP(-(Tabella2[[#This Row],[Day]]/t0t))</f>
        <v>618.38227228239714</v>
      </c>
      <c r="AB51" s="65">
        <f>Tabella2[[#This Row],[New_Deaths_fit]]*NOT(ISBLANK(Tabella2[[#This Row],[New deaths]]))</f>
        <v>618.38227228239714</v>
      </c>
      <c r="AC51" s="10">
        <f>Tabella2[[#This Row],[New_Deaths_fit]]+CIt</f>
        <v>763.68639751023045</v>
      </c>
      <c r="AD51" s="10">
        <f>MAX(Tabella2[[#This Row],[New_Deaths_fit]]-CIt,0)</f>
        <v>473.07814705456383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Tabella2[[#This Row],[New cases]]*NOT(ISBLANK(Tabella2[[#This Row],[New cases]]))</f>
        <v>3836</v>
      </c>
      <c r="G52" s="50">
        <f>kn*t0n*_xlfn.GAMMA.DIST(Tabella2[[#This Row],[Day]]/t0n,wn+1,1,1)*_xlfn.GAMMA(wn+1)</f>
        <v>141175.60836396867</v>
      </c>
      <c r="H52" s="10">
        <f>kn*((Tabella2[[#This Row],[Day]]/t0n)^wn)*EXP(-(Tabella2[[#This Row],[Day]]/t0n))</f>
        <v>3768.6022404883138</v>
      </c>
      <c r="I52" s="56">
        <f>Tabella2[[#This Row],[New_cases_fit]]*NOT(ISBLANK(Tabella2[[#This Row],[New cases]]))</f>
        <v>3768.6022404883138</v>
      </c>
      <c r="J52" s="10">
        <f>Tabella2[[#This Row],[New_cases_fit]]+CIn</f>
        <v>4988.8638166238979</v>
      </c>
      <c r="K52" s="10">
        <f>MAX(Tabella2[[#This Row],[New_cases_fit]]-CIn,0)</f>
        <v>2548.3406643527301</v>
      </c>
      <c r="L52" s="54">
        <f>'dpc-covid19-ita-andamento-naz'!G46</f>
        <v>95262</v>
      </c>
      <c r="M52" s="54">
        <f>'dpc-covid19-ita-andamento-naz'!H46</f>
        <v>1195</v>
      </c>
      <c r="N52" s="54">
        <f>Tabella2[[#This Row],[New_cases_fit]]-Tabella2[[#This Row],[New_Recovered_fit]]-Tabella2[[#This Row],[New_Deaths_fit]]</f>
        <v>1599.9076720656099</v>
      </c>
      <c r="O52" s="10">
        <f>'dpc-covid19-ita-andamento-naz'!J46</f>
        <v>26491</v>
      </c>
      <c r="P52" s="48">
        <f>Tabella2[[#This Row],[Cum_recov]]-O51</f>
        <v>2099</v>
      </c>
      <c r="Q52" s="60">
        <f>Tabella2[[#This Row],[New recovered]]*NOT(ISBLANK(Tabella2[[#This Row],[New recovered]]))</f>
        <v>2099</v>
      </c>
      <c r="R52" s="50">
        <f>kd*t0d*_xlfn.GAMMA.DIST(Tabella2[[#This Row],[Day]]/t0d,wd+1,1,1)*_xlfn.GAMMA(wd+1)</f>
        <v>26957.646789247196</v>
      </c>
      <c r="S52" s="10">
        <f>kd*((Tabella2[[#This Row],[Day]]/t0d)^wd)*EXP(-(Tabella2[[#This Row],[Day]]/t0d))</f>
        <v>1578.4438619794103</v>
      </c>
      <c r="T52" s="60">
        <f>Tabella2[[#This Row],[New_Recovered_fit]]*NOT(ISBLANK(Tabella2[[#This Row],[New recovered]]))</f>
        <v>1578.4438619794103</v>
      </c>
      <c r="U52" s="10">
        <f>Tabella2[[#This Row],[New_Recovered_fit]]+CId</f>
        <v>2111.9218856550551</v>
      </c>
      <c r="V52" s="10">
        <f>MAX(Tabella2[[#This Row],[New_Recovered_fit]]-CId,0)</f>
        <v>1044.9658383037654</v>
      </c>
      <c r="W52" s="10">
        <f>'dpc-covid19-ita-andamento-naz'!K46</f>
        <v>17669</v>
      </c>
      <c r="X52" s="26">
        <f>Tabella2[[#This Row],[Cum_deaths]]-W51</f>
        <v>542</v>
      </c>
      <c r="Y52" s="65">
        <f>Tabella2[[#This Row],[New deaths]]*NOT(ISBLANK(Tabella2[[#This Row],[New deaths]]))</f>
        <v>542</v>
      </c>
      <c r="Z52" s="50">
        <f>kt*t0t*_xlfn.GAMMA.DIST(Tabella2[[#This Row],[Day]]/t0t,wt+1,1,1)*_xlfn.GAMMA(wt+1)</f>
        <v>17801.621615823795</v>
      </c>
      <c r="AA52" s="10">
        <f>kt*((Tabella2[[#This Row],[Day]]/t0t)^wt)*EXP(-(Tabella2[[#This Row],[Day]]/t0t))</f>
        <v>590.25070644329355</v>
      </c>
      <c r="AB52" s="65">
        <f>Tabella2[[#This Row],[New_Deaths_fit]]*NOT(ISBLANK(Tabella2[[#This Row],[New deaths]]))</f>
        <v>590.25070644329355</v>
      </c>
      <c r="AC52" s="10">
        <f>Tabella2[[#This Row],[New_Deaths_fit]]+CIt</f>
        <v>735.55483167112686</v>
      </c>
      <c r="AD52" s="10">
        <f>MAX(Tabella2[[#This Row],[New_Deaths_fit]]-CIt,0)</f>
        <v>444.94658121546024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Tabella2[[#This Row],[New cases]]*NOT(ISBLANK(Tabella2[[#This Row],[New cases]]))</f>
        <v>4204</v>
      </c>
      <c r="G53" s="50">
        <f>kn*t0n*_xlfn.GAMMA.DIST(Tabella2[[#This Row],[Day]]/t0n,wn+1,1,1)*_xlfn.GAMMA(wn+1)</f>
        <v>144858.32368694126</v>
      </c>
      <c r="H53" s="10">
        <f>kn*((Tabella2[[#This Row],[Day]]/t0n)^wn)*EXP(-(Tabella2[[#This Row],[Day]]/t0n))</f>
        <v>3596.8210818228235</v>
      </c>
      <c r="I53" s="56">
        <f>Tabella2[[#This Row],[New_cases_fit]]*NOT(ISBLANK(Tabella2[[#This Row],[New cases]]))</f>
        <v>3596.8210818228235</v>
      </c>
      <c r="J53" s="10">
        <f>Tabella2[[#This Row],[New_cases_fit]]+CIn</f>
        <v>4817.0826579584073</v>
      </c>
      <c r="K53" s="10">
        <f>MAX(Tabella2[[#This Row],[New_cases_fit]]-CIn,0)</f>
        <v>2376.5595056872398</v>
      </c>
      <c r="L53" s="54">
        <f>'dpc-covid19-ita-andamento-naz'!G47</f>
        <v>96877</v>
      </c>
      <c r="M53" s="54">
        <f>'dpc-covid19-ita-andamento-naz'!H47</f>
        <v>1615</v>
      </c>
      <c r="N53" s="54">
        <f>Tabella2[[#This Row],[New_cases_fit]]-Tabella2[[#This Row],[New_Recovered_fit]]-Tabella2[[#This Row],[New_Deaths_fit]]</f>
        <v>1422.1237124543909</v>
      </c>
      <c r="O53" s="10">
        <f>'dpc-covid19-ita-andamento-naz'!J47</f>
        <v>28470</v>
      </c>
      <c r="P53" s="48">
        <f>Tabella2[[#This Row],[Cum_recov]]-O52</f>
        <v>1979</v>
      </c>
      <c r="Q53" s="60">
        <f>Tabella2[[#This Row],[New recovered]]*NOT(ISBLANK(Tabella2[[#This Row],[New recovered]]))</f>
        <v>1979</v>
      </c>
      <c r="R53" s="50">
        <f>kd*t0d*_xlfn.GAMMA.DIST(Tabella2[[#This Row],[Day]]/t0d,wd+1,1,1)*_xlfn.GAMMA(wd+1)</f>
        <v>28553.640428062365</v>
      </c>
      <c r="S53" s="10">
        <f>kd*((Tabella2[[#This Row],[Day]]/t0d)^wd)*EXP(-(Tabella2[[#This Row],[Day]]/t0d))</f>
        <v>1613.2332045702838</v>
      </c>
      <c r="T53" s="60">
        <f>Tabella2[[#This Row],[New_Recovered_fit]]*NOT(ISBLANK(Tabella2[[#This Row],[New recovered]]))</f>
        <v>1613.2332045702838</v>
      </c>
      <c r="U53" s="10">
        <f>Tabella2[[#This Row],[New_Recovered_fit]]+CId</f>
        <v>2146.7112282459284</v>
      </c>
      <c r="V53" s="10">
        <f>MAX(Tabella2[[#This Row],[New_Recovered_fit]]-CId,0)</f>
        <v>1079.7551808946389</v>
      </c>
      <c r="W53" s="10">
        <f>'dpc-covid19-ita-andamento-naz'!K47</f>
        <v>18279</v>
      </c>
      <c r="X53" s="26">
        <f>Tabella2[[#This Row],[Cum_deaths]]-W52</f>
        <v>610</v>
      </c>
      <c r="Y53" s="65">
        <f>Tabella2[[#This Row],[New deaths]]*NOT(ISBLANK(Tabella2[[#This Row],[New deaths]]))</f>
        <v>610</v>
      </c>
      <c r="Z53" s="50">
        <f>kt*t0t*_xlfn.GAMMA.DIST(Tabella2[[#This Row],[Day]]/t0t,wt+1,1,1)*_xlfn.GAMMA(wt+1)</f>
        <v>18377.52046593307</v>
      </c>
      <c r="AA53" s="10">
        <f>kt*((Tabella2[[#This Row],[Day]]/t0t)^wt)*EXP(-(Tabella2[[#This Row],[Day]]/t0t))</f>
        <v>561.46416479814889</v>
      </c>
      <c r="AB53" s="65">
        <f>Tabella2[[#This Row],[New_Deaths_fit]]*NOT(ISBLANK(Tabella2[[#This Row],[New deaths]]))</f>
        <v>561.46416479814889</v>
      </c>
      <c r="AC53" s="10">
        <f>Tabella2[[#This Row],[New_Deaths_fit]]+CIt</f>
        <v>706.7682900259822</v>
      </c>
      <c r="AD53" s="10">
        <f>MAX(Tabella2[[#This Row],[New_Deaths_fit]]-CIt,0)</f>
        <v>416.16003957031558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Tabella2[[#This Row],[New cases]]*NOT(ISBLANK(Tabella2[[#This Row],[New cases]]))</f>
        <v>3951</v>
      </c>
      <c r="G54" s="50">
        <f>kn*t0n*_xlfn.GAMMA.DIST(Tabella2[[#This Row],[Day]]/t0n,wn+1,1,1)*_xlfn.GAMMA(wn+1)</f>
        <v>148369.41558074084</v>
      </c>
      <c r="H54" s="10">
        <f>kn*((Tabella2[[#This Row],[Day]]/t0n)^wn)*EXP(-(Tabella2[[#This Row],[Day]]/t0n))</f>
        <v>3425.5309089653151</v>
      </c>
      <c r="I54" s="56">
        <f>Tabella2[[#This Row],[New_cases_fit]]*NOT(ISBLANK(Tabella2[[#This Row],[New cases]]))</f>
        <v>3425.5309089653151</v>
      </c>
      <c r="J54" s="10">
        <f>Tabella2[[#This Row],[New_cases_fit]]+CIn</f>
        <v>4645.7924851008993</v>
      </c>
      <c r="K54" s="10">
        <f>MAX(Tabella2[[#This Row],[New_cases_fit]]-CIn,0)</f>
        <v>2205.2693328297314</v>
      </c>
      <c r="L54" s="54">
        <f>'dpc-covid19-ita-andamento-naz'!G48</f>
        <v>98273</v>
      </c>
      <c r="M54" s="54">
        <f>'dpc-covid19-ita-andamento-naz'!H48</f>
        <v>1396</v>
      </c>
      <c r="N54" s="54">
        <f>Tabella2[[#This Row],[New_cases_fit]]-Tabella2[[#This Row],[New_Recovered_fit]]-Tabella2[[#This Row],[New_Deaths_fit]]</f>
        <v>1247.0587113800207</v>
      </c>
      <c r="O54" s="10">
        <f>'dpc-covid19-ita-andamento-naz'!J48</f>
        <v>30455</v>
      </c>
      <c r="P54" s="48">
        <f>Tabella2[[#This Row],[Cum_recov]]-O53</f>
        <v>1985</v>
      </c>
      <c r="Q54" s="60">
        <f>Tabella2[[#This Row],[New recovered]]*NOT(ISBLANK(Tabella2[[#This Row],[New recovered]]))</f>
        <v>1985</v>
      </c>
      <c r="R54" s="50">
        <f>kd*t0d*_xlfn.GAMMA.DIST(Tabella2[[#This Row],[Day]]/t0d,wd+1,1,1)*_xlfn.GAMMA(wd+1)</f>
        <v>30183.487002384336</v>
      </c>
      <c r="S54" s="10">
        <f>kd*((Tabella2[[#This Row],[Day]]/t0d)^wd)*EXP(-(Tabella2[[#This Row],[Day]]/t0d))</f>
        <v>1646.1442234088624</v>
      </c>
      <c r="T54" s="60">
        <f>Tabella2[[#This Row],[New_Recovered_fit]]*NOT(ISBLANK(Tabella2[[#This Row],[New recovered]]))</f>
        <v>1646.1442234088624</v>
      </c>
      <c r="U54" s="10">
        <f>Tabella2[[#This Row],[New_Recovered_fit]]+CId</f>
        <v>2179.6222470845073</v>
      </c>
      <c r="V54" s="10">
        <f>MAX(Tabella2[[#This Row],[New_Recovered_fit]]-CId,0)</f>
        <v>1112.6661997332176</v>
      </c>
      <c r="W54" s="10">
        <f>'dpc-covid19-ita-andamento-naz'!K48</f>
        <v>18849</v>
      </c>
      <c r="X54" s="26">
        <f>Tabella2[[#This Row],[Cum_deaths]]-W53</f>
        <v>570</v>
      </c>
      <c r="Y54" s="65">
        <f>Tabella2[[#This Row],[New deaths]]*NOT(ISBLANK(Tabella2[[#This Row],[New deaths]]))</f>
        <v>570</v>
      </c>
      <c r="Z54" s="50">
        <f>kt*t0t*_xlfn.GAMMA.DIST(Tabella2[[#This Row],[Day]]/t0t,wt+1,1,1)*_xlfn.GAMMA(wt+1)</f>
        <v>18924.433726277333</v>
      </c>
      <c r="AA54" s="10">
        <f>kt*((Tabella2[[#This Row],[Day]]/t0t)^wt)*EXP(-(Tabella2[[#This Row],[Day]]/t0t))</f>
        <v>532.32797417643189</v>
      </c>
      <c r="AB54" s="65">
        <f>Tabella2[[#This Row],[New_Deaths_fit]]*NOT(ISBLANK(Tabella2[[#This Row],[New deaths]]))</f>
        <v>532.32797417643189</v>
      </c>
      <c r="AC54" s="10">
        <f>Tabella2[[#This Row],[New_Deaths_fit]]+CIt</f>
        <v>677.6320994042652</v>
      </c>
      <c r="AD54" s="10">
        <f>MAX(Tabella2[[#This Row],[New_Deaths_fit]]-CIt,0)</f>
        <v>387.02384894859858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Tabella2[[#This Row],[New cases]]*NOT(ISBLANK(Tabella2[[#This Row],[New cases]]))</f>
        <v>4694</v>
      </c>
      <c r="G55" s="50">
        <f>kn*t0n*_xlfn.GAMMA.DIST(Tabella2[[#This Row],[Day]]/t0n,wn+1,1,1)*_xlfn.GAMMA(wn+1)</f>
        <v>151709.88094428022</v>
      </c>
      <c r="H55" s="10">
        <f>kn*((Tabella2[[#This Row],[Day]]/t0n)^wn)*EXP(-(Tabella2[[#This Row],[Day]]/t0n))</f>
        <v>3255.7230234932158</v>
      </c>
      <c r="I55" s="56">
        <f>Tabella2[[#This Row],[New_cases_fit]]*NOT(ISBLANK(Tabella2[[#This Row],[New cases]]))</f>
        <v>3255.7230234932158</v>
      </c>
      <c r="J55" s="10">
        <f>Tabella2[[#This Row],[New_cases_fit]]+CIn</f>
        <v>4475.9845996287995</v>
      </c>
      <c r="K55" s="10">
        <f>MAX(Tabella2[[#This Row],[New_cases_fit]]-CIn,0)</f>
        <v>2035.4614473576321</v>
      </c>
      <c r="L55" s="54">
        <f>'dpc-covid19-ita-andamento-naz'!G49</f>
        <v>100269</v>
      </c>
      <c r="M55" s="54">
        <f>'dpc-covid19-ita-andamento-naz'!H49</f>
        <v>1996</v>
      </c>
      <c r="N55" s="54">
        <f>Tabella2[[#This Row],[New_cases_fit]]-Tabella2[[#This Row],[New_Recovered_fit]]-Tabella2[[#This Row],[New_Deaths_fit]]</f>
        <v>1075.4574578038541</v>
      </c>
      <c r="O55" s="10">
        <f>'dpc-covid19-ita-andamento-naz'!J49</f>
        <v>32534</v>
      </c>
      <c r="P55" s="48">
        <f>Tabella2[[#This Row],[Cum_recov]]-O54</f>
        <v>2079</v>
      </c>
      <c r="Q55" s="60">
        <f>Tabella2[[#This Row],[New recovered]]*NOT(ISBLANK(Tabella2[[#This Row],[New recovered]]))</f>
        <v>2079</v>
      </c>
      <c r="R55" s="50">
        <f>kd*t0d*_xlfn.GAMMA.DIST(Tabella2[[#This Row],[Day]]/t0d,wd+1,1,1)*_xlfn.GAMMA(wd+1)</f>
        <v>31845.292961478644</v>
      </c>
      <c r="S55" s="10">
        <f>kd*((Tabella2[[#This Row],[Day]]/t0d)^wd)*EXP(-(Tabella2[[#This Row],[Day]]/t0d))</f>
        <v>1677.1477532280694</v>
      </c>
      <c r="T55" s="60">
        <f>Tabella2[[#This Row],[New_Recovered_fit]]*NOT(ISBLANK(Tabella2[[#This Row],[New recovered]]))</f>
        <v>1677.1477532280694</v>
      </c>
      <c r="U55" s="10">
        <f>Tabella2[[#This Row],[New_Recovered_fit]]+CId</f>
        <v>2210.6257769037143</v>
      </c>
      <c r="V55" s="10">
        <f>MAX(Tabella2[[#This Row],[New_Recovered_fit]]-CId,0)</f>
        <v>1143.6697295524245</v>
      </c>
      <c r="W55" s="10">
        <f>'dpc-covid19-ita-andamento-naz'!K49</f>
        <v>19468</v>
      </c>
      <c r="X55" s="26">
        <f>Tabella2[[#This Row],[Cum_deaths]]-W54</f>
        <v>619</v>
      </c>
      <c r="Y55" s="65">
        <f>Tabella2[[#This Row],[New deaths]]*NOT(ISBLANK(Tabella2[[#This Row],[New deaths]]))</f>
        <v>619</v>
      </c>
      <c r="Z55" s="50">
        <f>kt*t0t*_xlfn.GAMMA.DIST(Tabella2[[#This Row],[Day]]/t0t,wt+1,1,1)*_xlfn.GAMMA(wt+1)</f>
        <v>19442.152094325742</v>
      </c>
      <c r="AA55" s="10">
        <f>kt*((Tabella2[[#This Row],[Day]]/t0t)^wt)*EXP(-(Tabella2[[#This Row],[Day]]/t0t))</f>
        <v>503.11781246129215</v>
      </c>
      <c r="AB55" s="65">
        <f>Tabella2[[#This Row],[New_Deaths_fit]]*NOT(ISBLANK(Tabella2[[#This Row],[New deaths]]))</f>
        <v>503.11781246129215</v>
      </c>
      <c r="AC55" s="10">
        <f>Tabella2[[#This Row],[New_Deaths_fit]]+CIt</f>
        <v>648.42193768912546</v>
      </c>
      <c r="AD55" s="10">
        <f>MAX(Tabella2[[#This Row],[New_Deaths_fit]]-CIt,0)</f>
        <v>357.81368723345884</v>
      </c>
    </row>
    <row r="56" spans="2:30" x14ac:dyDescent="0.3">
      <c r="B56" s="9">
        <v>43933</v>
      </c>
      <c r="C56" s="4">
        <f t="shared" si="0"/>
        <v>48</v>
      </c>
      <c r="D56" s="10">
        <f>'dpc-covid19-ita-andamento-naz'!L50</f>
        <v>156363</v>
      </c>
      <c r="E56" s="30">
        <f>'dpc-covid19-ita-andamento-naz'!I50</f>
        <v>4092</v>
      </c>
      <c r="F56" s="56">
        <f>Tabella2[[#This Row],[New cases]]*NOT(ISBLANK(Tabella2[[#This Row],[New cases]]))</f>
        <v>4092</v>
      </c>
      <c r="G56" s="50">
        <f>kn*t0n*_xlfn.GAMMA.DIST(Tabella2[[#This Row],[Day]]/t0n,wn+1,1,1)*_xlfn.GAMMA(wn+1)</f>
        <v>154881.64717699765</v>
      </c>
      <c r="H56" s="10">
        <f>kn*((Tabella2[[#This Row],[Day]]/t0n)^wn)*EXP(-(Tabella2[[#This Row],[Day]]/t0n))</f>
        <v>3088.2679350855069</v>
      </c>
      <c r="I56" s="56">
        <f>Tabella2[[#This Row],[New_cases_fit]]*NOT(ISBLANK(Tabella2[[#This Row],[New cases]]))</f>
        <v>3088.2679350855069</v>
      </c>
      <c r="J56" s="10">
        <f>Tabella2[[#This Row],[New_cases_fit]]+CIn</f>
        <v>4308.5295112210906</v>
      </c>
      <c r="K56" s="10">
        <f>MAX(Tabella2[[#This Row],[New_cases_fit]]-CIn,0)</f>
        <v>1868.0063589499232</v>
      </c>
      <c r="L56" s="54">
        <f>'dpc-covid19-ita-andamento-naz'!G50</f>
        <v>102253</v>
      </c>
      <c r="M56" s="54">
        <f>'dpc-covid19-ita-andamento-naz'!H50</f>
        <v>1984</v>
      </c>
      <c r="N56" s="54">
        <f>Tabella2[[#This Row],[New_cases_fit]]-Tabella2[[#This Row],[New_Recovered_fit]]-Tabella2[[#This Row],[New_Deaths_fit]]</f>
        <v>907.96666770594425</v>
      </c>
      <c r="O56" s="10">
        <f>'dpc-covid19-ita-andamento-naz'!J50</f>
        <v>34211</v>
      </c>
      <c r="P56" s="48">
        <f>Tabella2[[#This Row],[Cum_recov]]-O55</f>
        <v>1677</v>
      </c>
      <c r="Q56" s="60">
        <f>Tabella2[[#This Row],[New recovered]]*NOT(ISBLANK(Tabella2[[#This Row],[New recovered]]))</f>
        <v>1677</v>
      </c>
      <c r="R56" s="50">
        <f>kd*t0d*_xlfn.GAMMA.DIST(Tabella2[[#This Row],[Day]]/t0d,wd+1,1,1)*_xlfn.GAMMA(wd+1)</f>
        <v>33537.139389701362</v>
      </c>
      <c r="S56" s="10">
        <f>kd*((Tabella2[[#This Row],[Day]]/t0d)^wd)*EXP(-(Tabella2[[#This Row],[Day]]/t0d))</f>
        <v>1706.2221635202382</v>
      </c>
      <c r="T56" s="60">
        <f>Tabella2[[#This Row],[New_Recovered_fit]]*NOT(ISBLANK(Tabella2[[#This Row],[New recovered]]))</f>
        <v>1706.2221635202382</v>
      </c>
      <c r="U56" s="10">
        <f>Tabella2[[#This Row],[New_Recovered_fit]]+CId</f>
        <v>2239.7001871958828</v>
      </c>
      <c r="V56" s="10">
        <f>MAX(Tabella2[[#This Row],[New_Recovered_fit]]-CId,0)</f>
        <v>1172.7441398445933</v>
      </c>
      <c r="W56" s="10">
        <f>'dpc-covid19-ita-andamento-naz'!K50</f>
        <v>19899</v>
      </c>
      <c r="X56" s="26">
        <f>Tabella2[[#This Row],[Cum_deaths]]-W55</f>
        <v>431</v>
      </c>
      <c r="Y56" s="65">
        <f>Tabella2[[#This Row],[New deaths]]*NOT(ISBLANK(Tabella2[[#This Row],[New deaths]]))</f>
        <v>431</v>
      </c>
      <c r="Z56" s="50">
        <f>kt*t0t*_xlfn.GAMMA.DIST(Tabella2[[#This Row],[Day]]/t0t,wt+1,1,1)*_xlfn.GAMMA(wt+1)</f>
        <v>19930.72683814236</v>
      </c>
      <c r="AA56" s="10">
        <f>kt*((Tabella2[[#This Row],[Day]]/t0t)^wt)*EXP(-(Tabella2[[#This Row],[Day]]/t0t))</f>
        <v>474.0791038593245</v>
      </c>
      <c r="AB56" s="65">
        <f>Tabella2[[#This Row],[New_Deaths_fit]]*NOT(ISBLANK(Tabella2[[#This Row],[New deaths]]))</f>
        <v>474.0791038593245</v>
      </c>
      <c r="AC56" s="10">
        <f>Tabella2[[#This Row],[New_Deaths_fit]]+CIt</f>
        <v>619.38322908715782</v>
      </c>
      <c r="AD56" s="10">
        <f>MAX(Tabella2[[#This Row],[New_Deaths_fit]]-CIt,0)</f>
        <v>328.77497863149119</v>
      </c>
    </row>
    <row r="57" spans="2:30" x14ac:dyDescent="0.3">
      <c r="B57" s="9">
        <v>43934</v>
      </c>
      <c r="C57" s="4">
        <f t="shared" si="0"/>
        <v>49</v>
      </c>
      <c r="D57" s="10">
        <f>'dpc-covid19-ita-andamento-naz'!L51</f>
        <v>159516</v>
      </c>
      <c r="E57" s="30">
        <f>'dpc-covid19-ita-andamento-naz'!I51</f>
        <v>3153</v>
      </c>
      <c r="F57" s="56">
        <f>Tabella2[[#This Row],[New cases]]*NOT(ISBLANK(Tabella2[[#This Row],[New cases]]))</f>
        <v>3153</v>
      </c>
      <c r="G57" s="50">
        <f>kn*t0n*_xlfn.GAMMA.DIST(Tabella2[[#This Row],[Day]]/t0n,wn+1,1,1)*_xlfn.GAMMA(wn+1)</f>
        <v>157887.45399020263</v>
      </c>
      <c r="H57" s="10">
        <f>kn*((Tabella2[[#This Row],[Day]]/t0n)^wn)*EXP(-(Tabella2[[#This Row],[Day]]/t0n))</f>
        <v>2923.9207314327823</v>
      </c>
      <c r="I57" s="56">
        <f>Tabella2[[#This Row],[New_cases_fit]]*NOT(ISBLANK(Tabella2[[#This Row],[New cases]]))</f>
        <v>2923.9207314327823</v>
      </c>
      <c r="J57" s="10">
        <f>Tabella2[[#This Row],[New_cases_fit]]+CIn</f>
        <v>4144.182307568366</v>
      </c>
      <c r="K57" s="10">
        <f>MAX(Tabella2[[#This Row],[New_cases_fit]]-CIn,0)</f>
        <v>1703.6591552971986</v>
      </c>
      <c r="L57" s="54">
        <f>'dpc-covid19-ita-andamento-naz'!G51</f>
        <v>103616</v>
      </c>
      <c r="M57" s="54">
        <f>'dpc-covid19-ita-andamento-naz'!H51</f>
        <v>1363</v>
      </c>
      <c r="N57" s="54">
        <f>Tabella2[[#This Row],[New_cases_fit]]-Tabella2[[#This Row],[New_Recovered_fit]]-Tabella2[[#This Row],[New_Deaths_fit]]</f>
        <v>745.14066179035717</v>
      </c>
      <c r="O57" s="10">
        <f>'dpc-covid19-ita-andamento-naz'!J51</f>
        <v>35435</v>
      </c>
      <c r="P57" s="48">
        <f>Tabella2[[#This Row],[Cum_recov]]-O56</f>
        <v>1224</v>
      </c>
      <c r="Q57" s="60">
        <f>Tabella2[[#This Row],[New recovered]]*NOT(ISBLANK(Tabella2[[#This Row],[New recovered]]))</f>
        <v>1224</v>
      </c>
      <c r="R57" s="50">
        <f>kd*t0d*_xlfn.GAMMA.DIST(Tabella2[[#This Row],[Day]]/t0d,wd+1,1,1)*_xlfn.GAMMA(wd+1)</f>
        <v>35257.089342446692</v>
      </c>
      <c r="S57" s="10">
        <f>kd*((Tabella2[[#This Row],[Day]]/t0d)^wd)*EXP(-(Tabella2[[#This Row],[Day]]/t0d))</f>
        <v>1733.3529600753577</v>
      </c>
      <c r="T57" s="60">
        <f>Tabella2[[#This Row],[New_Recovered_fit]]*NOT(ISBLANK(Tabella2[[#This Row],[New recovered]]))</f>
        <v>1733.3529600753577</v>
      </c>
      <c r="U57" s="10">
        <f>Tabella2[[#This Row],[New_Recovered_fit]]+CId</f>
        <v>2266.8309837510023</v>
      </c>
      <c r="V57" s="10">
        <f>MAX(Tabella2[[#This Row],[New_Recovered_fit]]-CId,0)</f>
        <v>1199.8749363997129</v>
      </c>
      <c r="W57" s="10">
        <f>'dpc-covid19-ita-andamento-naz'!K51</f>
        <v>20465</v>
      </c>
      <c r="X57" s="26">
        <f>Tabella2[[#This Row],[Cum_deaths]]-W56</f>
        <v>566</v>
      </c>
      <c r="Y57" s="65">
        <f>Tabella2[[#This Row],[New deaths]]*NOT(ISBLANK(Tabella2[[#This Row],[New deaths]]))</f>
        <v>566</v>
      </c>
      <c r="Z57" s="50">
        <f>kt*t0t*_xlfn.GAMMA.DIST(Tabella2[[#This Row],[Day]]/t0t,wt+1,1,1)*_xlfn.GAMMA(wt+1)</f>
        <v>20390.439535164809</v>
      </c>
      <c r="AA57" s="10">
        <f>kt*((Tabella2[[#This Row],[Day]]/t0t)^wt)*EXP(-(Tabella2[[#This Row],[Day]]/t0t))</f>
        <v>445.42710956706748</v>
      </c>
      <c r="AB57" s="65">
        <f>Tabella2[[#This Row],[New_Deaths_fit]]*NOT(ISBLANK(Tabella2[[#This Row],[New deaths]]))</f>
        <v>445.42710956706748</v>
      </c>
      <c r="AC57" s="10">
        <f>Tabella2[[#This Row],[New_Deaths_fit]]+CIt</f>
        <v>590.73123479490073</v>
      </c>
      <c r="AD57" s="10">
        <f>MAX(Tabella2[[#This Row],[New_Deaths_fit]]-CIt,0)</f>
        <v>300.12298433923416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Tabella2[[#This Row],[New cases]]*NOT(ISBLANK(Tabella2[[#This Row],[New cases]]))</f>
        <v>0</v>
      </c>
      <c r="G58" s="50">
        <f>kn*t0n*_xlfn.GAMMA.DIST(Tabella2[[#This Row],[Day]]/t0n,wn+1,1,1)*_xlfn.GAMMA(wn+1)</f>
        <v>160730.74103426683</v>
      </c>
      <c r="H58" s="10">
        <f>kn*((Tabella2[[#This Row],[Day]]/t0n)^wn)*EXP(-(Tabella2[[#This Row],[Day]]/t0n))</f>
        <v>2763.3272968148772</v>
      </c>
      <c r="I58" s="56">
        <f>Tabella2[[#This Row],[New_cases_fit]]*NOT(ISBLANK(Tabella2[[#This Row],[New cases]]))</f>
        <v>0</v>
      </c>
      <c r="L58" s="55"/>
      <c r="M58" s="54"/>
      <c r="N58" s="54">
        <f>Tabella2[[#This Row],[New_cases_fit]]-Tabella2[[#This Row],[New_Recovered_fit]]-Tabella2[[#This Row],[New_Deaths_fit]]</f>
        <v>587.44731960952095</v>
      </c>
      <c r="P58" s="48"/>
      <c r="Q58" s="60">
        <f>Tabella2[[#This Row],[New recovered]]*NOT(ISBLANK(Tabella2[[#This Row],[New recovered]]))</f>
        <v>0</v>
      </c>
      <c r="R58" s="50">
        <f>kd*t0d*_xlfn.GAMMA.DIST(Tabella2[[#This Row],[Day]]/t0d,wd+1,1,1)*_xlfn.GAMMA(wd+1)</f>
        <v>37003.194781630707</v>
      </c>
      <c r="S58" s="10">
        <f>kd*((Tabella2[[#This Row],[Day]]/t0d)^wd)*EXP(-(Tabella2[[#This Row],[Day]]/t0d))</f>
        <v>1758.5323830153279</v>
      </c>
      <c r="T58" s="60">
        <f>Tabella2[[#This Row],[New_Recovered_fit]]*NOT(ISBLANK(Tabella2[[#This Row],[New recovered]]))</f>
        <v>0</v>
      </c>
      <c r="X58" s="26"/>
      <c r="Y58" s="65">
        <f>Tabella2[[#This Row],[New deaths]]*NOT(ISBLANK(Tabella2[[#This Row],[New deaths]]))</f>
        <v>0</v>
      </c>
      <c r="Z58" s="50">
        <f>kt*t0t*_xlfn.GAMMA.DIST(Tabella2[[#This Row],[Day]]/t0t,wt+1,1,1)*_xlfn.GAMMA(wt+1)</f>
        <v>20821.772199245297</v>
      </c>
      <c r="AA58" s="10">
        <f>kt*((Tabella2[[#This Row],[Day]]/t0t)^wt)*EXP(-(Tabella2[[#This Row],[Day]]/t0t))</f>
        <v>417.3475941900283</v>
      </c>
      <c r="AB58" s="65">
        <f>Tabella2[[#This Row],[New_Deaths_fit]]*NOT(ISBLANK(Tabella2[[#This Row],[New deaths]]))</f>
        <v>0</v>
      </c>
    </row>
    <row r="59" spans="2:30" x14ac:dyDescent="0.3">
      <c r="B59" s="9">
        <v>43936</v>
      </c>
      <c r="C59" s="4">
        <f t="shared" si="0"/>
        <v>51</v>
      </c>
      <c r="E59" s="30"/>
      <c r="F59" s="56">
        <f>Tabella2[[#This Row],[New cases]]*NOT(ISBLANK(Tabella2[[#This Row],[New cases]]))</f>
        <v>0</v>
      </c>
      <c r="G59" s="50">
        <f>kn*t0n*_xlfn.GAMMA.DIST(Tabella2[[#This Row],[Day]]/t0n,wn+1,1,1)*_xlfn.GAMMA(wn+1)</f>
        <v>163415.54206629383</v>
      </c>
      <c r="H59" s="10">
        <f>kn*((Tabella2[[#This Row],[Day]]/t0n)^wn)*EXP(-(Tabella2[[#This Row],[Day]]/t0n))</f>
        <v>2607.0311368042981</v>
      </c>
      <c r="I59" s="56">
        <f>Tabella2[[#This Row],[New_cases_fit]]*NOT(ISBLANK(Tabella2[[#This Row],[New cases]]))</f>
        <v>0</v>
      </c>
      <c r="L59" s="55"/>
      <c r="M59" s="54"/>
      <c r="N59" s="54">
        <f>Tabella2[[#This Row],[New_cases_fit]]-Tabella2[[#This Row],[New_Recovered_fit]]-Tabella2[[#This Row],[New_Deaths_fit]]</f>
        <v>435.27417748819619</v>
      </c>
      <c r="P59" s="48"/>
      <c r="Q59" s="60">
        <f>Tabella2[[#This Row],[New recovered]]*NOT(ISBLANK(Tabella2[[#This Row],[New recovered]]))</f>
        <v>0</v>
      </c>
      <c r="R59" s="50">
        <f>kd*t0d*_xlfn.GAMMA.DIST(Tabella2[[#This Row],[Day]]/t0d,wd+1,1,1)*_xlfn.GAMMA(wd+1)</f>
        <v>38773.503108649849</v>
      </c>
      <c r="S59" s="10">
        <f>kd*((Tabella2[[#This Row],[Day]]/t0d)^wd)*EXP(-(Tabella2[[#This Row],[Day]]/t0d))</f>
        <v>1781.7590041521296</v>
      </c>
      <c r="T59" s="60">
        <f>Tabella2[[#This Row],[New_Recovered_fit]]*NOT(ISBLANK(Tabella2[[#This Row],[New recovered]]))</f>
        <v>0</v>
      </c>
      <c r="X59" s="26"/>
      <c r="Y59" s="65">
        <f>Tabella2[[#This Row],[New deaths]]*NOT(ISBLANK(Tabella2[[#This Row],[New deaths]]))</f>
        <v>0</v>
      </c>
      <c r="Z59" s="50">
        <f>kt*t0t*_xlfn.GAMMA.DIST(Tabella2[[#This Row],[Day]]/t0t,wt+1,1,1)*_xlfn.GAMMA(wt+1)</f>
        <v>21225.378314662048</v>
      </c>
      <c r="AA59" s="10">
        <f>kt*((Tabella2[[#This Row],[Day]]/t0t)^wt)*EXP(-(Tabella2[[#This Row],[Day]]/t0t))</f>
        <v>389.99795516397228</v>
      </c>
      <c r="AB59" s="65">
        <f>Tabella2[[#This Row],[New_Deaths_fit]]*NOT(ISBLANK(Tabella2[[#This Row],[New 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Tabella2[[#This Row],[New cases]]*NOT(ISBLANK(Tabella2[[#This Row],[New cases]]))</f>
        <v>0</v>
      </c>
      <c r="G60" s="50">
        <f>kn*t0n*_xlfn.GAMMA.DIST(Tabella2[[#This Row],[Day]]/t0n,wn+1,1,1)*_xlfn.GAMMA(wn+1)</f>
        <v>165946.38615666609</v>
      </c>
      <c r="H60" s="10">
        <f>kn*((Tabella2[[#This Row],[Day]]/t0n)^wn)*EXP(-(Tabella2[[#This Row],[Day]]/t0n))</f>
        <v>2455.4805988802568</v>
      </c>
      <c r="I60" s="56">
        <f>Tabella2[[#This Row],[New_cases_fit]]*NOT(ISBLANK(Tabella2[[#This Row],[New cases]]))</f>
        <v>0</v>
      </c>
      <c r="L60" s="55"/>
      <c r="M60" s="54"/>
      <c r="N60" s="54">
        <f>Tabella2[[#This Row],[New_cases_fit]]-Tabella2[[#This Row],[New_Recovered_fit]]-Tabella2[[#This Row],[New_Deaths_fit]]</f>
        <v>288.93456141895143</v>
      </c>
      <c r="P60" s="48"/>
      <c r="Q60" s="60">
        <f>Tabella2[[#This Row],[New recovered]]*NOT(ISBLANK(Tabella2[[#This Row],[New recovered]]))</f>
        <v>0</v>
      </c>
      <c r="R60" s="50">
        <f>kd*t0d*_xlfn.GAMMA.DIST(Tabella2[[#This Row],[Day]]/t0d,wd+1,1,1)*_xlfn.GAMMA(wd+1)</f>
        <v>40566.063295410422</v>
      </c>
      <c r="S60" s="10">
        <f>kd*((Tabella2[[#This Row],[Day]]/t0d)^wd)*EXP(-(Tabella2[[#This Row],[Day]]/t0d))</f>
        <v>1803.0373261592865</v>
      </c>
      <c r="T60" s="60">
        <f>Tabella2[[#This Row],[New_Recovered_fit]]*NOT(ISBLANK(Tabella2[[#This Row],[New recovered]]))</f>
        <v>0</v>
      </c>
      <c r="X60" s="26"/>
      <c r="Y60" s="65">
        <f>Tabella2[[#This Row],[New deaths]]*NOT(ISBLANK(Tabella2[[#This Row],[New deaths]]))</f>
        <v>0</v>
      </c>
      <c r="Z60" s="50">
        <f>kt*t0t*_xlfn.GAMMA.DIST(Tabella2[[#This Row],[Day]]/t0t,wt+1,1,1)*_xlfn.GAMMA(wt+1)</f>
        <v>21602.05518736365</v>
      </c>
      <c r="AA60" s="10">
        <f>kt*((Tabella2[[#This Row],[Day]]/t0t)^wt)*EXP(-(Tabella2[[#This Row],[Day]]/t0t))</f>
        <v>363.50871130201887</v>
      </c>
      <c r="AB60" s="65">
        <f>Tabella2[[#This Row],[New_Deaths_fit]]*NOT(ISBLANK(Tabella2[[#This Row],[New 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Tabella2[[#This Row],[New cases]]*NOT(ISBLANK(Tabella2[[#This Row],[New cases]]))</f>
        <v>0</v>
      </c>
      <c r="G61" s="50">
        <f>kn*t0n*_xlfn.GAMMA.DIST(Tabella2[[#This Row],[Day]]/t0n,wn+1,1,1)*_xlfn.GAMMA(wn+1)</f>
        <v>168328.2062380412</v>
      </c>
      <c r="H61" s="10">
        <f>kn*((Tabella2[[#This Row],[Day]]/t0n)^wn)*EXP(-(Tabella2[[#This Row],[Day]]/t0n))</f>
        <v>2309.03630917275</v>
      </c>
      <c r="I61" s="56">
        <f>Tabella2[[#This Row],[New_cases_fit]]*NOT(ISBLANK(Tabella2[[#This Row],[New cases]]))</f>
        <v>0</v>
      </c>
      <c r="L61" s="55"/>
      <c r="M61" s="54"/>
      <c r="N61" s="54">
        <f>Tabella2[[#This Row],[New_cases_fit]]-Tabella2[[#This Row],[New_Recovered_fit]]-Tabella2[[#This Row],[New_Deaths_fit]]</f>
        <v>148.6736667213612</v>
      </c>
      <c r="P61" s="48"/>
      <c r="Q61" s="60">
        <f>Tabella2[[#This Row],[New recovered]]*NOT(ISBLANK(Tabella2[[#This Row],[New recovered]]))</f>
        <v>0</v>
      </c>
      <c r="R61" s="50">
        <f>kd*t0d*_xlfn.GAMMA.DIST(Tabella2[[#This Row],[Day]]/t0d,wd+1,1,1)*_xlfn.GAMMA(wd+1)</f>
        <v>42378.931616355956</v>
      </c>
      <c r="S61" s="10">
        <f>kd*((Tabella2[[#This Row],[Day]]/t0d)^wd)*EXP(-(Tabella2[[#This Row],[Day]]/t0d))</f>
        <v>1822.3773857348588</v>
      </c>
      <c r="T61" s="60">
        <f>Tabella2[[#This Row],[New_Recovered_fit]]*NOT(ISBLANK(Tabella2[[#This Row],[New recovered]]))</f>
        <v>0</v>
      </c>
      <c r="X61" s="26"/>
      <c r="Y61" s="65">
        <f>Tabella2[[#This Row],[New deaths]]*NOT(ISBLANK(Tabella2[[#This Row],[New deaths]]))</f>
        <v>0</v>
      </c>
      <c r="Z61" s="50">
        <f>kt*t0t*_xlfn.GAMMA.DIST(Tabella2[[#This Row],[Day]]/t0t,wt+1,1,1)*_xlfn.GAMMA(wt+1)</f>
        <v>21952.717924817371</v>
      </c>
      <c r="AA61" s="10">
        <f>kt*((Tabella2[[#This Row],[Day]]/t0t)^wt)*EXP(-(Tabella2[[#This Row],[Day]]/t0t))</f>
        <v>337.98525671652999</v>
      </c>
      <c r="AB61" s="65">
        <f>Tabella2[[#This Row],[New_Deaths_fit]]*NOT(ISBLANK(Tabella2[[#This Row],[New 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Tabella2[[#This Row],[New cases]]*NOT(ISBLANK(Tabella2[[#This Row],[New cases]]))</f>
        <v>0</v>
      </c>
      <c r="G62" s="50">
        <f>kn*t0n*_xlfn.GAMMA.DIST(Tabella2[[#This Row],[Day]]/t0n,wn+1,1,1)*_xlfn.GAMMA(wn+1)</f>
        <v>170566.25513489638</v>
      </c>
      <c r="H62" s="10">
        <f>kn*((Tabella2[[#This Row],[Day]]/t0n)^wn)*EXP(-(Tabella2[[#This Row],[Day]]/t0n))</f>
        <v>2167.9786737865888</v>
      </c>
      <c r="I62" s="56">
        <f>Tabella2[[#This Row],[New_cases_fit]]*NOT(ISBLANK(Tabella2[[#This Row],[New cases]]))</f>
        <v>0</v>
      </c>
      <c r="L62" s="55"/>
      <c r="M62" s="54"/>
      <c r="N62" s="54">
        <f>Tabella2[[#This Row],[New_cases_fit]]-Tabella2[[#This Row],[New_Recovered_fit]]-Tabella2[[#This Row],[New_Deaths_fit]]</f>
        <v>14.674513997919519</v>
      </c>
      <c r="P62" s="48"/>
      <c r="Q62" s="60">
        <f>Tabella2[[#This Row],[New recovered]]*NOT(ISBLANK(Tabella2[[#This Row],[New recovered]]))</f>
        <v>0</v>
      </c>
      <c r="R62" s="50">
        <f>kd*t0d*_xlfn.GAMMA.DIST(Tabella2[[#This Row],[Day]]/t0d,wd+1,1,1)*_xlfn.GAMMA(wd+1)</f>
        <v>44210.176986453313</v>
      </c>
      <c r="S62" s="10">
        <f>kd*((Tabella2[[#This Row],[Day]]/t0d)^wd)*EXP(-(Tabella2[[#This Row],[Day]]/t0d))</f>
        <v>1839.7943626489243</v>
      </c>
      <c r="T62" s="60">
        <f>Tabella2[[#This Row],[New_Recovered_fit]]*NOT(ISBLANK(Tabella2[[#This Row],[New recovered]]))</f>
        <v>0</v>
      </c>
      <c r="X62" s="26"/>
      <c r="Y62" s="65">
        <f>Tabella2[[#This Row],[New deaths]]*NOT(ISBLANK(Tabella2[[#This Row],[New deaths]]))</f>
        <v>0</v>
      </c>
      <c r="Z62" s="50">
        <f>kt*t0t*_xlfn.GAMMA.DIST(Tabella2[[#This Row],[Day]]/t0t,wt+1,1,1)*_xlfn.GAMMA(wt+1)</f>
        <v>22278.375267436826</v>
      </c>
      <c r="AA62" s="10">
        <f>kt*((Tabella2[[#This Row],[Day]]/t0t)^wt)*EXP(-(Tabella2[[#This Row],[Day]]/t0t))</f>
        <v>313.50979713974499</v>
      </c>
      <c r="AB62" s="65">
        <f>Tabella2[[#This Row],[New_Deaths_fit]]*NOT(ISBLANK(Tabella2[[#This Row],[New 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Tabella2[[#This Row],[New cases]]*NOT(ISBLANK(Tabella2[[#This Row],[New cases]]))</f>
        <v>0</v>
      </c>
      <c r="G63" s="50">
        <f>kn*t0n*_xlfn.GAMMA.DIST(Tabella2[[#This Row],[Day]]/t0n,wn+1,1,1)*_xlfn.GAMMA(wn+1)</f>
        <v>172666.02907329728</v>
      </c>
      <c r="H63" s="10">
        <f>kn*((Tabella2[[#This Row],[Day]]/t0n)^wn)*EXP(-(Tabella2[[#This Row],[Day]]/t0n))</f>
        <v>2032.5153189953214</v>
      </c>
      <c r="I63" s="56">
        <f>Tabella2[[#This Row],[New_cases_fit]]*NOT(ISBLANK(Tabella2[[#This Row],[New cases]]))</f>
        <v>0</v>
      </c>
      <c r="L63" s="55"/>
      <c r="M63" s="54"/>
      <c r="N63" s="54">
        <f>Tabella2[[#This Row],[New_cases_fit]]-Tabella2[[#This Row],[New_Recovered_fit]]-Tabella2[[#This Row],[New_Deaths_fit]]</f>
        <v>-112.93627391961479</v>
      </c>
      <c r="P63" s="48"/>
      <c r="Q63" s="60">
        <f>Tabella2[[#This Row],[New recovered]]*NOT(ISBLANK(Tabella2[[#This Row],[New recovered]]))</f>
        <v>0</v>
      </c>
      <c r="R63" s="50">
        <f>kd*t0d*_xlfn.GAMMA.DIST(Tabella2[[#This Row],[Day]]/t0d,wd+1,1,1)*_xlfn.GAMMA(wd+1)</f>
        <v>46057.885911858582</v>
      </c>
      <c r="S63" s="10">
        <f>kd*((Tabella2[[#This Row],[Day]]/t0d)^wd)*EXP(-(Tabella2[[#This Row],[Day]]/t0d))</f>
        <v>1855.3081963074437</v>
      </c>
      <c r="T63" s="60">
        <f>Tabella2[[#This Row],[New_Recovered_fit]]*NOT(ISBLANK(Tabella2[[#This Row],[New recovered]]))</f>
        <v>0</v>
      </c>
      <c r="X63" s="26"/>
      <c r="Y63" s="65">
        <f>Tabella2[[#This Row],[New deaths]]*NOT(ISBLANK(Tabella2[[#This Row],[New deaths]]))</f>
        <v>0</v>
      </c>
      <c r="Z63" s="50">
        <f>kt*t0t*_xlfn.GAMMA.DIST(Tabella2[[#This Row],[Day]]/t0t,wt+1,1,1)*_xlfn.GAMMA(wt+1)</f>
        <v>22580.107417062172</v>
      </c>
      <c r="AA63" s="10">
        <f>kt*((Tabella2[[#This Row],[Day]]/t0t)^wt)*EXP(-(Tabella2[[#This Row],[Day]]/t0t))</f>
        <v>290.14339660749249</v>
      </c>
      <c r="AB63" s="65">
        <f>Tabella2[[#This Row],[New_Deaths_fit]]*NOT(ISBLANK(Tabella2[[#This Row],[New 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Tabella2[[#This Row],[New cases]]*NOT(ISBLANK(Tabella2[[#This Row],[New cases]]))</f>
        <v>0</v>
      </c>
      <c r="G64" s="50">
        <f>kn*t0n*_xlfn.GAMMA.DIST(Tabella2[[#This Row],[Day]]/t0n,wn+1,1,1)*_xlfn.GAMMA(wn+1)</f>
        <v>174633.1985567438</v>
      </c>
      <c r="H64" s="10">
        <f>kn*((Tabella2[[#This Row],[Day]]/t0n)^wn)*EXP(-(Tabella2[[#This Row],[Day]]/t0n))</f>
        <v>1902.7883679622119</v>
      </c>
      <c r="I64" s="56">
        <f>Tabella2[[#This Row],[New_cases_fit]]*NOT(ISBLANK(Tabella2[[#This Row],[New cases]]))</f>
        <v>0</v>
      </c>
      <c r="L64" s="55"/>
      <c r="M64" s="54"/>
      <c r="N64" s="54">
        <f>Tabella2[[#This Row],[New_cases_fit]]-Tabella2[[#This Row],[New_Recovered_fit]]-Tabella2[[#This Row],[New_Deaths_fit]]</f>
        <v>-234.08291646312858</v>
      </c>
      <c r="P64" s="48"/>
      <c r="Q64" s="60">
        <f>Tabella2[[#This Row],[New recovered]]*NOT(ISBLANK(Tabella2[[#This Row],[New recovered]]))</f>
        <v>0</v>
      </c>
      <c r="R64" s="50">
        <f>kd*t0d*_xlfn.GAMMA.DIST(Tabella2[[#This Row],[Day]]/t0d,wd+1,1,1)*_xlfn.GAMMA(wd+1)</f>
        <v>47920.167061495522</v>
      </c>
      <c r="S64" s="10">
        <f>kd*((Tabella2[[#This Row],[Day]]/t0d)^wd)*EXP(-(Tabella2[[#This Row],[Day]]/t0d))</f>
        <v>1868.9432112262427</v>
      </c>
      <c r="T64" s="60">
        <f>Tabella2[[#This Row],[New_Recovered_fit]]*NOT(ISBLANK(Tabella2[[#This Row],[New recovered]]))</f>
        <v>0</v>
      </c>
      <c r="X64" s="26"/>
      <c r="Y64" s="65">
        <f>Tabella2[[#This Row],[New deaths]]*NOT(ISBLANK(Tabella2[[#This Row],[New deaths]]))</f>
        <v>0</v>
      </c>
      <c r="Z64" s="50">
        <f>kt*t0t*_xlfn.GAMMA.DIST(Tabella2[[#This Row],[Day]]/t0t,wt+1,1,1)*_xlfn.GAMMA(wt+1)</f>
        <v>22859.045941325192</v>
      </c>
      <c r="AA64" s="10">
        <f>kt*((Tabella2[[#This Row],[Day]]/t0t)^wt)*EXP(-(Tabella2[[#This Row],[Day]]/t0t))</f>
        <v>267.9280731990977</v>
      </c>
      <c r="AB64" s="65">
        <f>Tabella2[[#This Row],[New_Deaths_fit]]*NOT(ISBLANK(Tabella2[[#This Row],[New 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Tabella2[[#This Row],[New cases]]*NOT(ISBLANK(Tabella2[[#This Row],[New cases]]))</f>
        <v>0</v>
      </c>
      <c r="G65" s="50">
        <f>kn*t0n*_xlfn.GAMMA.DIST(Tabella2[[#This Row],[Day]]/t0n,wn+1,1,1)*_xlfn.GAMMA(wn+1)</f>
        <v>176473.54640225641</v>
      </c>
      <c r="H65" s="10">
        <f>kn*((Tabella2[[#This Row],[Day]]/t0n)^wn)*EXP(-(Tabella2[[#This Row],[Day]]/t0n))</f>
        <v>1778.8814725351508</v>
      </c>
      <c r="I65" s="56">
        <f>Tabella2[[#This Row],[New_cases_fit]]*NOT(ISBLANK(Tabella2[[#This Row],[New cases]]))</f>
        <v>0</v>
      </c>
      <c r="L65" s="55"/>
      <c r="M65" s="54"/>
      <c r="N65" s="54">
        <f>Tabella2[[#This Row],[New_cases_fit]]-Tabella2[[#This Row],[New_Recovered_fit]]-Tabella2[[#This Row],[New_Deaths_fit]]</f>
        <v>-348.73517281825093</v>
      </c>
      <c r="P65" s="48"/>
      <c r="Q65" s="60">
        <f>Tabella2[[#This Row],[New recovered]]*NOT(ISBLANK(Tabella2[[#This Row],[New recovered]]))</f>
        <v>0</v>
      </c>
      <c r="R65" s="50">
        <f>kd*t0d*_xlfn.GAMMA.DIST(Tabella2[[#This Row],[Day]]/t0d,wd+1,1,1)*_xlfn.GAMMA(wd+1)</f>
        <v>49795.155469061319</v>
      </c>
      <c r="S65" s="10">
        <f>kd*((Tabella2[[#This Row],[Day]]/t0d)^wd)*EXP(-(Tabella2[[#This Row],[Day]]/t0d))</f>
        <v>1880.7277525918864</v>
      </c>
      <c r="T65" s="60">
        <f>Tabella2[[#This Row],[New_Recovered_fit]]*NOT(ISBLANK(Tabella2[[#This Row],[New recovered]]))</f>
        <v>0</v>
      </c>
      <c r="X65" s="26"/>
      <c r="Y65" s="65">
        <f>Tabella2[[#This Row],[New deaths]]*NOT(ISBLANK(Tabella2[[#This Row],[New deaths]]))</f>
        <v>0</v>
      </c>
      <c r="Z65" s="50">
        <f>kt*t0t*_xlfn.GAMMA.DIST(Tabella2[[#This Row],[Day]]/t0t,wt+1,1,1)*_xlfn.GAMMA(wt+1)</f>
        <v>23116.3557765931</v>
      </c>
      <c r="AA65" s="10">
        <f>kt*((Tabella2[[#This Row],[Day]]/t0t)^wt)*EXP(-(Tabella2[[#This Row],[Day]]/t0t))</f>
        <v>246.88889276151531</v>
      </c>
      <c r="AB65" s="65">
        <f>Tabella2[[#This Row],[New_Deaths_fit]]*NOT(ISBLANK(Tabella2[[#This Row],[New 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Tabella2[[#This Row],[New cases]]*NOT(ISBLANK(Tabella2[[#This Row],[New cases]]))</f>
        <v>0</v>
      </c>
      <c r="G66" s="50">
        <f>kn*t0n*_xlfn.GAMMA.DIST(Tabella2[[#This Row],[Day]]/t0n,wn+1,1,1)*_xlfn.GAMMA(wn+1)</f>
        <v>178192.91265884382</v>
      </c>
      <c r="H66" s="10">
        <f>kn*((Tabella2[[#This Row],[Day]]/t0n)^wn)*EXP(-(Tabella2[[#This Row],[Day]]/t0n))</f>
        <v>1660.8265371330574</v>
      </c>
      <c r="I66" s="56">
        <f>Tabella2[[#This Row],[New_cases_fit]]*NOT(ISBLANK(Tabella2[[#This Row],[New cases]]))</f>
        <v>0</v>
      </c>
      <c r="L66" s="55"/>
      <c r="M66" s="54"/>
      <c r="N66" s="54">
        <f>Tabella2[[#This Row],[New_cases_fit]]-Tabella2[[#This Row],[New_Recovered_fit]]-Tabella2[[#This Row],[New_Deaths_fit]]</f>
        <v>-456.90331484255785</v>
      </c>
      <c r="P66" s="48"/>
      <c r="Q66" s="60">
        <f>Tabella2[[#This Row],[New recovered]]*NOT(ISBLANK(Tabella2[[#This Row],[New recovered]]))</f>
        <v>0</v>
      </c>
      <c r="R66" s="50">
        <f>kd*t0d*_xlfn.GAMMA.DIST(Tabella2[[#This Row],[Day]]/t0d,wd+1,1,1)*_xlfn.GAMMA(wd+1)</f>
        <v>51681.016376053201</v>
      </c>
      <c r="S66" s="10">
        <f>kd*((Tabella2[[#This Row],[Day]]/t0d)^wd)*EXP(-(Tabella2[[#This Row],[Day]]/t0d))</f>
        <v>1890.6938328893398</v>
      </c>
      <c r="T66" s="60">
        <f>Tabella2[[#This Row],[New_Recovered_fit]]*NOT(ISBLANK(Tabella2[[#This Row],[New recovered]]))</f>
        <v>0</v>
      </c>
      <c r="X66" s="26"/>
      <c r="Y66" s="65">
        <f>Tabella2[[#This Row],[New deaths]]*NOT(ISBLANK(Tabella2[[#This Row],[New deaths]]))</f>
        <v>0</v>
      </c>
      <c r="Z66" s="50">
        <f>kt*t0t*_xlfn.GAMMA.DIST(Tabella2[[#This Row],[Day]]/t0t,wt+1,1,1)*_xlfn.GAMMA(wt+1)</f>
        <v>23353.219305947332</v>
      </c>
      <c r="AA66" s="10">
        <f>kt*((Tabella2[[#This Row],[Day]]/t0t)^wt)*EXP(-(Tabella2[[#This Row],[Day]]/t0t))</f>
        <v>227.03601908627545</v>
      </c>
      <c r="AB66" s="65">
        <f>Tabella2[[#This Row],[New_Deaths_fit]]*NOT(ISBLANK(Tabella2[[#This Row],[New 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Tabella2[[#This Row],[New cases]]*NOT(ISBLANK(Tabella2[[#This Row],[New cases]]))</f>
        <v>0</v>
      </c>
      <c r="G67" s="50">
        <f>kn*t0n*_xlfn.GAMMA.DIST(Tabella2[[#This Row],[Day]]/t0n,wn+1,1,1)*_xlfn.GAMMA(wn+1)</f>
        <v>179797.14607577593</v>
      </c>
      <c r="H67" s="10">
        <f>kn*((Tabella2[[#This Row],[Day]]/t0n)^wn)*EXP(-(Tabella2[[#This Row],[Day]]/t0n))</f>
        <v>1548.6100878939328</v>
      </c>
      <c r="I67" s="56">
        <f>Tabella2[[#This Row],[New_cases_fit]]*NOT(ISBLANK(Tabella2[[#This Row],[New cases]]))</f>
        <v>0</v>
      </c>
      <c r="L67" s="55"/>
      <c r="M67" s="54"/>
      <c r="N67" s="54">
        <f>Tabella2[[#This Row],[New_cases_fit]]-Tabella2[[#This Row],[New_Recovered_fit]]-Tabella2[[#This Row],[New_Deaths_fit]]</f>
        <v>-558.63339022615435</v>
      </c>
      <c r="P67" s="48"/>
      <c r="Q67" s="60">
        <f>Tabella2[[#This Row],[New recovered]]*NOT(ISBLANK(Tabella2[[#This Row],[New recovered]]))</f>
        <v>0</v>
      </c>
      <c r="R67" s="50">
        <f>kd*t0d*_xlfn.GAMMA.DIST(Tabella2[[#This Row],[Day]]/t0d,wd+1,1,1)*_xlfn.GAMMA(wd+1)</f>
        <v>53575.94872729652</v>
      </c>
      <c r="S67" s="10">
        <f>kd*((Tabella2[[#This Row],[Day]]/t0d)^wd)*EXP(-(Tabella2[[#This Row],[Day]]/t0d))</f>
        <v>1898.8767903978678</v>
      </c>
      <c r="T67" s="60">
        <f>Tabella2[[#This Row],[New_Recovered_fit]]*NOT(ISBLANK(Tabella2[[#This Row],[New recovered]]))</f>
        <v>0</v>
      </c>
      <c r="X67" s="26"/>
      <c r="Y67" s="65">
        <f>Tabella2[[#This Row],[New deaths]]*NOT(ISBLANK(Tabella2[[#This Row],[New deaths]]))</f>
        <v>0</v>
      </c>
      <c r="Z67" s="50">
        <f>kt*t0t*_xlfn.GAMMA.DIST(Tabella2[[#This Row],[Day]]/t0t,wt+1,1,1)*_xlfn.GAMMA(wt+1)</f>
        <v>23570.822451552318</v>
      </c>
      <c r="AA67" s="10">
        <f>kt*((Tabella2[[#This Row],[Day]]/t0t)^wt)*EXP(-(Tabella2[[#This Row],[Day]]/t0t))</f>
        <v>208.36668772221935</v>
      </c>
      <c r="AB67" s="65">
        <f>Tabella2[[#This Row],[New_Deaths_fit]]*NOT(ISBLANK(Tabella2[[#This Row],[New 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Tabella2[[#This Row],[New cases]]*NOT(ISBLANK(Tabella2[[#This Row],[New cases]]))</f>
        <v>0</v>
      </c>
      <c r="G68" s="50">
        <f>kn*t0n*_xlfn.GAMMA.DIST(Tabella2[[#This Row],[Day]]/t0n,wn+1,1,1)*_xlfn.GAMMA(wn+1)</f>
        <v>181292.06174841727</v>
      </c>
      <c r="H68" s="10">
        <f>kn*((Tabella2[[#This Row],[Day]]/t0n)^wn)*EXP(-(Tabella2[[#This Row],[Day]]/t0n))</f>
        <v>1442.1792542242154</v>
      </c>
      <c r="I68" s="56">
        <f>Tabella2[[#This Row],[New_cases_fit]]*NOT(ISBLANK(Tabella2[[#This Row],[New cases]]))</f>
        <v>0</v>
      </c>
      <c r="L68" s="55"/>
      <c r="M68" s="54"/>
      <c r="N68" s="54">
        <f>Tabella2[[#This Row],[New_cases_fit]]-Tabella2[[#This Row],[New_Recovered_fit]]-Tabella2[[#This Row],[New_Deaths_fit]]</f>
        <v>-654.00278439208489</v>
      </c>
      <c r="P68" s="48"/>
      <c r="Q68" s="60">
        <f>Tabella2[[#This Row],[New recovered]]*NOT(ISBLANK(Tabella2[[#This Row],[New recovered]]))</f>
        <v>0</v>
      </c>
      <c r="R68" s="50">
        <f>kd*t0d*_xlfn.GAMMA.DIST(Tabella2[[#This Row],[Day]]/t0d,wd+1,1,1)*_xlfn.GAMMA(wd+1)</f>
        <v>55478.188331176338</v>
      </c>
      <c r="S68" s="10">
        <f>kd*((Tabella2[[#This Row],[Day]]/t0d)^wd)*EXP(-(Tabella2[[#This Row],[Day]]/t0d))</f>
        <v>1905.3149601956077</v>
      </c>
      <c r="T68" s="60">
        <f>Tabella2[[#This Row],[New_Recovered_fit]]*NOT(ISBLANK(Tabella2[[#This Row],[New recovered]]))</f>
        <v>0</v>
      </c>
      <c r="X68" s="26"/>
      <c r="Y68" s="65">
        <f>Tabella2[[#This Row],[New deaths]]*NOT(ISBLANK(Tabella2[[#This Row],[New deaths]]))</f>
        <v>0</v>
      </c>
      <c r="Z68" s="50">
        <f>kt*t0t*_xlfn.GAMMA.DIST(Tabella2[[#This Row],[Day]]/t0t,wt+1,1,1)*_xlfn.GAMMA(wt+1)</f>
        <v>23770.342691935672</v>
      </c>
      <c r="AA68" s="10">
        <f>kt*((Tabella2[[#This Row],[Day]]/t0t)^wt)*EXP(-(Tabella2[[#This Row],[Day]]/t0t))</f>
        <v>190.86707842069254</v>
      </c>
      <c r="AB68" s="65">
        <f>Tabella2[[#This Row],[New_Deaths_fit]]*NOT(ISBLANK(Tabella2[[#This Row],[New 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Tabella2[[#This Row],[New cases]]*NOT(ISBLANK(Tabella2[[#This Row],[New cases]]))</f>
        <v>0</v>
      </c>
      <c r="G69" s="50">
        <f>kn*t0n*_xlfn.GAMMA.DIST(Tabella2[[#This Row],[Day]]/t0n,wn+1,1,1)*_xlfn.GAMMA(wn+1)</f>
        <v>182683.40454264599</v>
      </c>
      <c r="H69" s="10">
        <f>kn*((Tabella2[[#This Row],[Day]]/t0n)^wn)*EXP(-(Tabella2[[#This Row],[Day]]/t0n))</f>
        <v>1341.4473418298132</v>
      </c>
      <c r="I69" s="56">
        <f>Tabella2[[#This Row],[New_cases_fit]]*NOT(ISBLANK(Tabella2[[#This Row],[New cases]]))</f>
        <v>0</v>
      </c>
      <c r="L69" s="55"/>
      <c r="M69" s="54"/>
      <c r="N69" s="54">
        <f>Tabella2[[#This Row],[New_cases_fit]]-Tabella2[[#This Row],[New_Recovered_fit]]-Tabella2[[#This Row],[New_Deaths_fit]]</f>
        <v>-743.11608443152954</v>
      </c>
      <c r="P69" s="48"/>
      <c r="Q69" s="60">
        <f>Tabella2[[#This Row],[New recovered]]*NOT(ISBLANK(Tabella2[[#This Row],[New recovered]]))</f>
        <v>0</v>
      </c>
      <c r="R69" s="50">
        <f>kd*t0d*_xlfn.GAMMA.DIST(Tabella2[[#This Row],[Day]]/t0d,wd+1,1,1)*_xlfn.GAMMA(wd+1)</f>
        <v>57386.010697339749</v>
      </c>
      <c r="S69" s="10">
        <f>kd*((Tabella2[[#This Row],[Day]]/t0d)^wd)*EXP(-(Tabella2[[#This Row],[Day]]/t0d))</f>
        <v>1910.049358168123</v>
      </c>
      <c r="T69" s="60">
        <f>Tabella2[[#This Row],[New_Recovered_fit]]*NOT(ISBLANK(Tabella2[[#This Row],[New recovered]]))</f>
        <v>0</v>
      </c>
      <c r="X69" s="26"/>
      <c r="Y69" s="65">
        <f>Tabella2[[#This Row],[New deaths]]*NOT(ISBLANK(Tabella2[[#This Row],[New deaths]]))</f>
        <v>0</v>
      </c>
      <c r="Z69" s="50">
        <f>kt*t0t*_xlfn.GAMMA.DIST(Tabella2[[#This Row],[Day]]/t0t,wt+1,1,1)*_xlfn.GAMMA(wt+1)</f>
        <v>23952.938893217681</v>
      </c>
      <c r="AA69" s="10">
        <f>kt*((Tabella2[[#This Row],[Day]]/t0t)^wt)*EXP(-(Tabella2[[#This Row],[Day]]/t0t))</f>
        <v>174.51406809321972</v>
      </c>
      <c r="AB69" s="65">
        <f>Tabella2[[#This Row],[New_Deaths_fit]]*NOT(ISBLANK(Tabella2[[#This Row],[New 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Tabella2[[#This Row],[New cases]]*NOT(ISBLANK(Tabella2[[#This Row],[New cases]]))</f>
        <v>0</v>
      </c>
      <c r="G70" s="50">
        <f>kn*t0n*_xlfn.GAMMA.DIST(Tabella2[[#This Row],[Day]]/t0n,wn+1,1,1)*_xlfn.GAMMA(wn+1)</f>
        <v>183976.81788315435</v>
      </c>
      <c r="H70" s="10">
        <f>kn*((Tabella2[[#This Row],[Day]]/t0n)^wn)*EXP(-(Tabella2[[#This Row],[Day]]/t0n))</f>
        <v>1246.2989863885998</v>
      </c>
      <c r="I70" s="56">
        <f>Tabella2[[#This Row],[New_cases_fit]]*NOT(ISBLANK(Tabella2[[#This Row],[New cases]]))</f>
        <v>0</v>
      </c>
      <c r="L70" s="55"/>
      <c r="M70" s="54"/>
      <c r="N70" s="54">
        <f>Tabella2[[#This Row],[New_cases_fit]]-Tabella2[[#This Row],[New_Recovered_fit]]-Tabella2[[#This Row],[New_Deaths_fit]]</f>
        <v>-826.10124411889922</v>
      </c>
      <c r="P70" s="48"/>
      <c r="Q70" s="60">
        <f>Tabella2[[#This Row],[New recovered]]*NOT(ISBLANK(Tabella2[[#This Row],[New recovered]]))</f>
        <v>0</v>
      </c>
      <c r="R70" s="50">
        <f>kd*t0d*_xlfn.GAMMA.DIST(Tabella2[[#This Row],[Day]]/t0d,wd+1,1,1)*_xlfn.GAMMA(wd+1)</f>
        <v>59297.733565066177</v>
      </c>
      <c r="S70" s="10">
        <f>kd*((Tabella2[[#This Row],[Day]]/t0d)^wd)*EXP(-(Tabella2[[#This Row],[Day]]/t0d))</f>
        <v>1913.1233783861435</v>
      </c>
      <c r="T70" s="60">
        <f>Tabella2[[#This Row],[New_Recovered_fit]]*NOT(ISBLANK(Tabella2[[#This Row],[New recovered]]))</f>
        <v>0</v>
      </c>
      <c r="X70" s="26"/>
      <c r="Y70" s="65">
        <f>Tabella2[[#This Row],[New deaths]]*NOT(ISBLANK(Tabella2[[#This Row],[New deaths]]))</f>
        <v>0</v>
      </c>
      <c r="Z70" s="50">
        <f>kt*t0t*_xlfn.GAMMA.DIST(Tabella2[[#This Row],[Day]]/t0t,wt+1,1,1)*_xlfn.GAMMA(wt+1)</f>
        <v>24119.742828263308</v>
      </c>
      <c r="AA70" s="10">
        <f>kt*((Tabella2[[#This Row],[Day]]/t0t)^wt)*EXP(-(Tabella2[[#This Row],[Day]]/t0t))</f>
        <v>159.27685212135557</v>
      </c>
      <c r="AB70" s="65">
        <f>Tabella2[[#This Row],[New_Deaths_fit]]*NOT(ISBLANK(Tabella2[[#This Row],[New 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Tabella2[[#This Row],[New cases]]*NOT(ISBLANK(Tabella2[[#This Row],[New cases]]))</f>
        <v>0</v>
      </c>
      <c r="G71" s="50">
        <f>kn*t0n*_xlfn.GAMMA.DIST(Tabella2[[#This Row],[Day]]/t0n,wn+1,1,1)*_xlfn.GAMMA(wn+1)</f>
        <v>185177.81748441342</v>
      </c>
      <c r="H71" s="10">
        <f>kn*((Tabella2[[#This Row],[Day]]/t0n)^wn)*EXP(-(Tabella2[[#This Row],[Day]]/t0n))</f>
        <v>1156.5948854146247</v>
      </c>
      <c r="I71" s="56">
        <f>Tabella2[[#This Row],[New_cases_fit]]*NOT(ISBLANK(Tabella2[[#This Row],[New cases]]))</f>
        <v>0</v>
      </c>
      <c r="L71" s="55"/>
      <c r="M71" s="54"/>
      <c r="N71" s="54">
        <f>Tabella2[[#This Row],[New_cases_fit]]-Tabella2[[#This Row],[New_Recovered_fit]]-Tabella2[[#This Row],[New_Deaths_fit]]</f>
        <v>-903.10604561384287</v>
      </c>
      <c r="P71" s="48"/>
      <c r="Q71" s="60">
        <f>Tabella2[[#This Row],[New recovered]]*NOT(ISBLANK(Tabella2[[#This Row],[New recovered]]))</f>
        <v>0</v>
      </c>
      <c r="R71" s="50">
        <f>kd*t0d*_xlfn.GAMMA.DIST(Tabella2[[#This Row],[Day]]/t0d,wd+1,1,1)*_xlfn.GAMMA(wd+1)</f>
        <v>61211.719135807827</v>
      </c>
      <c r="S71" s="10">
        <f>kd*((Tabella2[[#This Row],[Day]]/t0d)^wd)*EXP(-(Tabella2[[#This Row],[Day]]/t0d))</f>
        <v>1914.582504101232</v>
      </c>
      <c r="T71" s="60">
        <f>Tabella2[[#This Row],[New_Recovered_fit]]*NOT(ISBLANK(Tabella2[[#This Row],[New recovered]]))</f>
        <v>0</v>
      </c>
      <c r="X71" s="26"/>
      <c r="Y71" s="65">
        <f>Tabella2[[#This Row],[New deaths]]*NOT(ISBLANK(Tabella2[[#This Row],[New deaths]]))</f>
        <v>0</v>
      </c>
      <c r="Z71" s="50">
        <f>kt*t0t*_xlfn.GAMMA.DIST(Tabella2[[#This Row],[Day]]/t0t,wt+1,1,1)*_xlfn.GAMMA(wt+1)</f>
        <v>24271.852248176892</v>
      </c>
      <c r="AA71" s="10">
        <f>kt*((Tabella2[[#This Row],[Day]]/t0t)^wt)*EXP(-(Tabella2[[#This Row],[Day]]/t0t))</f>
        <v>145.11842692723565</v>
      </c>
      <c r="AB71" s="65">
        <f>Tabella2[[#This Row],[New_Deaths_fit]]*NOT(ISBLANK(Tabella2[[#This Row],[New 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Tabella2[[#This Row],[New cases]]*NOT(ISBLANK(Tabella2[[#This Row],[New cases]]))</f>
        <v>0</v>
      </c>
      <c r="G72" s="50">
        <f>kn*t0n*_xlfn.GAMMA.DIST(Tabella2[[#This Row],[Day]]/t0n,wn+1,1,1)*_xlfn.GAMMA(wn+1)</f>
        <v>186291.76960419156</v>
      </c>
      <c r="H72" s="10">
        <f>kn*((Tabella2[[#This Row],[Day]]/t0n)^wn)*EXP(-(Tabella2[[#This Row],[Day]]/t0n))</f>
        <v>1072.176112738754</v>
      </c>
      <c r="I72" s="56">
        <f>Tabella2[[#This Row],[New_cases_fit]]*NOT(ISBLANK(Tabella2[[#This Row],[New cases]]))</f>
        <v>0</v>
      </c>
      <c r="L72" s="55"/>
      <c r="M72" s="54"/>
      <c r="N72" s="54">
        <f>Tabella2[[#This Row],[New_cases_fit]]-Tabella2[[#This Row],[New_Recovered_fit]]-Tabella2[[#This Row],[New_Deaths_fit]]</f>
        <v>-974.29485070952251</v>
      </c>
      <c r="P72" s="48"/>
      <c r="Q72" s="60">
        <f>Tabella2[[#This Row],[New recovered]]*NOT(ISBLANK(Tabella2[[#This Row],[New recovered]]))</f>
        <v>0</v>
      </c>
      <c r="R72" s="50">
        <f>kd*t0d*_xlfn.GAMMA.DIST(Tabella2[[#This Row],[Day]]/t0d,wd+1,1,1)*_xlfn.GAMMA(wd+1)</f>
        <v>63126.376023599427</v>
      </c>
      <c r="S72" s="10">
        <f>kd*((Tabella2[[#This Row],[Day]]/t0d)^wd)*EXP(-(Tabella2[[#This Row],[Day]]/t0d))</f>
        <v>1914.4740325044143</v>
      </c>
      <c r="T72" s="60">
        <f>Tabella2[[#This Row],[New_Recovered_fit]]*NOT(ISBLANK(Tabella2[[#This Row],[New recovered]]))</f>
        <v>0</v>
      </c>
      <c r="X72" s="26"/>
      <c r="Y72" s="65">
        <f>Tabella2[[#This Row],[New deaths]]*NOT(ISBLANK(Tabella2[[#This Row],[New deaths]]))</f>
        <v>0</v>
      </c>
      <c r="Z72" s="50">
        <f>kt*t0t*_xlfn.GAMMA.DIST(Tabella2[[#This Row],[Day]]/t0t,wt+1,1,1)*_xlfn.GAMMA(wt+1)</f>
        <v>24410.32536565022</v>
      </c>
      <c r="AA72" s="10">
        <f>kt*((Tabella2[[#This Row],[Day]]/t0t)^wt)*EXP(-(Tabella2[[#This Row],[Day]]/t0t))</f>
        <v>131.99693094386228</v>
      </c>
      <c r="AB72" s="65">
        <f>Tabella2[[#This Row],[New_Deaths_fit]]*NOT(ISBLANK(Tabella2[[#This Row],[New 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Tabella2[[#This Row],[New cases]]*NOT(ISBLANK(Tabella2[[#This Row],[New cases]]))</f>
        <v>0</v>
      </c>
      <c r="G73" s="50">
        <f>kn*t0n*_xlfn.GAMMA.DIST(Tabella2[[#This Row],[Day]]/t0n,wn+1,1,1)*_xlfn.GAMMA(wn+1)</f>
        <v>187323.87340681083</v>
      </c>
      <c r="H73" s="10">
        <f>kn*((Tabella2[[#This Row],[Day]]/t0n)^wn)*EXP(-(Tabella2[[#This Row],[Day]]/t0n))</f>
        <v>992.86802555676297</v>
      </c>
      <c r="I73" s="56">
        <f>Tabella2[[#This Row],[New_cases_fit]]*NOT(ISBLANK(Tabella2[[#This Row],[New cases]]))</f>
        <v>0</v>
      </c>
      <c r="L73" s="55"/>
      <c r="M73" s="54"/>
      <c r="N73" s="54">
        <f>Tabella2[[#This Row],[New_cases_fit]]-Tabella2[[#This Row],[New_Recovered_fit]]-Tabella2[[#This Row],[New_Deaths_fit]]</f>
        <v>-1039.845632325608</v>
      </c>
      <c r="P73" s="48"/>
      <c r="Q73" s="60">
        <f>Tabella2[[#This Row],[New recovered]]*NOT(ISBLANK(Tabella2[[#This Row],[New recovered]]))</f>
        <v>0</v>
      </c>
      <c r="R73" s="50">
        <f>kd*t0d*_xlfn.GAMMA.DIST(Tabella2[[#This Row],[Day]]/t0d,wd+1,1,1)*_xlfn.GAMMA(wd+1)</f>
        <v>65040.160937133871</v>
      </c>
      <c r="S73" s="10">
        <f>kd*((Tabella2[[#This Row],[Day]]/t0d)^wd)*EXP(-(Tabella2[[#This Row],[Day]]/t0d))</f>
        <v>1912.8468133007971</v>
      </c>
      <c r="T73" s="60">
        <f>Tabella2[[#This Row],[New_Recovered_fit]]*NOT(ISBLANK(Tabella2[[#This Row],[New recovered]]))</f>
        <v>0</v>
      </c>
      <c r="X73" s="26"/>
      <c r="Y73" s="65">
        <f>Tabella2[[#This Row],[New deaths]]*NOT(ISBLANK(Tabella2[[#This Row],[New deaths]]))</f>
        <v>0</v>
      </c>
      <c r="Z73" s="50">
        <f>kt*t0t*_xlfn.GAMMA.DIST(Tabella2[[#This Row],[Day]]/t0t,wt+1,1,1)*_xlfn.GAMMA(wt+1)</f>
        <v>24536.176608604354</v>
      </c>
      <c r="AA73" s="10">
        <f>kt*((Tabella2[[#This Row],[Day]]/t0t)^wt)*EXP(-(Tabella2[[#This Row],[Day]]/t0t))</f>
        <v>119.86684458157391</v>
      </c>
      <c r="AB73" s="65">
        <f>Tabella2[[#This Row],[New_Deaths_fit]]*NOT(ISBLANK(Tabella2[[#This Row],[New 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Tabella2[[#This Row],[New cases]]*NOT(ISBLANK(Tabella2[[#This Row],[New cases]]))</f>
        <v>0</v>
      </c>
      <c r="G74" s="50">
        <f>kn*t0n*_xlfn.GAMMA.DIST(Tabella2[[#This Row],[Day]]/t0n,wn+1,1,1)*_xlfn.GAMMA(wn+1)</f>
        <v>188279.14703553676</v>
      </c>
      <c r="H74" s="10">
        <f>kn*((Tabella2[[#This Row],[Day]]/t0n)^wn)*EXP(-(Tabella2[[#This Row],[Day]]/t0n))</f>
        <v>918.48377833621487</v>
      </c>
      <c r="I74" s="56">
        <f>Tabella2[[#This Row],[New_cases_fit]]*NOT(ISBLANK(Tabella2[[#This Row],[New cases]]))</f>
        <v>0</v>
      </c>
      <c r="L74" s="55"/>
      <c r="M74" s="54"/>
      <c r="N74" s="54">
        <f>Tabella2[[#This Row],[New_cases_fit]]-Tabella2[[#This Row],[New_Recovered_fit]]-Tabella2[[#This Row],[New_Deaths_fit]]</f>
        <v>-1099.9472752803654</v>
      </c>
      <c r="P74" s="48"/>
      <c r="Q74" s="60">
        <f>Tabella2[[#This Row],[New recovered]]*NOT(ISBLANK(Tabella2[[#This Row],[New recovered]]))</f>
        <v>0</v>
      </c>
      <c r="R74" s="50">
        <f>kd*t0d*_xlfn.GAMMA.DIST(Tabella2[[#This Row],[Day]]/t0d,wd+1,1,1)*_xlfn.GAMMA(wd+1)</f>
        <v>66951.580107311311</v>
      </c>
      <c r="S74" s="10">
        <f>kd*((Tabella2[[#This Row],[Day]]/t0d)^wd)*EXP(-(Tabella2[[#This Row],[Day]]/t0d))</f>
        <v>1909.7510010719213</v>
      </c>
      <c r="T74" s="60">
        <f>Tabella2[[#This Row],[New_Recovered_fit]]*NOT(ISBLANK(Tabella2[[#This Row],[New recovered]]))</f>
        <v>0</v>
      </c>
      <c r="X74" s="26"/>
      <c r="Y74" s="65">
        <f>Tabella2[[#This Row],[New deaths]]*NOT(ISBLANK(Tabella2[[#This Row],[New deaths]]))</f>
        <v>0</v>
      </c>
      <c r="Z74" s="50">
        <f>kt*t0t*_xlfn.GAMMA.DIST(Tabella2[[#This Row],[Day]]/t0t,wt+1,1,1)*_xlfn.GAMMA(wt+1)</f>
        <v>24650.373504595598</v>
      </c>
      <c r="AA74" s="10">
        <f>kt*((Tabella2[[#This Row],[Day]]/t0t)^wt)*EXP(-(Tabella2[[#This Row],[Day]]/t0t))</f>
        <v>108.68005254465882</v>
      </c>
      <c r="AB74" s="65">
        <f>Tabella2[[#This Row],[New_Deaths_fit]]*NOT(ISBLANK(Tabella2[[#This Row],[New 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Tabella2[[#This Row],[New cases]]*NOT(ISBLANK(Tabella2[[#This Row],[New cases]]))</f>
        <v>0</v>
      </c>
      <c r="G75" s="50">
        <f>kn*t0n*_xlfn.GAMMA.DIST(Tabella2[[#This Row],[Day]]/t0n,wn+1,1,1)*_xlfn.GAMMA(wn+1)</f>
        <v>189162.4170095241</v>
      </c>
      <c r="H75" s="10">
        <f>kn*((Tabella2[[#This Row],[Day]]/t0n)^wn)*EXP(-(Tabella2[[#This Row],[Day]]/t0n))</f>
        <v>848.82746117904333</v>
      </c>
      <c r="I75" s="56">
        <f>Tabella2[[#This Row],[New_cases_fit]]*NOT(ISBLANK(Tabella2[[#This Row],[New cases]]))</f>
        <v>0</v>
      </c>
      <c r="L75" s="55"/>
      <c r="M75" s="54"/>
      <c r="N75" s="54">
        <f>Tabella2[[#This Row],[New_cases_fit]]-Tabella2[[#This Row],[New_Recovered_fit]]-Tabella2[[#This Row],[New_Deaths_fit]]</f>
        <v>-1154.7971341336493</v>
      </c>
      <c r="P75" s="48"/>
      <c r="Q75" s="60">
        <f>Tabella2[[#This Row],[New recovered]]*NOT(ISBLANK(Tabella2[[#This Row],[New recovered]]))</f>
        <v>0</v>
      </c>
      <c r="R75" s="50">
        <f>kd*t0d*_xlfn.GAMMA.DIST(Tabella2[[#This Row],[Day]]/t0d,wd+1,1,1)*_xlfn.GAMMA(wd+1)</f>
        <v>68859.190474006362</v>
      </c>
      <c r="S75" s="10">
        <f>kd*((Tabella2[[#This Row],[Day]]/t0d)^wd)*EXP(-(Tabella2[[#This Row],[Day]]/t0d))</f>
        <v>1905.2378213262748</v>
      </c>
      <c r="T75" s="60">
        <f>Tabella2[[#This Row],[New_Recovered_fit]]*NOT(ISBLANK(Tabella2[[#This Row],[New recovered]]))</f>
        <v>0</v>
      </c>
      <c r="X75" s="26"/>
      <c r="Y75" s="65">
        <f>Tabella2[[#This Row],[New deaths]]*NOT(ISBLANK(Tabella2[[#This Row],[New deaths]]))</f>
        <v>0</v>
      </c>
      <c r="Z75" s="50">
        <f>kt*t0t*_xlfn.GAMMA.DIST(Tabella2[[#This Row],[Day]]/t0t,wt+1,1,1)*_xlfn.GAMMA(wt+1)</f>
        <v>24753.834560926036</v>
      </c>
      <c r="AA75" s="10">
        <f>kt*((Tabella2[[#This Row],[Day]]/t0t)^wt)*EXP(-(Tabella2[[#This Row],[Day]]/t0t))</f>
        <v>98.386773986417779</v>
      </c>
      <c r="AB75" s="65">
        <f>Tabella2[[#This Row],[New_Deaths_fit]]*NOT(ISBLANK(Tabella2[[#This Row],[New 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Tabella2[[#This Row],[New cases]]*NOT(ISBLANK(Tabella2[[#This Row],[New cases]]))</f>
        <v>0</v>
      </c>
      <c r="G76" s="50">
        <f>kn*t0n*_xlfn.GAMMA.DIST(Tabella2[[#This Row],[Day]]/t0n,wn+1,1,1)*_xlfn.GAMMA(wn+1)</f>
        <v>189978.31057961009</v>
      </c>
      <c r="H76" s="10">
        <f>kn*((Tabella2[[#This Row],[Day]]/t0n)^wn)*EXP(-(Tabella2[[#This Row],[Day]]/t0n))</f>
        <v>783.69688264996466</v>
      </c>
      <c r="I76" s="56">
        <f>Tabella2[[#This Row],[New_cases_fit]]*NOT(ISBLANK(Tabella2[[#This Row],[New cases]]))</f>
        <v>0</v>
      </c>
      <c r="L76" s="55"/>
      <c r="M76" s="54"/>
      <c r="N76" s="54">
        <f>Tabella2[[#This Row],[New_cases_fit]]-Tabella2[[#This Row],[New_Recovered_fit]]-Tabella2[[#This Row],[New_Deaths_fit]]</f>
        <v>-1204.5988350053681</v>
      </c>
      <c r="P76" s="48"/>
      <c r="Q76" s="60">
        <f>Tabella2[[#This Row],[New recovered]]*NOT(ISBLANK(Tabella2[[#This Row],[New recovered]]))</f>
        <v>0</v>
      </c>
      <c r="R76" s="50">
        <f>kd*t0d*_xlfn.GAMMA.DIST(Tabella2[[#This Row],[Day]]/t0d,wd+1,1,1)*_xlfn.GAMMA(wd+1)</f>
        <v>70761.600645664104</v>
      </c>
      <c r="S76" s="10">
        <f>kd*((Tabella2[[#This Row],[Day]]/t0d)^wd)*EXP(-(Tabella2[[#This Row],[Day]]/t0d))</f>
        <v>1899.3593500760242</v>
      </c>
      <c r="T76" s="60">
        <f>Tabella2[[#This Row],[New_Recovered_fit]]*NOT(ISBLANK(Tabella2[[#This Row],[New recovered]]))</f>
        <v>0</v>
      </c>
      <c r="X76" s="26"/>
      <c r="Y76" s="65">
        <f>Tabella2[[#This Row],[New deaths]]*NOT(ISBLANK(Tabella2[[#This Row],[New deaths]]))</f>
        <v>0</v>
      </c>
      <c r="Z76" s="50">
        <f>kt*t0t*_xlfn.GAMMA.DIST(Tabella2[[#This Row],[Day]]/t0t,wt+1,1,1)*_xlfn.GAMMA(wt+1)</f>
        <v>24847.428011723707</v>
      </c>
      <c r="AA76" s="10">
        <f>kt*((Tabella2[[#This Row],[Day]]/t0t)^wt)*EXP(-(Tabella2[[#This Row],[Day]]/t0t))</f>
        <v>88.936367579308637</v>
      </c>
      <c r="AB76" s="65">
        <f>Tabella2[[#This Row],[New_Deaths_fit]]*NOT(ISBLANK(Tabella2[[#This Row],[New 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Tabella2[[#This Row],[New cases]]*NOT(ISBLANK(Tabella2[[#This Row],[New cases]]))</f>
        <v>0</v>
      </c>
      <c r="G77" s="50">
        <f>kn*t0n*_xlfn.GAMMA.DIST(Tabella2[[#This Row],[Day]]/t0n,wn+1,1,1)*_xlfn.GAMMA(wn+1)</f>
        <v>190731.25069814461</v>
      </c>
      <c r="H77" s="10">
        <f>kn*((Tabella2[[#This Row],[Day]]/t0n)^wn)*EXP(-(Tabella2[[#This Row],[Day]]/t0n))</f>
        <v>722.88601873137986</v>
      </c>
      <c r="I77" s="56">
        <f>Tabella2[[#This Row],[New_cases_fit]]*NOT(ISBLANK(Tabella2[[#This Row],[New cases]]))</f>
        <v>0</v>
      </c>
      <c r="L77" s="55"/>
      <c r="M77" s="54"/>
      <c r="N77" s="54">
        <f>Tabella2[[#This Row],[New_cases_fit]]-Tabella2[[#This Row],[New_Recovered_fit]]-Tabella2[[#This Row],[New_Deaths_fit]]</f>
        <v>-1249.560307686939</v>
      </c>
      <c r="P77" s="48"/>
      <c r="Q77" s="60">
        <f>Tabella2[[#This Row],[New recovered]]*NOT(ISBLANK(Tabella2[[#This Row],[New recovered]]))</f>
        <v>0</v>
      </c>
      <c r="R77" s="50">
        <f>kd*t0d*_xlfn.GAMMA.DIST(Tabella2[[#This Row],[Day]]/t0d,wd+1,1,1)*_xlfn.GAMMA(wd+1)</f>
        <v>72657.471645148849</v>
      </c>
      <c r="S77" s="10">
        <f>kd*((Tabella2[[#This Row],[Day]]/t0d)^wd)*EXP(-(Tabella2[[#This Row],[Day]]/t0d))</f>
        <v>1892.1683067240476</v>
      </c>
      <c r="T77" s="60">
        <f>Tabella2[[#This Row],[New_Recovered_fit]]*NOT(ISBLANK(Tabella2[[#This Row],[New recovered]]))</f>
        <v>0</v>
      </c>
      <c r="X77" s="26"/>
      <c r="Y77" s="65">
        <f>Tabella2[[#This Row],[New deaths]]*NOT(ISBLANK(Tabella2[[#This Row],[New deaths]]))</f>
        <v>0</v>
      </c>
      <c r="Z77" s="50">
        <f>kt*t0t*_xlfn.GAMMA.DIST(Tabella2[[#This Row],[Day]]/t0t,wt+1,1,1)*_xlfn.GAMMA(wt+1)</f>
        <v>24931.971310929242</v>
      </c>
      <c r="AA77" s="10">
        <f>kt*((Tabella2[[#This Row],[Day]]/t0t)^wt)*EXP(-(Tabella2[[#This Row],[Day]]/t0t))</f>
        <v>80.278019694271237</v>
      </c>
      <c r="AB77" s="65">
        <f>Tabella2[[#This Row],[New_Deaths_fit]]*NOT(ISBLANK(Tabella2[[#This Row],[New 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Tabella2[[#This Row],[New cases]]*NOT(ISBLANK(Tabella2[[#This Row],[New cases]]))</f>
        <v>0</v>
      </c>
      <c r="G78" s="50">
        <f>kn*t0n*_xlfn.GAMMA.DIST(Tabella2[[#This Row],[Day]]/t0n,wn+1,1,1)*_xlfn.GAMMA(wn+1)</f>
        <v>191425.45328025502</v>
      </c>
      <c r="H78" s="10">
        <f>kn*((Tabella2[[#This Row],[Day]]/t0n)^wn)*EXP(-(Tabella2[[#This Row],[Day]]/t0n))</f>
        <v>666.18715057173608</v>
      </c>
      <c r="I78" s="56">
        <f>Tabella2[[#This Row],[New_cases_fit]]*NOT(ISBLANK(Tabella2[[#This Row],[New cases]]))</f>
        <v>0</v>
      </c>
      <c r="L78" s="55"/>
      <c r="M78" s="54"/>
      <c r="N78" s="54">
        <f>Tabella2[[#This Row],[New_cases_fit]]-Tabella2[[#This Row],[New_Recovered_fit]]-Tabella2[[#This Row],[New_Deaths_fit]]</f>
        <v>-1289.8920340283596</v>
      </c>
      <c r="P78" s="48"/>
      <c r="Q78" s="60">
        <f>Tabella2[[#This Row],[New recovered]]*NOT(ISBLANK(Tabella2[[#This Row],[New recovered]]))</f>
        <v>0</v>
      </c>
      <c r="R78" s="50">
        <f>kd*t0d*_xlfn.GAMMA.DIST(Tabella2[[#This Row],[Day]]/t0d,wd+1,1,1)*_xlfn.GAMMA(wd+1)</f>
        <v>74545.517455026406</v>
      </c>
      <c r="S78" s="10">
        <f>kd*((Tabella2[[#This Row],[Day]]/t0d)^wd)*EXP(-(Tabella2[[#This Row],[Day]]/t0d))</f>
        <v>1883.7178599988679</v>
      </c>
      <c r="T78" s="60">
        <f>Tabella2[[#This Row],[New_Recovered_fit]]*NOT(ISBLANK(Tabella2[[#This Row],[New recovered]]))</f>
        <v>0</v>
      </c>
      <c r="X78" s="26"/>
      <c r="Y78" s="65">
        <f>Tabella2[[#This Row],[New deaths]]*NOT(ISBLANK(Tabella2[[#This Row],[New deaths]]))</f>
        <v>0</v>
      </c>
      <c r="Z78" s="50">
        <f>kt*t0t*_xlfn.GAMMA.DIST(Tabella2[[#This Row],[Day]]/t0t,wt+1,1,1)*_xlfn.GAMMA(wt+1)</f>
        <v>25008.2312587091</v>
      </c>
      <c r="AA78" s="10">
        <f>kt*((Tabella2[[#This Row],[Day]]/t0t)^wt)*EXP(-(Tabella2[[#This Row],[Day]]/t0t))</f>
        <v>72.361324601227906</v>
      </c>
      <c r="AB78" s="65">
        <f>Tabella2[[#This Row],[New_Deaths_fit]]*NOT(ISBLANK(Tabella2[[#This Row],[New deaths]]))</f>
        <v>0</v>
      </c>
    </row>
  </sheetData>
  <mergeCells count="9">
    <mergeCell ref="AT14:AT17"/>
    <mergeCell ref="AT24:AT27"/>
    <mergeCell ref="AI3:AL3"/>
    <mergeCell ref="B2:H2"/>
    <mergeCell ref="B4:G4"/>
    <mergeCell ref="B5:G5"/>
    <mergeCell ref="AI4:AL4"/>
    <mergeCell ref="AI5:AL5"/>
    <mergeCell ref="H3:H6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68</vt:i4>
      </vt:variant>
    </vt:vector>
  </HeadingPairs>
  <TitlesOfParts>
    <vt:vector size="71" baseType="lpstr">
      <vt:lpstr>dpc-covid19-ita-andamento-naz</vt:lpstr>
      <vt:lpstr>Cumul_confirmed - ExpPwLaw</vt:lpstr>
      <vt:lpstr>New_confirmed - ExpPwLaw</vt:lpstr>
      <vt:lpstr>CI</vt:lpstr>
      <vt:lpstr>CId</vt:lpstr>
      <vt:lpstr>CIh</vt:lpstr>
      <vt:lpstr>CIn</vt:lpstr>
      <vt:lpstr>CIr</vt:lpstr>
      <vt:lpstr>CIt</vt:lpstr>
      <vt:lpstr>Critical_t</vt:lpstr>
      <vt:lpstr>Critical_td</vt:lpstr>
      <vt:lpstr>Critical_th</vt:lpstr>
      <vt:lpstr>Critical_tn</vt:lpstr>
      <vt:lpstr>Critical_tr</vt:lpstr>
      <vt:lpstr>Critical_tt</vt:lpstr>
      <vt:lpstr>df</vt:lpstr>
      <vt:lpstr>dfd</vt:lpstr>
      <vt:lpstr>dfh</vt:lpstr>
      <vt:lpstr>dfn</vt:lpstr>
      <vt:lpstr>dfr</vt:lpstr>
      <vt:lpstr>dft</vt:lpstr>
      <vt:lpstr>k</vt:lpstr>
      <vt:lpstr>kd</vt:lpstr>
      <vt:lpstr>kh</vt:lpstr>
      <vt:lpstr>kn</vt:lpstr>
      <vt:lpstr>kr</vt:lpstr>
      <vt:lpstr>kt</vt:lpstr>
      <vt:lpstr>Mean_of_y</vt:lpstr>
      <vt:lpstr>Mean_of_yd</vt:lpstr>
      <vt:lpstr>Mean_of_yh</vt:lpstr>
      <vt:lpstr>Mean_of_yn</vt:lpstr>
      <vt:lpstr>Mean_of_yr</vt:lpstr>
      <vt:lpstr>Mean_of_yt</vt:lpstr>
      <vt:lpstr>Peak</vt:lpstr>
      <vt:lpstr>Peak_d</vt:lpstr>
      <vt:lpstr>Peak_h</vt:lpstr>
      <vt:lpstr>Peak_n</vt:lpstr>
      <vt:lpstr>Peak_r</vt:lpstr>
      <vt:lpstr>Peak_t</vt:lpstr>
      <vt:lpstr>RSQ</vt:lpstr>
      <vt:lpstr>RSQd</vt:lpstr>
      <vt:lpstr>RSQh</vt:lpstr>
      <vt:lpstr>RSQn</vt:lpstr>
      <vt:lpstr>RSQr</vt:lpstr>
      <vt:lpstr>RSQt</vt:lpstr>
      <vt:lpstr>SE_of_y</vt:lpstr>
      <vt:lpstr>SE_of_yd</vt:lpstr>
      <vt:lpstr>SE_of_yh</vt:lpstr>
      <vt:lpstr>SE_of_yn</vt:lpstr>
      <vt:lpstr>SE_of_yr</vt:lpstr>
      <vt:lpstr>SE_of_yt</vt:lpstr>
      <vt:lpstr>t</vt:lpstr>
      <vt:lpstr>t_d</vt:lpstr>
      <vt:lpstr>t_h</vt:lpstr>
      <vt:lpstr>t_n</vt:lpstr>
      <vt:lpstr>t_r</vt:lpstr>
      <vt:lpstr>t_t</vt:lpstr>
      <vt:lpstr>t0</vt:lpstr>
      <vt:lpstr>t0d</vt:lpstr>
      <vt:lpstr>t0f</vt:lpstr>
      <vt:lpstr>t0h</vt:lpstr>
      <vt:lpstr>t0n</vt:lpstr>
      <vt:lpstr>t0r</vt:lpstr>
      <vt:lpstr>t0t</vt:lpstr>
      <vt:lpstr>w</vt:lpstr>
      <vt:lpstr>wd</vt:lpstr>
      <vt:lpstr>wf</vt:lpstr>
      <vt:lpstr>wh</vt:lpstr>
      <vt:lpstr>wn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2020-04-13T23:42:27Z</dcterms:modified>
</cp:coreProperties>
</file>