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13_ncr:1_{29426647-CFF1-4A69-87D8-8FF72131D503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pc-covid19-ita-andamento-naz" sheetId="18" r:id="rId1"/>
    <sheet name="Cumul_confirmed - Gompertz" sheetId="12" r:id="rId2"/>
    <sheet name="New_confirmed - Gompertz" sheetId="19" r:id="rId3"/>
  </sheets>
  <definedNames>
    <definedName name="_xlcn.WorksheetConnection_COVID19ItalycasestrendBfit.xlsxdpc_covid19_ita_andamento_nazionale" hidden="1">dpc_covid19_ita_andamento_nazionale</definedName>
    <definedName name="CI">'Cumul_confirmed - Gompertz'!$AG$16</definedName>
    <definedName name="CId">'New_confirmed - Gompertz'!$AG$28</definedName>
    <definedName name="CIh">'Cumul_confirmed - Gompertz'!$AG$40</definedName>
    <definedName name="CIn">'New_confirmed - Gompertz'!$AG$16</definedName>
    <definedName name="CIr">'Cumul_confirmed - Gompertz'!$AG$28</definedName>
    <definedName name="CIt">'New_confirmed - Gompertz'!$AG$40</definedName>
    <definedName name="Critical_t">'Cumul_confirmed - Gompertz'!$AG$15</definedName>
    <definedName name="Critical_td">'New_confirmed - Gompertz'!$AG$27</definedName>
    <definedName name="Critical_th">'Cumul_confirmed - Gompertz'!$AG$39</definedName>
    <definedName name="Critical_tn">'New_confirmed - Gompertz'!$AG$15</definedName>
    <definedName name="Critical_tr">'Cumul_confirmed - Gompertz'!$AG$27</definedName>
    <definedName name="Critical_tt">'New_confirmed - Gompertz'!$AG$39</definedName>
    <definedName name="DatiEsterni_1" localSheetId="0" hidden="1">'dpc-covid19-ita-andamento-naz'!$A$1:$O$51</definedName>
    <definedName name="DatiEsterni_2" localSheetId="0" hidden="1">'dpc-covid19-ita-andamento-naz'!#REF!</definedName>
    <definedName name="df">'Cumul_confirmed - Gompertz'!$AG$12</definedName>
    <definedName name="dfd">'New_confirmed - Gompertz'!$AG$24</definedName>
    <definedName name="dfh">'Cumul_confirmed - Gompertz'!$AG$36</definedName>
    <definedName name="dfn">'New_confirmed - Gompertz'!$AG$12</definedName>
    <definedName name="dfr">'Cumul_confirmed - Gompertz'!$AG$24</definedName>
    <definedName name="dft">'New_confirmed - Gompertz'!$AG$36</definedName>
    <definedName name="dpc_covid19_ita_andamento_nazionale_1" localSheetId="1" hidden="1">'Cumul_confirmed - Gompertz'!#REF!</definedName>
    <definedName name="K">'Cumul_confirmed - Gompertz'!$AG$8</definedName>
    <definedName name="Kd">'New_confirmed - Gompertz'!$AG$20</definedName>
    <definedName name="Kh">'Cumul_confirmed - Gompertz'!$AG$32</definedName>
    <definedName name="Kn">'New_confirmed - Gompertz'!$AG$8</definedName>
    <definedName name="Kr">'Cumul_confirmed - Gompertz'!$AG$20</definedName>
    <definedName name="Kt">'New_confirmed - Gompertz'!$AG$32</definedName>
    <definedName name="Mean_of_y">'Cumul_confirmed - Gompertz'!$AG$11</definedName>
    <definedName name="Mean_of_yd">'New_confirmed - Gompertz'!$AG$23</definedName>
    <definedName name="Mean_of_yh">'Cumul_confirmed - Gompertz'!$AG$35</definedName>
    <definedName name="Mean_of_yn">'New_confirmed - Gompertz'!$AG$11</definedName>
    <definedName name="Mean_of_yr">'Cumul_confirmed - Gompertz'!$AG$23</definedName>
    <definedName name="Mean_of_yt">'New_confirmed - Gompertz'!$AG$35</definedName>
    <definedName name="Peak">'Cumul_confirmed - Gompertz'!$AG$17</definedName>
    <definedName name="Peak_d">'New_confirmed - Gompertz'!$AG$29</definedName>
    <definedName name="Peak_h">'Cumul_confirmed - Gompertz'!$AG$41</definedName>
    <definedName name="Peak_n">'New_confirmed - Gompertz'!$AG$17</definedName>
    <definedName name="Peak_r">'Cumul_confirmed - Gompertz'!$AG$29</definedName>
    <definedName name="Peak_t">'New_confirmed - Gompertz'!$AG$41</definedName>
    <definedName name="RSQ">'Cumul_confirmed - Gompertz'!$AG$14</definedName>
    <definedName name="RSQd">'New_confirmed - Gompertz'!$AG$26</definedName>
    <definedName name="RSQh">'Cumul_confirmed - Gompertz'!$AG$38</definedName>
    <definedName name="RSQn">'New_confirmed - Gompertz'!$AG$14</definedName>
    <definedName name="RSQr">'Cumul_confirmed - Gompertz'!$AG$26</definedName>
    <definedName name="RSQt">'New_confirmed - Gompertz'!$AG$38</definedName>
    <definedName name="SE_of_y">'Cumul_confirmed - Gompertz'!$AG$13</definedName>
    <definedName name="SE_of_yd">'New_confirmed - Gompertz'!$AG$25</definedName>
    <definedName name="SE_of_yh">'Cumul_confirmed - Gompertz'!$AG$37</definedName>
    <definedName name="SE_of_yn">'New_confirmed - Gompertz'!$AG$13</definedName>
    <definedName name="SE_of_yr">'Cumul_confirmed - Gompertz'!$AG$25</definedName>
    <definedName name="SE_of_yt">'New_confirmed - Gompertz'!$AG$37</definedName>
    <definedName name="solver_adj" localSheetId="1" hidden="1">'Cumul_confirmed - Gompertz'!$AG$21,'Cumul_confirmed - Gompertz'!$AG$22</definedName>
    <definedName name="solver_adj" localSheetId="2" hidden="1">'New_confirmed - Gompertz'!$AG$8,'New_confirmed - Gompertz'!$AG$9,'New_confirmed - Gompertz'!$AG$10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'Cumul_confirmed - Gompertz'!$N$8</definedName>
    <definedName name="solver_lhs1" localSheetId="2" hidden="1">'New_confirmed - Gompertz'!$AG$9</definedName>
    <definedName name="solver_lhs2" localSheetId="1" hidden="1">'Cumul_confirmed - Gompertz'!$N$8</definedName>
    <definedName name="solver_lhs2" localSheetId="2" hidden="1">'New_confirmed - Gompertz'!$AG$9</definedName>
    <definedName name="solver_lhs3" localSheetId="1" hidden="1">'Cumul_confirmed - Gompertz'!$N$9</definedName>
    <definedName name="solver_lin" localSheetId="1" hidden="1">2</definedName>
    <definedName name="solver_lin" localSheetId="2" hidden="1">2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0</definedName>
    <definedName name="solver_num" localSheetId="2" hidden="1">0</definedName>
    <definedName name="solver_nwt" localSheetId="1" hidden="1">1</definedName>
    <definedName name="solver_nwt" localSheetId="2" hidden="1">1</definedName>
    <definedName name="solver_opt" localSheetId="1" hidden="1">'Cumul_confirmed - Gompertz'!$AG$26</definedName>
    <definedName name="solver_opt" localSheetId="2" hidden="1">'New_confirmed - Gompertz'!$AG$14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el1" localSheetId="1" hidden="1">4</definedName>
    <definedName name="solver_rel1" localSheetId="2" hidden="1">4</definedName>
    <definedName name="solver_rel2" localSheetId="1" hidden="1">4</definedName>
    <definedName name="solver_rel2" localSheetId="2" hidden="1">4</definedName>
    <definedName name="solver_rel3" localSheetId="1" hidden="1">4</definedName>
    <definedName name="solver_rhs1" localSheetId="1" hidden="1">intero</definedName>
    <definedName name="solver_rhs1" localSheetId="2" hidden="1">intero</definedName>
    <definedName name="solver_rhs2" localSheetId="1" hidden="1">intero</definedName>
    <definedName name="solver_rhs2" localSheetId="2" hidden="1">intero</definedName>
    <definedName name="solver_rhs3" localSheetId="1" hidden="1">intero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</definedName>
    <definedName name="solver_tol" localSheetId="2" hidden="1">0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  <definedName name="t">'Cumul_confirmed - Gompertz'!$AG$18</definedName>
    <definedName name="t_d">'New_confirmed - Gompertz'!$AG$30</definedName>
    <definedName name="t_h">'Cumul_confirmed - Gompertz'!$AG$42</definedName>
    <definedName name="t_n">'New_confirmed - Gompertz'!$AG$18</definedName>
    <definedName name="t_r">'Cumul_confirmed - Gompertz'!$AG$30</definedName>
    <definedName name="t_t">'New_confirmed - Gompertz'!$AG$42</definedName>
    <definedName name="t0">'Cumul_confirmed - Gompertz'!$AG$9</definedName>
    <definedName name="t0d">'New_confirmed - Gompertz'!$AG$21</definedName>
    <definedName name="t0f">'New_confirmed - Gompertz'!$AF$45</definedName>
    <definedName name="t0h">'Cumul_confirmed - Gompertz'!$AG$33</definedName>
    <definedName name="t0n">'New_confirmed - Gompertz'!$AG$9</definedName>
    <definedName name="t0r">'Cumul_confirmed - Gompertz'!$AG$21</definedName>
    <definedName name="t0t">'New_confirmed - Gompertz'!$AG$33</definedName>
    <definedName name="w">'Cumul_confirmed - Gompertz'!$AG$10</definedName>
    <definedName name="wd">'New_confirmed - Gompertz'!$AG$22</definedName>
    <definedName name="wf">'New_confirmed - Gompertz'!$AF$46</definedName>
    <definedName name="wh">'Cumul_confirmed - Gompertz'!$AG$34</definedName>
    <definedName name="wn">'New_confirmed - Gompertz'!$AG$10</definedName>
    <definedName name="wr">'Cumul_confirmed - Gompertz'!$AG$22</definedName>
    <definedName name="wt">'New_confirmed - Gompertz'!$AG$34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pc_covid19_ita_andamento_nazionale" name="dpc_covid19_ita_andamento_nazionale" connection="WorksheetConnection_COVID-19 Italy cases trend - B fit.xlsx!dpc_covid19_ita_andamento_naziona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20" i="12" l="1"/>
  <c r="R14" i="12" s="1"/>
  <c r="S14" i="12" s="1"/>
  <c r="AG41" i="12"/>
  <c r="AG29" i="12"/>
  <c r="AG17" i="12"/>
  <c r="AG42" i="19"/>
  <c r="AG41" i="19"/>
  <c r="AG17" i="19"/>
  <c r="AG18" i="19"/>
  <c r="AT31" i="12"/>
  <c r="AT30" i="12"/>
  <c r="AT29" i="12"/>
  <c r="Z9" i="12"/>
  <c r="AA9" i="12" s="1"/>
  <c r="Z10" i="12"/>
  <c r="AA10" i="12" s="1"/>
  <c r="Z11" i="12"/>
  <c r="AA11" i="12" s="1"/>
  <c r="Z12" i="12"/>
  <c r="AA12" i="12" s="1"/>
  <c r="Z13" i="12"/>
  <c r="AA13" i="12" s="1"/>
  <c r="Z14" i="12"/>
  <c r="AA14" i="12" s="1"/>
  <c r="Z15" i="12"/>
  <c r="AA15" i="12" s="1"/>
  <c r="Z16" i="12"/>
  <c r="AA16" i="12" s="1"/>
  <c r="Z17" i="12"/>
  <c r="AA17" i="12" s="1"/>
  <c r="Z18" i="12"/>
  <c r="AA18" i="12" s="1"/>
  <c r="Z19" i="12"/>
  <c r="AA19" i="12" s="1"/>
  <c r="Z20" i="12"/>
  <c r="AA20" i="12" s="1"/>
  <c r="Z21" i="12"/>
  <c r="AA21" i="12" s="1"/>
  <c r="Z22" i="12"/>
  <c r="AA22" i="12" s="1"/>
  <c r="Z23" i="12"/>
  <c r="AA23" i="12" s="1"/>
  <c r="Z24" i="12"/>
  <c r="AA24" i="12" s="1"/>
  <c r="Z25" i="12"/>
  <c r="AA25" i="12" s="1"/>
  <c r="Z26" i="12"/>
  <c r="AA26" i="12" s="1"/>
  <c r="Z27" i="12"/>
  <c r="AA27" i="12" s="1"/>
  <c r="Z28" i="12"/>
  <c r="AA28" i="12" s="1"/>
  <c r="Z29" i="12"/>
  <c r="AA29" i="12" s="1"/>
  <c r="Z30" i="12"/>
  <c r="AA30" i="12" s="1"/>
  <c r="Z31" i="12"/>
  <c r="AA31" i="12" s="1"/>
  <c r="Z32" i="12"/>
  <c r="AA32" i="12" s="1"/>
  <c r="Z33" i="12"/>
  <c r="AA33" i="12" s="1"/>
  <c r="Z34" i="12"/>
  <c r="AA34" i="12" s="1"/>
  <c r="Z35" i="12"/>
  <c r="AA35" i="12" s="1"/>
  <c r="Z36" i="12"/>
  <c r="AA36" i="12" s="1"/>
  <c r="Z37" i="12"/>
  <c r="AA37" i="12" s="1"/>
  <c r="Z38" i="12"/>
  <c r="AA38" i="12" s="1"/>
  <c r="Z39" i="12"/>
  <c r="AA39" i="12" s="1"/>
  <c r="Z40" i="12"/>
  <c r="AA40" i="12" s="1"/>
  <c r="Z41" i="12"/>
  <c r="AA41" i="12" s="1"/>
  <c r="Z42" i="12"/>
  <c r="AA42" i="12" s="1"/>
  <c r="Z43" i="12"/>
  <c r="AA43" i="12" s="1"/>
  <c r="Z44" i="12"/>
  <c r="AA44" i="12" s="1"/>
  <c r="Z45" i="12"/>
  <c r="AA45" i="12" s="1"/>
  <c r="Z46" i="12"/>
  <c r="AA46" i="12" s="1"/>
  <c r="Z47" i="12"/>
  <c r="AA47" i="12" s="1"/>
  <c r="Z48" i="12"/>
  <c r="AA48" i="12" s="1"/>
  <c r="Z49" i="12"/>
  <c r="AA49" i="12" s="1"/>
  <c r="Z50" i="12"/>
  <c r="AA50" i="12" s="1"/>
  <c r="Z51" i="12"/>
  <c r="AA51" i="12" s="1"/>
  <c r="Z52" i="12"/>
  <c r="AA52" i="12" s="1"/>
  <c r="Z53" i="12"/>
  <c r="AA53" i="12" s="1"/>
  <c r="Z54" i="12"/>
  <c r="AA54" i="12" s="1"/>
  <c r="Z55" i="12"/>
  <c r="AA55" i="12" s="1"/>
  <c r="Z56" i="12"/>
  <c r="AA56" i="12" s="1"/>
  <c r="Z57" i="12"/>
  <c r="AA57" i="12" s="1"/>
  <c r="Z58" i="12"/>
  <c r="AA58" i="12" s="1"/>
  <c r="Z59" i="12"/>
  <c r="AA59" i="12" s="1"/>
  <c r="Z60" i="12"/>
  <c r="AA60" i="12" s="1"/>
  <c r="Z61" i="12"/>
  <c r="AA61" i="12" s="1"/>
  <c r="Z62" i="12"/>
  <c r="AA62" i="12" s="1"/>
  <c r="Z63" i="12"/>
  <c r="AA63" i="12" s="1"/>
  <c r="Z64" i="12"/>
  <c r="AA64" i="12" s="1"/>
  <c r="Z65" i="12"/>
  <c r="AA65" i="12" s="1"/>
  <c r="Z66" i="12"/>
  <c r="AA66" i="12" s="1"/>
  <c r="Z67" i="12"/>
  <c r="AA67" i="12" s="1"/>
  <c r="Z68" i="12"/>
  <c r="AA68" i="12" s="1"/>
  <c r="Z69" i="12"/>
  <c r="AA69" i="12" s="1"/>
  <c r="Z70" i="12"/>
  <c r="AA70" i="12" s="1"/>
  <c r="Z71" i="12"/>
  <c r="AA71" i="12" s="1"/>
  <c r="Z72" i="12"/>
  <c r="AA72" i="12" s="1"/>
  <c r="Z73" i="12"/>
  <c r="AA73" i="12" s="1"/>
  <c r="Z74" i="12"/>
  <c r="AA74" i="12" s="1"/>
  <c r="Z75" i="12"/>
  <c r="AA75" i="12" s="1"/>
  <c r="Z76" i="12"/>
  <c r="AA76" i="12" s="1"/>
  <c r="Z77" i="12"/>
  <c r="AA77" i="12" s="1"/>
  <c r="Z78" i="12"/>
  <c r="AA78" i="12" s="1"/>
  <c r="Z8" i="12"/>
  <c r="AA8" i="12" s="1"/>
  <c r="R9" i="12"/>
  <c r="S9" i="12" s="1"/>
  <c r="R10" i="12"/>
  <c r="S10" i="12" s="1"/>
  <c r="R11" i="12"/>
  <c r="S11" i="12" s="1"/>
  <c r="R12" i="12"/>
  <c r="S12" i="12" s="1"/>
  <c r="R13" i="12"/>
  <c r="S13" i="12" s="1"/>
  <c r="R18" i="12"/>
  <c r="S18" i="12" s="1"/>
  <c r="R21" i="12"/>
  <c r="S21" i="12" s="1"/>
  <c r="R22" i="12"/>
  <c r="S22" i="12" s="1"/>
  <c r="R23" i="12"/>
  <c r="S23" i="12" s="1"/>
  <c r="R24" i="12"/>
  <c r="S24" i="12" s="1"/>
  <c r="R25" i="12"/>
  <c r="S25" i="12" s="1"/>
  <c r="R30" i="12"/>
  <c r="S30" i="12" s="1"/>
  <c r="R33" i="12"/>
  <c r="S33" i="12" s="1"/>
  <c r="R34" i="12"/>
  <c r="S34" i="12" s="1"/>
  <c r="R35" i="12"/>
  <c r="S35" i="12" s="1"/>
  <c r="R36" i="12"/>
  <c r="S36" i="12" s="1"/>
  <c r="R37" i="12"/>
  <c r="S37" i="12" s="1"/>
  <c r="R42" i="12"/>
  <c r="S42" i="12" s="1"/>
  <c r="R45" i="12"/>
  <c r="S45" i="12" s="1"/>
  <c r="R46" i="12"/>
  <c r="S46" i="12" s="1"/>
  <c r="R47" i="12"/>
  <c r="S47" i="12" s="1"/>
  <c r="R48" i="12"/>
  <c r="S48" i="12" s="1"/>
  <c r="R49" i="12"/>
  <c r="S49" i="12" s="1"/>
  <c r="R54" i="12"/>
  <c r="S54" i="12" s="1"/>
  <c r="R57" i="12"/>
  <c r="S57" i="12" s="1"/>
  <c r="R58" i="12"/>
  <c r="S58" i="12" s="1"/>
  <c r="R59" i="12"/>
  <c r="S59" i="12" s="1"/>
  <c r="R60" i="12"/>
  <c r="S60" i="12" s="1"/>
  <c r="R61" i="12"/>
  <c r="S61" i="12" s="1"/>
  <c r="R66" i="12"/>
  <c r="S66" i="12" s="1"/>
  <c r="R69" i="12"/>
  <c r="S69" i="12" s="1"/>
  <c r="R70" i="12"/>
  <c r="S70" i="12" s="1"/>
  <c r="R71" i="12"/>
  <c r="S71" i="12" s="1"/>
  <c r="R72" i="12"/>
  <c r="S72" i="12" s="1"/>
  <c r="R73" i="12"/>
  <c r="S73" i="12" s="1"/>
  <c r="R78" i="12"/>
  <c r="S78" i="12" s="1"/>
  <c r="G9" i="12"/>
  <c r="H9" i="12" s="1"/>
  <c r="G10" i="12"/>
  <c r="H10" i="12" s="1"/>
  <c r="G11" i="12"/>
  <c r="H11" i="12" s="1"/>
  <c r="G12" i="12"/>
  <c r="H12" i="12" s="1"/>
  <c r="G13" i="12"/>
  <c r="H13" i="12" s="1"/>
  <c r="G14" i="12"/>
  <c r="H14" i="12" s="1"/>
  <c r="G15" i="12"/>
  <c r="H15" i="12" s="1"/>
  <c r="G16" i="12"/>
  <c r="H16" i="12" s="1"/>
  <c r="G17" i="12"/>
  <c r="H17" i="12" s="1"/>
  <c r="G18" i="12"/>
  <c r="H18" i="12" s="1"/>
  <c r="G19" i="12"/>
  <c r="H19" i="12" s="1"/>
  <c r="G20" i="12"/>
  <c r="H20" i="12" s="1"/>
  <c r="G21" i="12"/>
  <c r="H21" i="12" s="1"/>
  <c r="G22" i="12"/>
  <c r="H22" i="12" s="1"/>
  <c r="G23" i="12"/>
  <c r="H23" i="12" s="1"/>
  <c r="G24" i="12"/>
  <c r="H24" i="12" s="1"/>
  <c r="G25" i="12"/>
  <c r="H25" i="12" s="1"/>
  <c r="G26" i="12"/>
  <c r="H26" i="12" s="1"/>
  <c r="G27" i="12"/>
  <c r="H27" i="12" s="1"/>
  <c r="G28" i="12"/>
  <c r="H28" i="12" s="1"/>
  <c r="G29" i="12"/>
  <c r="H29" i="12" s="1"/>
  <c r="G30" i="12"/>
  <c r="H30" i="12" s="1"/>
  <c r="G31" i="12"/>
  <c r="H31" i="12" s="1"/>
  <c r="G32" i="12"/>
  <c r="H32" i="12" s="1"/>
  <c r="G33" i="12"/>
  <c r="H33" i="12" s="1"/>
  <c r="G34" i="12"/>
  <c r="H34" i="12" s="1"/>
  <c r="G35" i="12"/>
  <c r="H35" i="12" s="1"/>
  <c r="G36" i="12"/>
  <c r="H36" i="12" s="1"/>
  <c r="G37" i="12"/>
  <c r="H37" i="12" s="1"/>
  <c r="G38" i="12"/>
  <c r="H38" i="12" s="1"/>
  <c r="G39" i="12"/>
  <c r="H39" i="12" s="1"/>
  <c r="G40" i="12"/>
  <c r="H40" i="12" s="1"/>
  <c r="G41" i="12"/>
  <c r="H41" i="12" s="1"/>
  <c r="G42" i="12"/>
  <c r="H42" i="12" s="1"/>
  <c r="G43" i="12"/>
  <c r="H43" i="12" s="1"/>
  <c r="G44" i="12"/>
  <c r="H44" i="12" s="1"/>
  <c r="G45" i="12"/>
  <c r="H45" i="12" s="1"/>
  <c r="G46" i="12"/>
  <c r="H46" i="12" s="1"/>
  <c r="G47" i="12"/>
  <c r="H47" i="12" s="1"/>
  <c r="G48" i="12"/>
  <c r="H48" i="12" s="1"/>
  <c r="G49" i="12"/>
  <c r="H49" i="12" s="1"/>
  <c r="G50" i="12"/>
  <c r="H50" i="12" s="1"/>
  <c r="G51" i="12"/>
  <c r="H51" i="12" s="1"/>
  <c r="G52" i="12"/>
  <c r="H52" i="12" s="1"/>
  <c r="G53" i="12"/>
  <c r="H53" i="12" s="1"/>
  <c r="G54" i="12"/>
  <c r="H54" i="12" s="1"/>
  <c r="G55" i="12"/>
  <c r="H55" i="12" s="1"/>
  <c r="G56" i="12"/>
  <c r="H56" i="12" s="1"/>
  <c r="G57" i="12"/>
  <c r="H57" i="12" s="1"/>
  <c r="G58" i="12"/>
  <c r="H58" i="12" s="1"/>
  <c r="G59" i="12"/>
  <c r="H59" i="12" s="1"/>
  <c r="G60" i="12"/>
  <c r="H60" i="12" s="1"/>
  <c r="G61" i="12"/>
  <c r="H61" i="12" s="1"/>
  <c r="G62" i="12"/>
  <c r="H62" i="12" s="1"/>
  <c r="G63" i="12"/>
  <c r="H63" i="12" s="1"/>
  <c r="G64" i="12"/>
  <c r="H64" i="12" s="1"/>
  <c r="G65" i="12"/>
  <c r="H65" i="12" s="1"/>
  <c r="G66" i="12"/>
  <c r="H66" i="12" s="1"/>
  <c r="G67" i="12"/>
  <c r="H67" i="12" s="1"/>
  <c r="G68" i="12"/>
  <c r="H68" i="12" s="1"/>
  <c r="G69" i="12"/>
  <c r="H69" i="12" s="1"/>
  <c r="G70" i="12"/>
  <c r="H70" i="12" s="1"/>
  <c r="G71" i="12"/>
  <c r="H71" i="12" s="1"/>
  <c r="G72" i="12"/>
  <c r="H72" i="12" s="1"/>
  <c r="G73" i="12"/>
  <c r="H73" i="12" s="1"/>
  <c r="G74" i="12"/>
  <c r="H74" i="12" s="1"/>
  <c r="G75" i="12"/>
  <c r="H75" i="12" s="1"/>
  <c r="G76" i="12"/>
  <c r="H76" i="12" s="1"/>
  <c r="G77" i="12"/>
  <c r="H77" i="12" s="1"/>
  <c r="G78" i="12"/>
  <c r="H78" i="12" s="1"/>
  <c r="G8" i="12"/>
  <c r="H8" i="12" s="1"/>
  <c r="R68" i="12" l="1"/>
  <c r="S68" i="12" s="1"/>
  <c r="R56" i="12"/>
  <c r="S56" i="12" s="1"/>
  <c r="R44" i="12"/>
  <c r="S44" i="12" s="1"/>
  <c r="R32" i="12"/>
  <c r="S32" i="12" s="1"/>
  <c r="R20" i="12"/>
  <c r="S20" i="12" s="1"/>
  <c r="R8" i="12"/>
  <c r="S8" i="12" s="1"/>
  <c r="R67" i="12"/>
  <c r="S67" i="12" s="1"/>
  <c r="R55" i="12"/>
  <c r="S55" i="12" s="1"/>
  <c r="R43" i="12"/>
  <c r="S43" i="12" s="1"/>
  <c r="R31" i="12"/>
  <c r="S31" i="12" s="1"/>
  <c r="R19" i="12"/>
  <c r="S19" i="12" s="1"/>
  <c r="R77" i="12"/>
  <c r="S77" i="12" s="1"/>
  <c r="R53" i="12"/>
  <c r="S53" i="12" s="1"/>
  <c r="R29" i="12"/>
  <c r="S29" i="12" s="1"/>
  <c r="R64" i="12"/>
  <c r="S64" i="12" s="1"/>
  <c r="R75" i="12"/>
  <c r="S75" i="12" s="1"/>
  <c r="R63" i="12"/>
  <c r="S63" i="12" s="1"/>
  <c r="R51" i="12"/>
  <c r="S51" i="12" s="1"/>
  <c r="R39" i="12"/>
  <c r="S39" i="12" s="1"/>
  <c r="R27" i="12"/>
  <c r="S27" i="12" s="1"/>
  <c r="R15" i="12"/>
  <c r="S15" i="12" s="1"/>
  <c r="R65" i="12"/>
  <c r="S65" i="12" s="1"/>
  <c r="R41" i="12"/>
  <c r="S41" i="12" s="1"/>
  <c r="R17" i="12"/>
  <c r="S17" i="12" s="1"/>
  <c r="R76" i="12"/>
  <c r="S76" i="12" s="1"/>
  <c r="R52" i="12"/>
  <c r="S52" i="12" s="1"/>
  <c r="R40" i="12"/>
  <c r="S40" i="12" s="1"/>
  <c r="R28" i="12"/>
  <c r="S28" i="12" s="1"/>
  <c r="R16" i="12"/>
  <c r="S16" i="12" s="1"/>
  <c r="R74" i="12"/>
  <c r="S74" i="12" s="1"/>
  <c r="R62" i="12"/>
  <c r="S62" i="12" s="1"/>
  <c r="R50" i="12"/>
  <c r="S50" i="12" s="1"/>
  <c r="R38" i="12"/>
  <c r="S38" i="12" s="1"/>
  <c r="R26" i="12"/>
  <c r="S26" i="12" s="1"/>
  <c r="AT11" i="12" l="1"/>
  <c r="AT10" i="12"/>
  <c r="AT9" i="12"/>
  <c r="AT21" i="12"/>
  <c r="AT20" i="12"/>
  <c r="AT19" i="12"/>
  <c r="AG34" i="19" l="1"/>
  <c r="AG33" i="19"/>
  <c r="AG32" i="19"/>
  <c r="AG22" i="19"/>
  <c r="AG21" i="19"/>
  <c r="AG30" i="19" s="1"/>
  <c r="AG20" i="19"/>
  <c r="AG10" i="19"/>
  <c r="AG9" i="19"/>
  <c r="AG8" i="19"/>
  <c r="W55" i="19"/>
  <c r="X56" i="19" s="1"/>
  <c r="X55" i="19"/>
  <c r="W56" i="19"/>
  <c r="W57" i="19"/>
  <c r="X57" i="19"/>
  <c r="O55" i="19"/>
  <c r="P55" i="19"/>
  <c r="O56" i="19"/>
  <c r="P57" i="19" s="1"/>
  <c r="P56" i="19"/>
  <c r="O57" i="19"/>
  <c r="L55" i="19"/>
  <c r="M55" i="19"/>
  <c r="L56" i="19"/>
  <c r="M56" i="19"/>
  <c r="L57" i="19"/>
  <c r="M57" i="19"/>
  <c r="D54" i="19"/>
  <c r="E54" i="19"/>
  <c r="D55" i="19"/>
  <c r="E55" i="19"/>
  <c r="D56" i="19"/>
  <c r="E56" i="19"/>
  <c r="D57" i="19"/>
  <c r="E57" i="19"/>
  <c r="W55" i="12"/>
  <c r="X55" i="12" s="1"/>
  <c r="W56" i="12"/>
  <c r="W57" i="12"/>
  <c r="X57" i="12" s="1"/>
  <c r="O54" i="12"/>
  <c r="P55" i="12" s="1"/>
  <c r="P54" i="12"/>
  <c r="O55" i="12"/>
  <c r="O56" i="12"/>
  <c r="P56" i="12"/>
  <c r="O57" i="12"/>
  <c r="P57" i="12"/>
  <c r="L54" i="12"/>
  <c r="M54" i="12"/>
  <c r="L55" i="12"/>
  <c r="M55" i="12"/>
  <c r="L56" i="12"/>
  <c r="M56" i="12"/>
  <c r="L57" i="12"/>
  <c r="M57" i="12"/>
  <c r="E54" i="12"/>
  <c r="E55" i="12"/>
  <c r="E56" i="12"/>
  <c r="E57" i="12"/>
  <c r="D54" i="12"/>
  <c r="D55" i="12"/>
  <c r="D56" i="12"/>
  <c r="D57" i="12"/>
  <c r="AG29" i="19" l="1"/>
  <c r="G19" i="19"/>
  <c r="H19" i="19" s="1"/>
  <c r="G31" i="19"/>
  <c r="H31" i="19" s="1"/>
  <c r="G43" i="19"/>
  <c r="H43" i="19" s="1"/>
  <c r="G55" i="19"/>
  <c r="H55" i="19" s="1"/>
  <c r="G67" i="19"/>
  <c r="H67" i="19" s="1"/>
  <c r="G8" i="19"/>
  <c r="H8" i="19" s="1"/>
  <c r="G20" i="19"/>
  <c r="H20" i="19" s="1"/>
  <c r="G32" i="19"/>
  <c r="H32" i="19" s="1"/>
  <c r="G44" i="19"/>
  <c r="H44" i="19" s="1"/>
  <c r="G56" i="19"/>
  <c r="H56" i="19" s="1"/>
  <c r="G68" i="19"/>
  <c r="H68" i="19" s="1"/>
  <c r="G9" i="19"/>
  <c r="H9" i="19" s="1"/>
  <c r="G21" i="19"/>
  <c r="H21" i="19" s="1"/>
  <c r="G33" i="19"/>
  <c r="H33" i="19" s="1"/>
  <c r="G45" i="19"/>
  <c r="H45" i="19" s="1"/>
  <c r="G57" i="19"/>
  <c r="H57" i="19" s="1"/>
  <c r="G69" i="19"/>
  <c r="H69" i="19" s="1"/>
  <c r="G10" i="19"/>
  <c r="H10" i="19" s="1"/>
  <c r="G22" i="19"/>
  <c r="H22" i="19" s="1"/>
  <c r="G34" i="19"/>
  <c r="H34" i="19" s="1"/>
  <c r="G46" i="19"/>
  <c r="H46" i="19" s="1"/>
  <c r="G58" i="19"/>
  <c r="H58" i="19" s="1"/>
  <c r="G70" i="19"/>
  <c r="H70" i="19" s="1"/>
  <c r="G11" i="19"/>
  <c r="H11" i="19" s="1"/>
  <c r="G23" i="19"/>
  <c r="H23" i="19" s="1"/>
  <c r="G35" i="19"/>
  <c r="H35" i="19" s="1"/>
  <c r="G47" i="19"/>
  <c r="H47" i="19" s="1"/>
  <c r="G59" i="19"/>
  <c r="H59" i="19" s="1"/>
  <c r="G71" i="19"/>
  <c r="H71" i="19" s="1"/>
  <c r="G12" i="19"/>
  <c r="H12" i="19" s="1"/>
  <c r="G24" i="19"/>
  <c r="H24" i="19" s="1"/>
  <c r="G36" i="19"/>
  <c r="H36" i="19" s="1"/>
  <c r="G48" i="19"/>
  <c r="H48" i="19" s="1"/>
  <c r="G60" i="19"/>
  <c r="H60" i="19" s="1"/>
  <c r="G72" i="19"/>
  <c r="H72" i="19" s="1"/>
  <c r="G13" i="19"/>
  <c r="H13" i="19" s="1"/>
  <c r="G25" i="19"/>
  <c r="H25" i="19" s="1"/>
  <c r="G37" i="19"/>
  <c r="H37" i="19" s="1"/>
  <c r="G49" i="19"/>
  <c r="H49" i="19" s="1"/>
  <c r="G61" i="19"/>
  <c r="H61" i="19" s="1"/>
  <c r="G73" i="19"/>
  <c r="H73" i="19" s="1"/>
  <c r="G14" i="19"/>
  <c r="H14" i="19" s="1"/>
  <c r="G26" i="19"/>
  <c r="H26" i="19" s="1"/>
  <c r="G38" i="19"/>
  <c r="H38" i="19" s="1"/>
  <c r="G50" i="19"/>
  <c r="H50" i="19" s="1"/>
  <c r="G62" i="19"/>
  <c r="H62" i="19" s="1"/>
  <c r="G74" i="19"/>
  <c r="H74" i="19" s="1"/>
  <c r="G15" i="19"/>
  <c r="H15" i="19" s="1"/>
  <c r="G27" i="19"/>
  <c r="H27" i="19" s="1"/>
  <c r="G39" i="19"/>
  <c r="H39" i="19" s="1"/>
  <c r="G51" i="19"/>
  <c r="H51" i="19" s="1"/>
  <c r="G63" i="19"/>
  <c r="H63" i="19" s="1"/>
  <c r="G75" i="19"/>
  <c r="H75" i="19" s="1"/>
  <c r="G16" i="19"/>
  <c r="H16" i="19" s="1"/>
  <c r="G28" i="19"/>
  <c r="H28" i="19" s="1"/>
  <c r="G40" i="19"/>
  <c r="H40" i="19" s="1"/>
  <c r="G52" i="19"/>
  <c r="H52" i="19" s="1"/>
  <c r="G64" i="19"/>
  <c r="H64" i="19" s="1"/>
  <c r="G76" i="19"/>
  <c r="H76" i="19" s="1"/>
  <c r="G17" i="19"/>
  <c r="H17" i="19" s="1"/>
  <c r="G29" i="19"/>
  <c r="H29" i="19" s="1"/>
  <c r="G41" i="19"/>
  <c r="H41" i="19" s="1"/>
  <c r="G53" i="19"/>
  <c r="H53" i="19" s="1"/>
  <c r="G65" i="19"/>
  <c r="H65" i="19" s="1"/>
  <c r="G77" i="19"/>
  <c r="H77" i="19" s="1"/>
  <c r="G18" i="19"/>
  <c r="H18" i="19" s="1"/>
  <c r="G30" i="19"/>
  <c r="H30" i="19" s="1"/>
  <c r="G42" i="19"/>
  <c r="H42" i="19" s="1"/>
  <c r="G54" i="19"/>
  <c r="H54" i="19" s="1"/>
  <c r="G66" i="19"/>
  <c r="H66" i="19" s="1"/>
  <c r="G78" i="19"/>
  <c r="H78" i="19" s="1"/>
  <c r="R21" i="19"/>
  <c r="S21" i="19" s="1"/>
  <c r="R57" i="19"/>
  <c r="S57" i="19" s="1"/>
  <c r="R46" i="19"/>
  <c r="S46" i="19" s="1"/>
  <c r="R65" i="19"/>
  <c r="S65" i="19" s="1"/>
  <c r="R11" i="19"/>
  <c r="S11" i="19" s="1"/>
  <c r="R23" i="19"/>
  <c r="S23" i="19" s="1"/>
  <c r="R35" i="19"/>
  <c r="S35" i="19" s="1"/>
  <c r="R47" i="19"/>
  <c r="S47" i="19" s="1"/>
  <c r="R59" i="19"/>
  <c r="S59" i="19" s="1"/>
  <c r="R71" i="19"/>
  <c r="S71" i="19" s="1"/>
  <c r="R50" i="19"/>
  <c r="S50" i="19" s="1"/>
  <c r="R75" i="19"/>
  <c r="S75" i="19" s="1"/>
  <c r="R12" i="19"/>
  <c r="S12" i="19" s="1"/>
  <c r="R24" i="19"/>
  <c r="S24" i="19" s="1"/>
  <c r="R36" i="19"/>
  <c r="S36" i="19" s="1"/>
  <c r="R48" i="19"/>
  <c r="S48" i="19" s="1"/>
  <c r="R60" i="19"/>
  <c r="S60" i="19" s="1"/>
  <c r="R72" i="19"/>
  <c r="S72" i="19" s="1"/>
  <c r="R14" i="19"/>
  <c r="S14" i="19" s="1"/>
  <c r="R74" i="19"/>
  <c r="S74" i="19" s="1"/>
  <c r="R27" i="19"/>
  <c r="S27" i="19" s="1"/>
  <c r="R51" i="19"/>
  <c r="S51" i="19" s="1"/>
  <c r="R40" i="19"/>
  <c r="S40" i="19" s="1"/>
  <c r="R64" i="19"/>
  <c r="S64" i="19" s="1"/>
  <c r="R29" i="19"/>
  <c r="S29" i="19" s="1"/>
  <c r="R13" i="19"/>
  <c r="S13" i="19" s="1"/>
  <c r="R25" i="19"/>
  <c r="S25" i="19" s="1"/>
  <c r="R37" i="19"/>
  <c r="S37" i="19" s="1"/>
  <c r="R49" i="19"/>
  <c r="S49" i="19" s="1"/>
  <c r="R61" i="19"/>
  <c r="S61" i="19" s="1"/>
  <c r="R73" i="19"/>
  <c r="S73" i="19" s="1"/>
  <c r="R26" i="19"/>
  <c r="S26" i="19" s="1"/>
  <c r="R62" i="19"/>
  <c r="S62" i="19" s="1"/>
  <c r="R15" i="19"/>
  <c r="S15" i="19" s="1"/>
  <c r="R63" i="19"/>
  <c r="S63" i="19" s="1"/>
  <c r="R28" i="19"/>
  <c r="S28" i="19" s="1"/>
  <c r="R76" i="19"/>
  <c r="S76" i="19" s="1"/>
  <c r="R41" i="19"/>
  <c r="S41" i="19" s="1"/>
  <c r="R38" i="19"/>
  <c r="S38" i="19" s="1"/>
  <c r="R39" i="19"/>
  <c r="S39" i="19" s="1"/>
  <c r="R16" i="19"/>
  <c r="S16" i="19" s="1"/>
  <c r="R52" i="19"/>
  <c r="S52" i="19" s="1"/>
  <c r="R17" i="19"/>
  <c r="S17" i="19" s="1"/>
  <c r="R53" i="19"/>
  <c r="S53" i="19" s="1"/>
  <c r="R18" i="19"/>
  <c r="S18" i="19" s="1"/>
  <c r="R30" i="19"/>
  <c r="S30" i="19" s="1"/>
  <c r="R42" i="19"/>
  <c r="S42" i="19" s="1"/>
  <c r="R54" i="19"/>
  <c r="S54" i="19" s="1"/>
  <c r="R66" i="19"/>
  <c r="S66" i="19" s="1"/>
  <c r="R78" i="19"/>
  <c r="S78" i="19" s="1"/>
  <c r="R20" i="19"/>
  <c r="S20" i="19" s="1"/>
  <c r="R44" i="19"/>
  <c r="S44" i="19" s="1"/>
  <c r="R68" i="19"/>
  <c r="S68" i="19" s="1"/>
  <c r="R9" i="19"/>
  <c r="S9" i="19" s="1"/>
  <c r="R45" i="19"/>
  <c r="S45" i="19" s="1"/>
  <c r="R34" i="19"/>
  <c r="S34" i="19" s="1"/>
  <c r="R19" i="19"/>
  <c r="S19" i="19" s="1"/>
  <c r="R31" i="19"/>
  <c r="S31" i="19" s="1"/>
  <c r="R43" i="19"/>
  <c r="S43" i="19" s="1"/>
  <c r="R55" i="19"/>
  <c r="S55" i="19" s="1"/>
  <c r="R67" i="19"/>
  <c r="S67" i="19" s="1"/>
  <c r="R32" i="19"/>
  <c r="S32" i="19" s="1"/>
  <c r="R56" i="19"/>
  <c r="S56" i="19" s="1"/>
  <c r="R8" i="19"/>
  <c r="S8" i="19" s="1"/>
  <c r="R33" i="19"/>
  <c r="S33" i="19" s="1"/>
  <c r="R69" i="19"/>
  <c r="S69" i="19" s="1"/>
  <c r="R10" i="19"/>
  <c r="S10" i="19" s="1"/>
  <c r="R22" i="19"/>
  <c r="S22" i="19" s="1"/>
  <c r="R58" i="19"/>
  <c r="S58" i="19" s="1"/>
  <c r="R70" i="19"/>
  <c r="S70" i="19" s="1"/>
  <c r="R77" i="19"/>
  <c r="S77" i="19" s="1"/>
  <c r="Z18" i="19"/>
  <c r="AA18" i="19" s="1"/>
  <c r="Z30" i="19"/>
  <c r="AA30" i="19" s="1"/>
  <c r="Z42" i="19"/>
  <c r="AA42" i="19" s="1"/>
  <c r="Z54" i="19"/>
  <c r="AA54" i="19" s="1"/>
  <c r="Z66" i="19"/>
  <c r="AA66" i="19" s="1"/>
  <c r="Z78" i="19"/>
  <c r="AA78" i="19" s="1"/>
  <c r="Z19" i="19"/>
  <c r="AA19" i="19" s="1"/>
  <c r="Z43" i="19"/>
  <c r="AA43" i="19" s="1"/>
  <c r="Z8" i="19"/>
  <c r="AA8" i="19" s="1"/>
  <c r="Z44" i="19"/>
  <c r="AA44" i="19" s="1"/>
  <c r="Z32" i="19"/>
  <c r="AA32" i="19" s="1"/>
  <c r="Z68" i="19"/>
  <c r="AA68" i="19" s="1"/>
  <c r="Z9" i="19"/>
  <c r="AA9" i="19" s="1"/>
  <c r="Z21" i="19"/>
  <c r="AA21" i="19" s="1"/>
  <c r="Z33" i="19"/>
  <c r="AA33" i="19" s="1"/>
  <c r="Z45" i="19"/>
  <c r="AA45" i="19" s="1"/>
  <c r="Z57" i="19"/>
  <c r="AA57" i="19" s="1"/>
  <c r="Z69" i="19"/>
  <c r="AA69" i="19" s="1"/>
  <c r="Z10" i="19"/>
  <c r="AA10" i="19" s="1"/>
  <c r="Z22" i="19"/>
  <c r="AA22" i="19" s="1"/>
  <c r="Z34" i="19"/>
  <c r="AA34" i="19" s="1"/>
  <c r="Z46" i="19"/>
  <c r="AA46" i="19" s="1"/>
  <c r="Z58" i="19"/>
  <c r="AA58" i="19" s="1"/>
  <c r="Z70" i="19"/>
  <c r="AA70" i="19" s="1"/>
  <c r="Z11" i="19"/>
  <c r="AA11" i="19" s="1"/>
  <c r="Z23" i="19"/>
  <c r="AA23" i="19" s="1"/>
  <c r="Z35" i="19"/>
  <c r="AA35" i="19" s="1"/>
  <c r="Z47" i="19"/>
  <c r="AA47" i="19" s="1"/>
  <c r="Z59" i="19"/>
  <c r="AA59" i="19" s="1"/>
  <c r="Z71" i="19"/>
  <c r="AA71" i="19" s="1"/>
  <c r="Z25" i="19"/>
  <c r="AA25" i="19" s="1"/>
  <c r="Z49" i="19"/>
  <c r="AA49" i="19" s="1"/>
  <c r="Z73" i="19"/>
  <c r="AA73" i="19" s="1"/>
  <c r="Z12" i="19"/>
  <c r="AA12" i="19" s="1"/>
  <c r="Z24" i="19"/>
  <c r="AA24" i="19" s="1"/>
  <c r="Z36" i="19"/>
  <c r="AA36" i="19" s="1"/>
  <c r="Z48" i="19"/>
  <c r="AA48" i="19" s="1"/>
  <c r="Z60" i="19"/>
  <c r="AA60" i="19" s="1"/>
  <c r="Z72" i="19"/>
  <c r="AA72" i="19" s="1"/>
  <c r="Z13" i="19"/>
  <c r="AA13" i="19" s="1"/>
  <c r="Z37" i="19"/>
  <c r="AA37" i="19" s="1"/>
  <c r="Z61" i="19"/>
  <c r="AA61" i="19" s="1"/>
  <c r="Z14" i="19"/>
  <c r="AA14" i="19" s="1"/>
  <c r="Z26" i="19"/>
  <c r="AA26" i="19" s="1"/>
  <c r="Z38" i="19"/>
  <c r="AA38" i="19" s="1"/>
  <c r="Z50" i="19"/>
  <c r="AA50" i="19" s="1"/>
  <c r="Z62" i="19"/>
  <c r="AA62" i="19" s="1"/>
  <c r="Z74" i="19"/>
  <c r="AA74" i="19" s="1"/>
  <c r="Z29" i="19"/>
  <c r="AA29" i="19" s="1"/>
  <c r="Z65" i="19"/>
  <c r="AA65" i="19" s="1"/>
  <c r="Z31" i="19"/>
  <c r="AA31" i="19" s="1"/>
  <c r="Z20" i="19"/>
  <c r="AA20" i="19" s="1"/>
  <c r="Z15" i="19"/>
  <c r="AA15" i="19" s="1"/>
  <c r="Z27" i="19"/>
  <c r="AA27" i="19" s="1"/>
  <c r="Z39" i="19"/>
  <c r="AA39" i="19" s="1"/>
  <c r="Z51" i="19"/>
  <c r="AA51" i="19" s="1"/>
  <c r="Z63" i="19"/>
  <c r="AA63" i="19" s="1"/>
  <c r="Z75" i="19"/>
  <c r="AA75" i="19" s="1"/>
  <c r="Z17" i="19"/>
  <c r="AA17" i="19" s="1"/>
  <c r="Z53" i="19"/>
  <c r="AA53" i="19" s="1"/>
  <c r="Z67" i="19"/>
  <c r="AA67" i="19" s="1"/>
  <c r="Z16" i="19"/>
  <c r="AA16" i="19" s="1"/>
  <c r="Z28" i="19"/>
  <c r="AA28" i="19" s="1"/>
  <c r="Z40" i="19"/>
  <c r="AA40" i="19" s="1"/>
  <c r="Z52" i="19"/>
  <c r="AA52" i="19" s="1"/>
  <c r="Z64" i="19"/>
  <c r="AA64" i="19" s="1"/>
  <c r="Z76" i="19"/>
  <c r="AA76" i="19" s="1"/>
  <c r="Z41" i="19"/>
  <c r="AA41" i="19" s="1"/>
  <c r="Z77" i="19"/>
  <c r="AA77" i="19" s="1"/>
  <c r="Z55" i="19"/>
  <c r="AA55" i="19" s="1"/>
  <c r="Z56" i="19"/>
  <c r="AA56" i="19" s="1"/>
  <c r="X56" i="12"/>
  <c r="W53" i="12"/>
  <c r="W54" i="12"/>
  <c r="X54" i="12" s="1"/>
  <c r="L53" i="12"/>
  <c r="D53" i="12"/>
  <c r="E53" i="12"/>
  <c r="W53" i="19" l="1"/>
  <c r="X54" i="19" s="1"/>
  <c r="W54" i="19"/>
  <c r="O53" i="19"/>
  <c r="P54" i="19" s="1"/>
  <c r="O54" i="19"/>
  <c r="M53" i="19"/>
  <c r="M54" i="19"/>
  <c r="L53" i="19"/>
  <c r="L54" i="19"/>
  <c r="E53" i="19"/>
  <c r="D53" i="19"/>
  <c r="O53" i="12" l="1"/>
  <c r="L52" i="12"/>
  <c r="M52" i="12"/>
  <c r="M53" i="12"/>
  <c r="D52" i="12"/>
  <c r="E52" i="12"/>
  <c r="W52" i="19"/>
  <c r="X53" i="19" s="1"/>
  <c r="O52" i="19"/>
  <c r="P53" i="19" s="1"/>
  <c r="L52" i="19"/>
  <c r="M52" i="19"/>
  <c r="E52" i="19"/>
  <c r="D52" i="19"/>
  <c r="AT11" i="19" l="1"/>
  <c r="AT10" i="19"/>
  <c r="AT9" i="19"/>
  <c r="AT21" i="19"/>
  <c r="AT20" i="19"/>
  <c r="AT19" i="19"/>
  <c r="AT31" i="19"/>
  <c r="AT30" i="19"/>
  <c r="AT29" i="19"/>
  <c r="W51" i="12"/>
  <c r="W52" i="12"/>
  <c r="X53" i="12" s="1"/>
  <c r="O51" i="12"/>
  <c r="O52" i="12"/>
  <c r="P53" i="12" s="1"/>
  <c r="M51" i="12"/>
  <c r="L51" i="12"/>
  <c r="E51" i="12"/>
  <c r="D51" i="12"/>
  <c r="W50" i="19"/>
  <c r="W51" i="19"/>
  <c r="X52" i="19" s="1"/>
  <c r="O51" i="19"/>
  <c r="M51" i="19"/>
  <c r="L51" i="19"/>
  <c r="E51" i="19"/>
  <c r="D51" i="19"/>
  <c r="X51" i="19" l="1"/>
  <c r="X52" i="12"/>
  <c r="Q53" i="19"/>
  <c r="P52" i="12"/>
  <c r="P52" i="19"/>
  <c r="Q52" i="19" s="1"/>
  <c r="Y53" i="12"/>
  <c r="Y54" i="12"/>
  <c r="Y55" i="12"/>
  <c r="Y56" i="12"/>
  <c r="Y57" i="12"/>
  <c r="Y58" i="12"/>
  <c r="Y59" i="12"/>
  <c r="Y60" i="12"/>
  <c r="Y61" i="12"/>
  <c r="Y62" i="12"/>
  <c r="Y63" i="12"/>
  <c r="Y64" i="12"/>
  <c r="Y65" i="12"/>
  <c r="Y66" i="12"/>
  <c r="Y67" i="12"/>
  <c r="Y68" i="12"/>
  <c r="Y69" i="12"/>
  <c r="Y70" i="12"/>
  <c r="Y71" i="12"/>
  <c r="Y72" i="12"/>
  <c r="Y73" i="12"/>
  <c r="Y74" i="12"/>
  <c r="Y75" i="12"/>
  <c r="Y76" i="12"/>
  <c r="Y77" i="12"/>
  <c r="Y78" i="12"/>
  <c r="Q53" i="12"/>
  <c r="Q54" i="12"/>
  <c r="Q55" i="12"/>
  <c r="Q56" i="12"/>
  <c r="Q57" i="12"/>
  <c r="Q58" i="12"/>
  <c r="Q59" i="12"/>
  <c r="Q60" i="12"/>
  <c r="Q61" i="12"/>
  <c r="Q62" i="12"/>
  <c r="Q63" i="12"/>
  <c r="Q64" i="12"/>
  <c r="Q65" i="12"/>
  <c r="Q66" i="12"/>
  <c r="Q67" i="12"/>
  <c r="Q68" i="12"/>
  <c r="Q69" i="12"/>
  <c r="Q70" i="12"/>
  <c r="Q71" i="12"/>
  <c r="Q72" i="12"/>
  <c r="Q73" i="12"/>
  <c r="Q74" i="12"/>
  <c r="Q75" i="12"/>
  <c r="Q76" i="12"/>
  <c r="Q77" i="12"/>
  <c r="Q78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Y52" i="12"/>
  <c r="F52" i="12"/>
  <c r="Y51" i="12"/>
  <c r="W50" i="12"/>
  <c r="X51" i="12" s="1"/>
  <c r="O50" i="12"/>
  <c r="P51" i="12" s="1"/>
  <c r="M50" i="12"/>
  <c r="L50" i="12"/>
  <c r="E50" i="12"/>
  <c r="D50" i="12"/>
  <c r="F50" i="12" s="1"/>
  <c r="W49" i="12"/>
  <c r="O49" i="12"/>
  <c r="M49" i="12"/>
  <c r="L49" i="12"/>
  <c r="E49" i="12"/>
  <c r="D49" i="12"/>
  <c r="F49" i="12" s="1"/>
  <c r="W48" i="12"/>
  <c r="Y48" i="12" s="1"/>
  <c r="O48" i="12"/>
  <c r="Q48" i="12" s="1"/>
  <c r="M48" i="12"/>
  <c r="L48" i="12"/>
  <c r="E48" i="12"/>
  <c r="D48" i="12"/>
  <c r="F48" i="12" s="1"/>
  <c r="W47" i="12"/>
  <c r="O47" i="12"/>
  <c r="Q47" i="12" s="1"/>
  <c r="M47" i="12"/>
  <c r="L47" i="12"/>
  <c r="E47" i="12"/>
  <c r="D47" i="12"/>
  <c r="F47" i="12" s="1"/>
  <c r="W46" i="12"/>
  <c r="O46" i="12"/>
  <c r="Q46" i="12" s="1"/>
  <c r="M46" i="12"/>
  <c r="L46" i="12"/>
  <c r="E46" i="12"/>
  <c r="D46" i="12"/>
  <c r="F46" i="12" s="1"/>
  <c r="W45" i="12"/>
  <c r="Y45" i="12" s="1"/>
  <c r="O45" i="12"/>
  <c r="M45" i="12"/>
  <c r="L45" i="12"/>
  <c r="E45" i="12"/>
  <c r="D45" i="12"/>
  <c r="F45" i="12" s="1"/>
  <c r="W44" i="12"/>
  <c r="Y44" i="12" s="1"/>
  <c r="O44" i="12"/>
  <c r="M44" i="12"/>
  <c r="L44" i="12"/>
  <c r="E44" i="12"/>
  <c r="D44" i="12"/>
  <c r="F44" i="12" s="1"/>
  <c r="W43" i="12"/>
  <c r="O43" i="12"/>
  <c r="Q43" i="12" s="1"/>
  <c r="M43" i="12"/>
  <c r="L43" i="12"/>
  <c r="E43" i="12"/>
  <c r="D43" i="12"/>
  <c r="W42" i="12"/>
  <c r="O42" i="12"/>
  <c r="Q42" i="12" s="1"/>
  <c r="M42" i="12"/>
  <c r="L42" i="12"/>
  <c r="E42" i="12"/>
  <c r="D42" i="12"/>
  <c r="W41" i="12"/>
  <c r="O41" i="12"/>
  <c r="Q41" i="12" s="1"/>
  <c r="M41" i="12"/>
  <c r="L41" i="12"/>
  <c r="E41" i="12"/>
  <c r="D41" i="12"/>
  <c r="W40" i="12"/>
  <c r="Y40" i="12" s="1"/>
  <c r="O40" i="12"/>
  <c r="Q40" i="12" s="1"/>
  <c r="M40" i="12"/>
  <c r="L40" i="12"/>
  <c r="E40" i="12"/>
  <c r="D40" i="12"/>
  <c r="W39" i="12"/>
  <c r="Y39" i="12" s="1"/>
  <c r="O39" i="12"/>
  <c r="M39" i="12"/>
  <c r="L39" i="12"/>
  <c r="E39" i="12"/>
  <c r="D39" i="12"/>
  <c r="F39" i="12" s="1"/>
  <c r="W38" i="12"/>
  <c r="O38" i="12"/>
  <c r="Q38" i="12" s="1"/>
  <c r="M38" i="12"/>
  <c r="L38" i="12"/>
  <c r="E38" i="12"/>
  <c r="D38" i="12"/>
  <c r="F38" i="12" s="1"/>
  <c r="W37" i="12"/>
  <c r="Y37" i="12" s="1"/>
  <c r="O37" i="12"/>
  <c r="Q37" i="12" s="1"/>
  <c r="M37" i="12"/>
  <c r="L37" i="12"/>
  <c r="E37" i="12"/>
  <c r="D37" i="12"/>
  <c r="F37" i="12" s="1"/>
  <c r="W36" i="12"/>
  <c r="Y36" i="12" s="1"/>
  <c r="O36" i="12"/>
  <c r="Q36" i="12" s="1"/>
  <c r="M36" i="12"/>
  <c r="L36" i="12"/>
  <c r="E36" i="12"/>
  <c r="D36" i="12"/>
  <c r="F36" i="12" s="1"/>
  <c r="W35" i="12"/>
  <c r="O35" i="12"/>
  <c r="Q35" i="12" s="1"/>
  <c r="M35" i="12"/>
  <c r="L35" i="12"/>
  <c r="E35" i="12"/>
  <c r="D35" i="12"/>
  <c r="W34" i="12"/>
  <c r="Y34" i="12" s="1"/>
  <c r="O34" i="12"/>
  <c r="M34" i="12"/>
  <c r="L34" i="12"/>
  <c r="E34" i="12"/>
  <c r="D34" i="12"/>
  <c r="W33" i="12"/>
  <c r="Y33" i="12" s="1"/>
  <c r="O33" i="12"/>
  <c r="Q33" i="12" s="1"/>
  <c r="M33" i="12"/>
  <c r="L33" i="12"/>
  <c r="E33" i="12"/>
  <c r="D33" i="12"/>
  <c r="F33" i="12" s="1"/>
  <c r="W32" i="12"/>
  <c r="Y32" i="12" s="1"/>
  <c r="O32" i="12"/>
  <c r="M32" i="12"/>
  <c r="L32" i="12"/>
  <c r="E32" i="12"/>
  <c r="D32" i="12"/>
  <c r="F32" i="12" s="1"/>
  <c r="W31" i="12"/>
  <c r="Y31" i="12" s="1"/>
  <c r="O31" i="12"/>
  <c r="M31" i="12"/>
  <c r="L31" i="12"/>
  <c r="E31" i="12"/>
  <c r="D31" i="12"/>
  <c r="F31" i="12" s="1"/>
  <c r="W30" i="12"/>
  <c r="Y30" i="12" s="1"/>
  <c r="O30" i="12"/>
  <c r="Q30" i="12" s="1"/>
  <c r="M30" i="12"/>
  <c r="L30" i="12"/>
  <c r="E30" i="12"/>
  <c r="D30" i="12"/>
  <c r="F30" i="12" s="1"/>
  <c r="W29" i="12"/>
  <c r="Y29" i="12" s="1"/>
  <c r="O29" i="12"/>
  <c r="Q29" i="12" s="1"/>
  <c r="M29" i="12"/>
  <c r="L29" i="12"/>
  <c r="E29" i="12"/>
  <c r="D29" i="12"/>
  <c r="F29" i="12" s="1"/>
  <c r="W28" i="12"/>
  <c r="Y28" i="12" s="1"/>
  <c r="O28" i="12"/>
  <c r="Q28" i="12" s="1"/>
  <c r="M28" i="12"/>
  <c r="L28" i="12"/>
  <c r="E28" i="12"/>
  <c r="D28" i="12"/>
  <c r="F28" i="12" s="1"/>
  <c r="W27" i="12"/>
  <c r="Y27" i="12" s="1"/>
  <c r="O27" i="12"/>
  <c r="Q27" i="12" s="1"/>
  <c r="M27" i="12"/>
  <c r="L27" i="12"/>
  <c r="E27" i="12"/>
  <c r="D27" i="12"/>
  <c r="F27" i="12" s="1"/>
  <c r="W26" i="12"/>
  <c r="O26" i="12"/>
  <c r="M26" i="12"/>
  <c r="L26" i="12"/>
  <c r="E26" i="12"/>
  <c r="D26" i="12"/>
  <c r="W25" i="12"/>
  <c r="O25" i="12"/>
  <c r="M25" i="12"/>
  <c r="L25" i="12"/>
  <c r="E25" i="12"/>
  <c r="D25" i="12"/>
  <c r="F25" i="12" s="1"/>
  <c r="W24" i="12"/>
  <c r="Y24" i="12" s="1"/>
  <c r="O24" i="12"/>
  <c r="Q24" i="12" s="1"/>
  <c r="M24" i="12"/>
  <c r="L24" i="12"/>
  <c r="E24" i="12"/>
  <c r="D24" i="12"/>
  <c r="AT23" i="12"/>
  <c r="W23" i="12"/>
  <c r="O23" i="12"/>
  <c r="M23" i="12"/>
  <c r="L23" i="12"/>
  <c r="E23" i="12"/>
  <c r="D23" i="12"/>
  <c r="F23" i="12" s="1"/>
  <c r="AT22" i="12"/>
  <c r="W22" i="12"/>
  <c r="O22" i="12"/>
  <c r="M22" i="12"/>
  <c r="L22" i="12"/>
  <c r="E22" i="12"/>
  <c r="D22" i="12"/>
  <c r="F22" i="12" s="1"/>
  <c r="W21" i="12"/>
  <c r="Y21" i="12" s="1"/>
  <c r="O21" i="12"/>
  <c r="Q21" i="12" s="1"/>
  <c r="M21" i="12"/>
  <c r="L21" i="12"/>
  <c r="E21" i="12"/>
  <c r="D21" i="12"/>
  <c r="F21" i="12" s="1"/>
  <c r="W20" i="12"/>
  <c r="O20" i="12"/>
  <c r="Q20" i="12" s="1"/>
  <c r="M20" i="12"/>
  <c r="L20" i="12"/>
  <c r="E20" i="12"/>
  <c r="D20" i="12"/>
  <c r="F20" i="12" s="1"/>
  <c r="W19" i="12"/>
  <c r="Y19" i="12" s="1"/>
  <c r="O19" i="12"/>
  <c r="M19" i="12"/>
  <c r="L19" i="12"/>
  <c r="E19" i="12"/>
  <c r="D19" i="12"/>
  <c r="F19" i="12" s="1"/>
  <c r="W18" i="12"/>
  <c r="O18" i="12"/>
  <c r="M18" i="12"/>
  <c r="L18" i="12"/>
  <c r="E18" i="12"/>
  <c r="D18" i="12"/>
  <c r="F18" i="12" s="1"/>
  <c r="W17" i="12"/>
  <c r="Y17" i="12" s="1"/>
  <c r="O17" i="12"/>
  <c r="M17" i="12"/>
  <c r="L17" i="12"/>
  <c r="E17" i="12"/>
  <c r="D17" i="12"/>
  <c r="W16" i="12"/>
  <c r="Y16" i="12" s="1"/>
  <c r="O16" i="12"/>
  <c r="M16" i="12"/>
  <c r="L16" i="12"/>
  <c r="E16" i="12"/>
  <c r="D16" i="12"/>
  <c r="W15" i="12"/>
  <c r="Y15" i="12" s="1"/>
  <c r="O15" i="12"/>
  <c r="M15" i="12"/>
  <c r="L15" i="12"/>
  <c r="E15" i="12"/>
  <c r="D15" i="12"/>
  <c r="W14" i="12"/>
  <c r="Y14" i="12" s="1"/>
  <c r="O14" i="12"/>
  <c r="M14" i="12"/>
  <c r="L14" i="12"/>
  <c r="E14" i="12"/>
  <c r="D14" i="12"/>
  <c r="AT13" i="12"/>
  <c r="W13" i="12"/>
  <c r="O13" i="12"/>
  <c r="M13" i="12"/>
  <c r="L13" i="12"/>
  <c r="E13" i="12"/>
  <c r="D13" i="12"/>
  <c r="AT12" i="12"/>
  <c r="W12" i="12"/>
  <c r="Y12" i="12" s="1"/>
  <c r="O12" i="12"/>
  <c r="Q12" i="12" s="1"/>
  <c r="M12" i="12"/>
  <c r="L12" i="12"/>
  <c r="E12" i="12"/>
  <c r="D12" i="12"/>
  <c r="W11" i="12"/>
  <c r="O11" i="12"/>
  <c r="Q11" i="12" s="1"/>
  <c r="M11" i="12"/>
  <c r="L11" i="12"/>
  <c r="E11" i="12"/>
  <c r="D11" i="12"/>
  <c r="W10" i="12"/>
  <c r="Y10" i="12" s="1"/>
  <c r="O10" i="12"/>
  <c r="M10" i="12"/>
  <c r="L10" i="12"/>
  <c r="E10" i="12"/>
  <c r="D10" i="12"/>
  <c r="F10" i="12" s="1"/>
  <c r="W9" i="12"/>
  <c r="Y9" i="12" s="1"/>
  <c r="O9" i="12"/>
  <c r="Q9" i="12" s="1"/>
  <c r="M9" i="12"/>
  <c r="L9" i="12"/>
  <c r="E9" i="12"/>
  <c r="D9" i="12"/>
  <c r="F9" i="12" s="1"/>
  <c r="C9" i="12"/>
  <c r="W8" i="12"/>
  <c r="Y8" i="12" s="1"/>
  <c r="O8" i="12"/>
  <c r="Q8" i="12" s="1"/>
  <c r="M8" i="12"/>
  <c r="L8" i="12"/>
  <c r="E8" i="12"/>
  <c r="D8" i="12"/>
  <c r="H143" i="12"/>
  <c r="D143" i="12"/>
  <c r="H142" i="12"/>
  <c r="D142" i="12"/>
  <c r="H141" i="12"/>
  <c r="D141" i="12"/>
  <c r="H140" i="12"/>
  <c r="D140" i="12"/>
  <c r="H139" i="12"/>
  <c r="D139" i="12"/>
  <c r="H138" i="12"/>
  <c r="D138" i="12"/>
  <c r="H137" i="12"/>
  <c r="D137" i="12"/>
  <c r="H136" i="12"/>
  <c r="D136" i="12"/>
  <c r="H135" i="12"/>
  <c r="D135" i="12"/>
  <c r="H134" i="12"/>
  <c r="D134" i="12"/>
  <c r="H133" i="12"/>
  <c r="D133" i="12"/>
  <c r="H132" i="12"/>
  <c r="D132" i="12"/>
  <c r="H131" i="12"/>
  <c r="D131" i="12"/>
  <c r="H130" i="12"/>
  <c r="D130" i="12"/>
  <c r="H129" i="12"/>
  <c r="D129" i="12"/>
  <c r="H128" i="12"/>
  <c r="D128" i="12"/>
  <c r="H127" i="12"/>
  <c r="D127" i="12"/>
  <c r="H126" i="12"/>
  <c r="D126" i="12"/>
  <c r="H125" i="12"/>
  <c r="D125" i="12"/>
  <c r="H124" i="12"/>
  <c r="D124" i="12"/>
  <c r="H123" i="12"/>
  <c r="D123" i="12"/>
  <c r="H122" i="12"/>
  <c r="D122" i="12"/>
  <c r="H121" i="12"/>
  <c r="D121" i="12"/>
  <c r="H120" i="12"/>
  <c r="D120" i="12"/>
  <c r="H119" i="12"/>
  <c r="D119" i="12"/>
  <c r="H118" i="12"/>
  <c r="D118" i="12"/>
  <c r="H117" i="12"/>
  <c r="D117" i="12"/>
  <c r="H116" i="12"/>
  <c r="D116" i="12"/>
  <c r="H115" i="12"/>
  <c r="D115" i="12"/>
  <c r="AB114" i="12"/>
  <c r="H114" i="12"/>
  <c r="D114" i="12"/>
  <c r="AB113" i="12"/>
  <c r="H113" i="12"/>
  <c r="D113" i="12"/>
  <c r="AB112" i="12"/>
  <c r="H112" i="12"/>
  <c r="D112" i="12"/>
  <c r="AB111" i="12"/>
  <c r="H111" i="12"/>
  <c r="D111" i="12"/>
  <c r="H110" i="12"/>
  <c r="D110" i="12"/>
  <c r="H109" i="12"/>
  <c r="D109" i="12"/>
  <c r="H108" i="12"/>
  <c r="D108" i="12"/>
  <c r="H107" i="12"/>
  <c r="D107" i="12"/>
  <c r="H106" i="12"/>
  <c r="D106" i="12"/>
  <c r="H105" i="12"/>
  <c r="D105" i="12"/>
  <c r="AB104" i="12"/>
  <c r="H104" i="12"/>
  <c r="D104" i="12"/>
  <c r="AB103" i="12"/>
  <c r="H103" i="12"/>
  <c r="D103" i="12"/>
  <c r="N102" i="12" s="1"/>
  <c r="AB102" i="12"/>
  <c r="AB101" i="12"/>
  <c r="O50" i="19"/>
  <c r="P51" i="19" s="1"/>
  <c r="M50" i="19"/>
  <c r="L50" i="19"/>
  <c r="E50" i="19"/>
  <c r="D50" i="19"/>
  <c r="Y8" i="19"/>
  <c r="Y53" i="19"/>
  <c r="Y54" i="19"/>
  <c r="Y55" i="19"/>
  <c r="Y56" i="19"/>
  <c r="Y57" i="19"/>
  <c r="Y58" i="19"/>
  <c r="Y59" i="19"/>
  <c r="Y60" i="19"/>
  <c r="Y61" i="19"/>
  <c r="Y62" i="19"/>
  <c r="Y63" i="19"/>
  <c r="Y64" i="19"/>
  <c r="Y65" i="19"/>
  <c r="Y66" i="19"/>
  <c r="Y67" i="19"/>
  <c r="Y68" i="19"/>
  <c r="Y69" i="19"/>
  <c r="Y70" i="19"/>
  <c r="Y71" i="19"/>
  <c r="Y72" i="19"/>
  <c r="Y73" i="19"/>
  <c r="Y74" i="19"/>
  <c r="Y75" i="19"/>
  <c r="Y76" i="19"/>
  <c r="Y77" i="19"/>
  <c r="Y78" i="19"/>
  <c r="Q54" i="19"/>
  <c r="Q55" i="19"/>
  <c r="Q56" i="19"/>
  <c r="Q57" i="19"/>
  <c r="Q58" i="19"/>
  <c r="Q59" i="19"/>
  <c r="Q60" i="19"/>
  <c r="Q61" i="19"/>
  <c r="Q62" i="19"/>
  <c r="Q63" i="19"/>
  <c r="Q64" i="19"/>
  <c r="Q65" i="19"/>
  <c r="Q66" i="19"/>
  <c r="Q67" i="19"/>
  <c r="Q68" i="19"/>
  <c r="Q69" i="19"/>
  <c r="Q70" i="19"/>
  <c r="Q71" i="19"/>
  <c r="Q72" i="19"/>
  <c r="Q73" i="19"/>
  <c r="Q74" i="19"/>
  <c r="Q75" i="19"/>
  <c r="Q76" i="19"/>
  <c r="Q77" i="19"/>
  <c r="Q78" i="19"/>
  <c r="Q8" i="19"/>
  <c r="X27" i="12" l="1"/>
  <c r="P40" i="12"/>
  <c r="X12" i="12"/>
  <c r="P14" i="12"/>
  <c r="X20" i="12"/>
  <c r="AB8" i="12"/>
  <c r="AB9" i="12"/>
  <c r="P32" i="12"/>
  <c r="P41" i="12"/>
  <c r="X42" i="12"/>
  <c r="X44" i="12"/>
  <c r="X45" i="12"/>
  <c r="P50" i="12"/>
  <c r="P47" i="12"/>
  <c r="P27" i="12"/>
  <c r="X48" i="12"/>
  <c r="P33" i="12"/>
  <c r="P21" i="12"/>
  <c r="P24" i="12"/>
  <c r="Q26" i="12"/>
  <c r="Y49" i="12"/>
  <c r="X50" i="12"/>
  <c r="P30" i="12"/>
  <c r="P17" i="12"/>
  <c r="P19" i="12"/>
  <c r="P22" i="12"/>
  <c r="X36" i="12"/>
  <c r="I72" i="12"/>
  <c r="I12" i="12"/>
  <c r="I19" i="12"/>
  <c r="I20" i="12"/>
  <c r="I24" i="12"/>
  <c r="I31" i="12"/>
  <c r="I32" i="12"/>
  <c r="I36" i="12"/>
  <c r="I43" i="12"/>
  <c r="I44" i="12"/>
  <c r="I48" i="12"/>
  <c r="I60" i="12"/>
  <c r="I67" i="12"/>
  <c r="I68" i="12"/>
  <c r="I14" i="12"/>
  <c r="I26" i="12"/>
  <c r="I38" i="12"/>
  <c r="I50" i="12"/>
  <c r="I62" i="12"/>
  <c r="I74" i="12"/>
  <c r="I15" i="12"/>
  <c r="I27" i="12"/>
  <c r="I51" i="12"/>
  <c r="I63" i="12"/>
  <c r="I75" i="12"/>
  <c r="I16" i="12"/>
  <c r="I28" i="12"/>
  <c r="I40" i="12"/>
  <c r="I52" i="12"/>
  <c r="I64" i="12"/>
  <c r="I76" i="12"/>
  <c r="I17" i="12"/>
  <c r="I29" i="12"/>
  <c r="I41" i="12"/>
  <c r="I53" i="12"/>
  <c r="I65" i="12"/>
  <c r="I77" i="12"/>
  <c r="I18" i="12"/>
  <c r="I30" i="12"/>
  <c r="I42" i="12"/>
  <c r="I66" i="12"/>
  <c r="I78" i="12"/>
  <c r="I9" i="12"/>
  <c r="I21" i="12"/>
  <c r="I33" i="12"/>
  <c r="I45" i="12"/>
  <c r="I69" i="12"/>
  <c r="I10" i="12"/>
  <c r="I22" i="12"/>
  <c r="I34" i="12"/>
  <c r="I46" i="12"/>
  <c r="I58" i="12"/>
  <c r="I70" i="12"/>
  <c r="I13" i="12"/>
  <c r="I11" i="12"/>
  <c r="I23" i="12"/>
  <c r="I35" i="12"/>
  <c r="I47" i="12"/>
  <c r="I59" i="12"/>
  <c r="I71" i="12"/>
  <c r="I25" i="12"/>
  <c r="I37" i="12"/>
  <c r="I49" i="12"/>
  <c r="I61" i="12"/>
  <c r="I73" i="12"/>
  <c r="I8" i="12"/>
  <c r="T66" i="12"/>
  <c r="T31" i="12"/>
  <c r="T21" i="12"/>
  <c r="T23" i="12"/>
  <c r="T32" i="12"/>
  <c r="T72" i="12"/>
  <c r="T73" i="12"/>
  <c r="T74" i="12"/>
  <c r="T76" i="12"/>
  <c r="T18" i="12"/>
  <c r="T19" i="12"/>
  <c r="T68" i="12"/>
  <c r="T75" i="12"/>
  <c r="T9" i="12"/>
  <c r="T30" i="12"/>
  <c r="T12" i="12"/>
  <c r="T13" i="12"/>
  <c r="T14" i="12"/>
  <c r="T15" i="12"/>
  <c r="T16" i="12"/>
  <c r="T17" i="12"/>
  <c r="T42" i="12"/>
  <c r="T43" i="12"/>
  <c r="T10" i="12"/>
  <c r="T22" i="12"/>
  <c r="T34" i="12"/>
  <c r="T46" i="12"/>
  <c r="T58" i="12"/>
  <c r="T70" i="12"/>
  <c r="T35" i="12"/>
  <c r="T47" i="12"/>
  <c r="T59" i="12"/>
  <c r="T71" i="12"/>
  <c r="T65" i="12"/>
  <c r="T77" i="12"/>
  <c r="T20" i="12"/>
  <c r="T33" i="12"/>
  <c r="T24" i="12"/>
  <c r="T25" i="12"/>
  <c r="T26" i="12"/>
  <c r="T27" i="12"/>
  <c r="T28" i="12"/>
  <c r="T29" i="12"/>
  <c r="T54" i="12"/>
  <c r="T45" i="12"/>
  <c r="T36" i="12"/>
  <c r="T38" i="12"/>
  <c r="T40" i="12"/>
  <c r="T67" i="12"/>
  <c r="T44" i="12"/>
  <c r="T48" i="12"/>
  <c r="T49" i="12"/>
  <c r="T50" i="12"/>
  <c r="T51" i="12"/>
  <c r="T52" i="12"/>
  <c r="T53" i="12"/>
  <c r="T78" i="12"/>
  <c r="T8" i="12"/>
  <c r="T37" i="12"/>
  <c r="T39" i="12"/>
  <c r="T41" i="12"/>
  <c r="T69" i="12"/>
  <c r="T11" i="12"/>
  <c r="T60" i="12"/>
  <c r="T61" i="12"/>
  <c r="T62" i="12"/>
  <c r="T63" i="12"/>
  <c r="T64" i="12"/>
  <c r="P35" i="12"/>
  <c r="AG12" i="12"/>
  <c r="AG15" i="12" s="1"/>
  <c r="P11" i="12"/>
  <c r="P39" i="12"/>
  <c r="F26" i="12"/>
  <c r="Q34" i="12"/>
  <c r="P46" i="12"/>
  <c r="F24" i="12"/>
  <c r="I39" i="12"/>
  <c r="Q52" i="12"/>
  <c r="F43" i="12"/>
  <c r="F17" i="12"/>
  <c r="Q51" i="12"/>
  <c r="Q17" i="12"/>
  <c r="Y41" i="12"/>
  <c r="P38" i="12"/>
  <c r="F42" i="12"/>
  <c r="F11" i="12"/>
  <c r="Q50" i="12"/>
  <c r="Q15" i="12"/>
  <c r="X17" i="12"/>
  <c r="X19" i="12"/>
  <c r="X24" i="12"/>
  <c r="X39" i="12"/>
  <c r="F41" i="12"/>
  <c r="Q44" i="12"/>
  <c r="Q14" i="12"/>
  <c r="X26" i="12"/>
  <c r="Q39" i="12"/>
  <c r="X11" i="12"/>
  <c r="P13" i="12"/>
  <c r="X14" i="12"/>
  <c r="X25" i="12"/>
  <c r="P28" i="12"/>
  <c r="X35" i="12"/>
  <c r="F40" i="12"/>
  <c r="F16" i="12"/>
  <c r="AG11" i="12"/>
  <c r="Q49" i="12"/>
  <c r="Q25" i="12"/>
  <c r="Q13" i="12"/>
  <c r="P23" i="12"/>
  <c r="X28" i="12"/>
  <c r="X33" i="12"/>
  <c r="P37" i="12"/>
  <c r="X40" i="12"/>
  <c r="F51" i="12"/>
  <c r="F15" i="12"/>
  <c r="Y50" i="12"/>
  <c r="Y38" i="12"/>
  <c r="Y26" i="12"/>
  <c r="P10" i="12"/>
  <c r="P9" i="12"/>
  <c r="X15" i="12"/>
  <c r="P20" i="12"/>
  <c r="P29" i="12"/>
  <c r="P34" i="12"/>
  <c r="X43" i="12"/>
  <c r="P44" i="12"/>
  <c r="F14" i="12"/>
  <c r="Q23" i="12"/>
  <c r="Y25" i="12"/>
  <c r="Y13" i="12"/>
  <c r="X38" i="12"/>
  <c r="Y52" i="19"/>
  <c r="P12" i="12"/>
  <c r="X23" i="12"/>
  <c r="X30" i="12"/>
  <c r="X37" i="12"/>
  <c r="F13" i="12"/>
  <c r="AG23" i="12"/>
  <c r="Q22" i="12"/>
  <c r="Q10" i="12"/>
  <c r="P31" i="12"/>
  <c r="X34" i="12"/>
  <c r="X47" i="12"/>
  <c r="P49" i="12"/>
  <c r="F12" i="12"/>
  <c r="AG24" i="12"/>
  <c r="AG27" i="12" s="1"/>
  <c r="Q45" i="12"/>
  <c r="Y47" i="12"/>
  <c r="Y35" i="12"/>
  <c r="Y23" i="12"/>
  <c r="Y11" i="12"/>
  <c r="N103" i="12"/>
  <c r="F35" i="12"/>
  <c r="Q32" i="12"/>
  <c r="Y46" i="12"/>
  <c r="Y22" i="12"/>
  <c r="N114" i="12"/>
  <c r="F34" i="12"/>
  <c r="Q31" i="12"/>
  <c r="Q19" i="12"/>
  <c r="AG35" i="12"/>
  <c r="X21" i="12"/>
  <c r="Q18" i="12"/>
  <c r="Y20" i="12"/>
  <c r="AG36" i="12"/>
  <c r="AG39" i="12" s="1"/>
  <c r="F8" i="12"/>
  <c r="Y43" i="12"/>
  <c r="Q16" i="12"/>
  <c r="Y42" i="12"/>
  <c r="Y18" i="12"/>
  <c r="X13" i="12"/>
  <c r="X16" i="12"/>
  <c r="X32" i="12"/>
  <c r="P26" i="12"/>
  <c r="P25" i="12"/>
  <c r="P16" i="12"/>
  <c r="P15" i="12"/>
  <c r="P18" i="12"/>
  <c r="X9" i="12"/>
  <c r="X10" i="12"/>
  <c r="X22" i="12"/>
  <c r="X31" i="12"/>
  <c r="P36" i="12"/>
  <c r="C10" i="12"/>
  <c r="X18" i="12"/>
  <c r="P43" i="12"/>
  <c r="P42" i="12"/>
  <c r="X29" i="12"/>
  <c r="X41" i="12"/>
  <c r="P45" i="12"/>
  <c r="X46" i="12"/>
  <c r="P48" i="12"/>
  <c r="X49" i="12"/>
  <c r="N113" i="12"/>
  <c r="T57" i="12" l="1"/>
  <c r="T56" i="12"/>
  <c r="T55" i="12"/>
  <c r="I54" i="12"/>
  <c r="I57" i="12"/>
  <c r="I56" i="12"/>
  <c r="I55" i="12"/>
  <c r="N8" i="12"/>
  <c r="E133" i="12"/>
  <c r="E114" i="12"/>
  <c r="E141" i="12"/>
  <c r="E127" i="12"/>
  <c r="E121" i="12"/>
  <c r="E132" i="12"/>
  <c r="E129" i="12"/>
  <c r="E104" i="12"/>
  <c r="E160" i="12"/>
  <c r="E154" i="12"/>
  <c r="E148" i="12"/>
  <c r="N108" i="12"/>
  <c r="E101" i="12"/>
  <c r="E119" i="12"/>
  <c r="E103" i="12"/>
  <c r="E142" i="12"/>
  <c r="E107" i="12"/>
  <c r="E109" i="12"/>
  <c r="E162" i="12"/>
  <c r="E131" i="12"/>
  <c r="E118" i="12"/>
  <c r="E134" i="12"/>
  <c r="E156" i="12"/>
  <c r="E125" i="12"/>
  <c r="E136" i="12"/>
  <c r="E161" i="12"/>
  <c r="E117" i="12"/>
  <c r="E149" i="12"/>
  <c r="E106" i="12"/>
  <c r="E108" i="12"/>
  <c r="E159" i="12"/>
  <c r="E153" i="12"/>
  <c r="E128" i="12"/>
  <c r="C11" i="12"/>
  <c r="AB10" i="12"/>
  <c r="N9" i="12"/>
  <c r="E157" i="12" s="1"/>
  <c r="AG25" i="12" l="1" a="1"/>
  <c r="AG25" i="12" s="1"/>
  <c r="AG28" i="12" s="1"/>
  <c r="V57" i="12" s="1"/>
  <c r="AG26" i="12" a="1"/>
  <c r="AG26" i="12" s="1"/>
  <c r="AT18" i="12" s="1"/>
  <c r="AG13" i="12" a="1"/>
  <c r="AG13" i="12" s="1"/>
  <c r="AG16" i="12" s="1"/>
  <c r="J54" i="12" s="1"/>
  <c r="AG14" i="12" a="1"/>
  <c r="AG14" i="12" s="1"/>
  <c r="AT8" i="12" s="1"/>
  <c r="N10" i="12"/>
  <c r="AB11" i="12"/>
  <c r="C12" i="12"/>
  <c r="E124" i="12"/>
  <c r="E146" i="12"/>
  <c r="E120" i="12"/>
  <c r="E130" i="12"/>
  <c r="E144" i="12"/>
  <c r="E135" i="12"/>
  <c r="E152" i="12"/>
  <c r="E123" i="12"/>
  <c r="E138" i="12"/>
  <c r="E102" i="12"/>
  <c r="E147" i="12"/>
  <c r="E150" i="12"/>
  <c r="E158" i="12"/>
  <c r="E126" i="12"/>
  <c r="E99" i="12"/>
  <c r="E122" i="12"/>
  <c r="E155" i="12"/>
  <c r="E100" i="12"/>
  <c r="E113" i="12"/>
  <c r="E140" i="12"/>
  <c r="E145" i="12"/>
  <c r="E110" i="12"/>
  <c r="E105" i="12"/>
  <c r="E112" i="12"/>
  <c r="E115" i="12"/>
  <c r="E143" i="12"/>
  <c r="E151" i="12"/>
  <c r="E139" i="12"/>
  <c r="E111" i="12"/>
  <c r="AB100" i="12"/>
  <c r="E137" i="12"/>
  <c r="E116" i="12"/>
  <c r="U20" i="12" l="1"/>
  <c r="V46" i="12"/>
  <c r="V53" i="12"/>
  <c r="V38" i="12"/>
  <c r="U53" i="12"/>
  <c r="V42" i="12"/>
  <c r="V29" i="12"/>
  <c r="U30" i="12"/>
  <c r="V26" i="12"/>
  <c r="U39" i="12"/>
  <c r="V47" i="12"/>
  <c r="V10" i="12"/>
  <c r="U38" i="12"/>
  <c r="U26" i="12"/>
  <c r="V41" i="12"/>
  <c r="V54" i="12"/>
  <c r="U46" i="12"/>
  <c r="U43" i="12"/>
  <c r="V39" i="12"/>
  <c r="U40" i="12"/>
  <c r="V48" i="12"/>
  <c r="V11" i="12"/>
  <c r="U36" i="12"/>
  <c r="U57" i="12"/>
  <c r="V9" i="12"/>
  <c r="V20" i="12"/>
  <c r="V22" i="12"/>
  <c r="U11" i="12"/>
  <c r="U52" i="12"/>
  <c r="U34" i="12"/>
  <c r="U31" i="12"/>
  <c r="V27" i="12"/>
  <c r="U28" i="12"/>
  <c r="V36" i="12"/>
  <c r="U35" i="12"/>
  <c r="U24" i="12"/>
  <c r="V56" i="12"/>
  <c r="V16" i="12"/>
  <c r="U21" i="12"/>
  <c r="V34" i="12"/>
  <c r="U9" i="12"/>
  <c r="V17" i="12"/>
  <c r="V35" i="12"/>
  <c r="V51" i="12"/>
  <c r="U54" i="12"/>
  <c r="U22" i="12"/>
  <c r="U10" i="12"/>
  <c r="U19" i="12"/>
  <c r="V15" i="12"/>
  <c r="U16" i="12"/>
  <c r="V24" i="12"/>
  <c r="U49" i="12"/>
  <c r="U12" i="12"/>
  <c r="U56" i="12"/>
  <c r="U33" i="12"/>
  <c r="V8" i="12"/>
  <c r="U51" i="12"/>
  <c r="V14" i="12"/>
  <c r="U15" i="12"/>
  <c r="V31" i="12"/>
  <c r="V52" i="12"/>
  <c r="U8" i="12"/>
  <c r="V49" i="12"/>
  <c r="V12" i="12"/>
  <c r="U37" i="12"/>
  <c r="V45" i="12"/>
  <c r="V55" i="12"/>
  <c r="V13" i="12"/>
  <c r="V44" i="12"/>
  <c r="U42" i="12"/>
  <c r="V30" i="12"/>
  <c r="U27" i="12"/>
  <c r="U23" i="12"/>
  <c r="V23" i="12"/>
  <c r="V32" i="12"/>
  <c r="V43" i="12"/>
  <c r="U44" i="12"/>
  <c r="V37" i="12"/>
  <c r="U55" i="12"/>
  <c r="U17" i="12"/>
  <c r="V50" i="12"/>
  <c r="U14" i="12"/>
  <c r="U18" i="12"/>
  <c r="V18" i="12"/>
  <c r="U48" i="12"/>
  <c r="V19" i="12"/>
  <c r="V40" i="12"/>
  <c r="U41" i="12"/>
  <c r="U47" i="12"/>
  <c r="U25" i="12"/>
  <c r="V33" i="12"/>
  <c r="U45" i="12"/>
  <c r="U32" i="12"/>
  <c r="V28" i="12"/>
  <c r="U29" i="12"/>
  <c r="V25" i="12"/>
  <c r="U50" i="12"/>
  <c r="U13" i="12"/>
  <c r="V21" i="12"/>
  <c r="J48" i="12"/>
  <c r="K26" i="12"/>
  <c r="K48" i="12"/>
  <c r="J38" i="12"/>
  <c r="K10" i="12"/>
  <c r="J11" i="12"/>
  <c r="K15" i="12"/>
  <c r="K39" i="12"/>
  <c r="K20" i="12"/>
  <c r="K22" i="12"/>
  <c r="K17" i="12"/>
  <c r="K36" i="12"/>
  <c r="J25" i="12"/>
  <c r="J43" i="12"/>
  <c r="K49" i="12"/>
  <c r="K46" i="12"/>
  <c r="J15" i="12"/>
  <c r="K30" i="12"/>
  <c r="K29" i="12"/>
  <c r="J23" i="12"/>
  <c r="K28" i="12"/>
  <c r="J28" i="12"/>
  <c r="K35" i="12"/>
  <c r="K19" i="12"/>
  <c r="J17" i="12"/>
  <c r="K51" i="12"/>
  <c r="K25" i="12"/>
  <c r="J10" i="12"/>
  <c r="J33" i="12"/>
  <c r="K43" i="12"/>
  <c r="J19" i="12"/>
  <c r="K33" i="12"/>
  <c r="K24" i="12"/>
  <c r="J47" i="12"/>
  <c r="K21" i="12"/>
  <c r="K11" i="12"/>
  <c r="K27" i="12"/>
  <c r="J29" i="12"/>
  <c r="J50" i="12"/>
  <c r="K34" i="12"/>
  <c r="J49" i="12"/>
  <c r="K13" i="12"/>
  <c r="J39" i="12"/>
  <c r="K8" i="12"/>
  <c r="K9" i="12"/>
  <c r="J42" i="12"/>
  <c r="J57" i="12"/>
  <c r="K12" i="12"/>
  <c r="J21" i="12"/>
  <c r="J8" i="12"/>
  <c r="K50" i="12"/>
  <c r="K44" i="12"/>
  <c r="K47" i="12"/>
  <c r="J20" i="12"/>
  <c r="J22" i="12"/>
  <c r="K57" i="12"/>
  <c r="J32" i="12"/>
  <c r="J12" i="12"/>
  <c r="K41" i="12"/>
  <c r="J34" i="12"/>
  <c r="K54" i="12"/>
  <c r="J41" i="12"/>
  <c r="K14" i="12"/>
  <c r="K45" i="12"/>
  <c r="J36" i="12"/>
  <c r="J44" i="12"/>
  <c r="J14" i="12"/>
  <c r="J35" i="12"/>
  <c r="J53" i="12"/>
  <c r="K56" i="12"/>
  <c r="K53" i="12"/>
  <c r="K18" i="12"/>
  <c r="J45" i="12"/>
  <c r="J26" i="12"/>
  <c r="J9" i="12"/>
  <c r="K38" i="12"/>
  <c r="K32" i="12"/>
  <c r="J51" i="12"/>
  <c r="J30" i="12"/>
  <c r="K31" i="12"/>
  <c r="J52" i="12"/>
  <c r="K55" i="12"/>
  <c r="K37" i="12"/>
  <c r="K40" i="12"/>
  <c r="J55" i="12"/>
  <c r="J37" i="12"/>
  <c r="J27" i="12"/>
  <c r="K16" i="12"/>
  <c r="J18" i="12"/>
  <c r="K52" i="12"/>
  <c r="J56" i="12"/>
  <c r="K42" i="12"/>
  <c r="J46" i="12"/>
  <c r="J40" i="12"/>
  <c r="J24" i="12"/>
  <c r="K23" i="12"/>
  <c r="J31" i="12"/>
  <c r="J13" i="12"/>
  <c r="J16" i="12"/>
  <c r="N11" i="12"/>
  <c r="N106" i="12" s="1"/>
  <c r="C13" i="12"/>
  <c r="N105" i="12" a="1"/>
  <c r="N105" i="12" s="1"/>
  <c r="N104" i="12" a="1"/>
  <c r="N104" i="12" s="1"/>
  <c r="AB12" i="12" l="1"/>
  <c r="N12" i="12"/>
  <c r="C14" i="12"/>
  <c r="AB13" i="12" l="1"/>
  <c r="N13" i="12"/>
  <c r="AB99" i="12" s="1"/>
  <c r="C15" i="12"/>
  <c r="AB14" i="12" l="1"/>
  <c r="C16" i="12"/>
  <c r="N14" i="12"/>
  <c r="N107" i="12" s="1"/>
  <c r="AB15" i="12" l="1"/>
  <c r="N15" i="12"/>
  <c r="C17" i="12"/>
  <c r="AB16" i="12" l="1"/>
  <c r="C18" i="12"/>
  <c r="F127" i="12"/>
  <c r="F134" i="12"/>
  <c r="G107" i="12"/>
  <c r="G103" i="12"/>
  <c r="G117" i="12"/>
  <c r="G141" i="12"/>
  <c r="F107" i="12"/>
  <c r="F103" i="12"/>
  <c r="F117" i="12"/>
  <c r="G114" i="12"/>
  <c r="G128" i="12"/>
  <c r="G131" i="12"/>
  <c r="F114" i="12"/>
  <c r="F128" i="12"/>
  <c r="F131" i="12"/>
  <c r="F118" i="12"/>
  <c r="F125" i="12"/>
  <c r="F136" i="12"/>
  <c r="F101" i="12"/>
  <c r="G101" i="12"/>
  <c r="G118" i="12"/>
  <c r="G121" i="12"/>
  <c r="G129" i="12"/>
  <c r="G125" i="12"/>
  <c r="G108" i="12"/>
  <c r="G119" i="12"/>
  <c r="F121" i="12"/>
  <c r="F129" i="12"/>
  <c r="G109" i="12"/>
  <c r="F108" i="12"/>
  <c r="F119" i="12"/>
  <c r="G133" i="12"/>
  <c r="F109" i="12"/>
  <c r="F142" i="12"/>
  <c r="G106" i="12"/>
  <c r="G104" i="12"/>
  <c r="F133" i="12"/>
  <c r="G132" i="12"/>
  <c r="G134" i="12"/>
  <c r="F141" i="12"/>
  <c r="G142" i="12"/>
  <c r="F106" i="12"/>
  <c r="F104" i="12"/>
  <c r="F132" i="12"/>
  <c r="G127" i="12"/>
  <c r="G136" i="12"/>
  <c r="G115" i="12"/>
  <c r="G123" i="12"/>
  <c r="G139" i="12"/>
  <c r="F123" i="12"/>
  <c r="G112" i="12"/>
  <c r="F115" i="12"/>
  <c r="F124" i="12"/>
  <c r="F130" i="12"/>
  <c r="G137" i="12"/>
  <c r="G126" i="12"/>
  <c r="G140" i="12"/>
  <c r="F100" i="12"/>
  <c r="G122" i="12"/>
  <c r="F137" i="12"/>
  <c r="F126" i="12"/>
  <c r="G138" i="12"/>
  <c r="G102" i="12"/>
  <c r="F116" i="12"/>
  <c r="G99" i="12"/>
  <c r="F139" i="12"/>
  <c r="F140" i="12"/>
  <c r="G100" i="12"/>
  <c r="F122" i="12"/>
  <c r="G105" i="12"/>
  <c r="F99" i="12"/>
  <c r="F111" i="12"/>
  <c r="F112" i="12"/>
  <c r="G113" i="12"/>
  <c r="F102" i="12"/>
  <c r="G120" i="12"/>
  <c r="F105" i="12"/>
  <c r="F110" i="12"/>
  <c r="F138" i="12"/>
  <c r="F113" i="12"/>
  <c r="F120" i="12"/>
  <c r="G110" i="12"/>
  <c r="F135" i="12"/>
  <c r="F143" i="12"/>
  <c r="G111" i="12"/>
  <c r="G124" i="12"/>
  <c r="G130" i="12"/>
  <c r="G135" i="12"/>
  <c r="G143" i="12"/>
  <c r="G116" i="12"/>
  <c r="N16" i="12"/>
  <c r="AB17" i="12" l="1"/>
  <c r="C19" i="12"/>
  <c r="N17" i="12"/>
  <c r="AB18" i="12" l="1"/>
  <c r="N18" i="12"/>
  <c r="C20" i="12"/>
  <c r="AB19" i="12" l="1"/>
  <c r="N19" i="12"/>
  <c r="C21" i="12"/>
  <c r="AB20" i="12" l="1"/>
  <c r="I160" i="12"/>
  <c r="I154" i="12"/>
  <c r="I131" i="12"/>
  <c r="I115" i="12"/>
  <c r="I111" i="12"/>
  <c r="I120" i="12"/>
  <c r="I110" i="12"/>
  <c r="C22" i="12"/>
  <c r="N20" i="12"/>
  <c r="I148" i="12" s="1"/>
  <c r="AB21" i="12" l="1"/>
  <c r="I142" i="12"/>
  <c r="N21" i="12"/>
  <c r="C23" i="12"/>
  <c r="I105" i="12"/>
  <c r="I158" i="12"/>
  <c r="I150" i="12"/>
  <c r="I151" i="12"/>
  <c r="I162" i="12"/>
  <c r="I129" i="12"/>
  <c r="I159" i="12"/>
  <c r="I118" i="12"/>
  <c r="I119" i="12"/>
  <c r="I123" i="12"/>
  <c r="I127" i="12"/>
  <c r="I121" i="12"/>
  <c r="I153" i="12"/>
  <c r="I114" i="12"/>
  <c r="I145" i="12"/>
  <c r="I141" i="12"/>
  <c r="I116" i="12"/>
  <c r="AB110" i="12"/>
  <c r="I144" i="12"/>
  <c r="I146" i="12"/>
  <c r="I108" i="12"/>
  <c r="I126" i="12"/>
  <c r="I130" i="12"/>
  <c r="I132" i="12"/>
  <c r="I157" i="12"/>
  <c r="I137" i="12"/>
  <c r="I133" i="12"/>
  <c r="I117" i="12"/>
  <c r="I156" i="12"/>
  <c r="I140" i="12"/>
  <c r="I135" i="12"/>
  <c r="I109" i="12"/>
  <c r="I102" i="12"/>
  <c r="I103" i="12"/>
  <c r="I149" i="12"/>
  <c r="N119" i="12"/>
  <c r="I134" i="12"/>
  <c r="I107" i="12"/>
  <c r="I139" i="12"/>
  <c r="I124" i="12"/>
  <c r="I122" i="12"/>
  <c r="I101" i="12"/>
  <c r="I152" i="12"/>
  <c r="I138" i="12"/>
  <c r="I143" i="12"/>
  <c r="I104" i="12"/>
  <c r="I113" i="12"/>
  <c r="I100" i="12"/>
  <c r="I125" i="12"/>
  <c r="I106" i="12"/>
  <c r="I147" i="12"/>
  <c r="I155" i="12"/>
  <c r="I161" i="12"/>
  <c r="I99" i="12"/>
  <c r="I136" i="12"/>
  <c r="I112" i="12"/>
  <c r="I128" i="12"/>
  <c r="AB22" i="12" l="1"/>
  <c r="C24" i="12"/>
  <c r="N116" i="12" a="1"/>
  <c r="N116" i="12" s="1"/>
  <c r="N115" i="12" a="1"/>
  <c r="N115" i="12" s="1"/>
  <c r="N22" i="12"/>
  <c r="N117" i="12" s="1"/>
  <c r="AB23" i="12" l="1"/>
  <c r="N23" i="12"/>
  <c r="C25" i="12"/>
  <c r="AB24" i="12" l="1"/>
  <c r="N24" i="12"/>
  <c r="AB109" i="12" s="1"/>
  <c r="C26" i="12"/>
  <c r="AB25" i="12" l="1"/>
  <c r="N25" i="12"/>
  <c r="C27" i="12"/>
  <c r="AB26" i="12" l="1"/>
  <c r="N26" i="12"/>
  <c r="C28" i="12"/>
  <c r="AB27" i="12" l="1"/>
  <c r="N27" i="12"/>
  <c r="C29" i="12"/>
  <c r="AB28" i="12" l="1"/>
  <c r="N28" i="12"/>
  <c r="C30" i="12"/>
  <c r="AB29" i="12" l="1"/>
  <c r="N29" i="12"/>
  <c r="C31" i="12"/>
  <c r="AB30" i="12" l="1"/>
  <c r="N30" i="12"/>
  <c r="C32" i="12"/>
  <c r="AB31" i="12" l="1"/>
  <c r="C33" i="12"/>
  <c r="N31" i="12"/>
  <c r="AB32" i="12" l="1"/>
  <c r="N32" i="12"/>
  <c r="C34" i="12"/>
  <c r="AB33" i="12" l="1"/>
  <c r="N33" i="12"/>
  <c r="C35" i="12"/>
  <c r="AB34" i="12" l="1"/>
  <c r="C36" i="12"/>
  <c r="N34" i="12"/>
  <c r="AB35" i="12" l="1"/>
  <c r="N35" i="12"/>
  <c r="C37" i="12"/>
  <c r="AB36" i="12" l="1"/>
  <c r="N36" i="12"/>
  <c r="C38" i="12"/>
  <c r="AB37" i="12" l="1"/>
  <c r="C39" i="12"/>
  <c r="N37" i="12"/>
  <c r="AB38" i="12" l="1"/>
  <c r="N38" i="12"/>
  <c r="C40" i="12"/>
  <c r="AB39" i="12" l="1"/>
  <c r="C41" i="12"/>
  <c r="N39" i="12"/>
  <c r="AB40" i="12" l="1"/>
  <c r="N40" i="12"/>
  <c r="C42" i="12"/>
  <c r="AB41" i="12" l="1"/>
  <c r="C43" i="12"/>
  <c r="N41" i="12"/>
  <c r="AB42" i="12" l="1"/>
  <c r="N42" i="12"/>
  <c r="C44" i="12"/>
  <c r="AB43" i="12" l="1"/>
  <c r="C45" i="12"/>
  <c r="N43" i="12"/>
  <c r="AB44" i="12" l="1"/>
  <c r="C46" i="12"/>
  <c r="N44" i="12"/>
  <c r="AB45" i="12" l="1"/>
  <c r="C47" i="12"/>
  <c r="N45" i="12"/>
  <c r="AB46" i="12" l="1"/>
  <c r="C48" i="12"/>
  <c r="N46" i="12"/>
  <c r="AB47" i="12" l="1"/>
  <c r="C49" i="12"/>
  <c r="N47" i="12"/>
  <c r="AB48" i="12" l="1"/>
  <c r="C50" i="12"/>
  <c r="N48" i="12"/>
  <c r="AB49" i="12" l="1"/>
  <c r="N49" i="12"/>
  <c r="C51" i="12"/>
  <c r="AB50" i="12" l="1"/>
  <c r="C52" i="12"/>
  <c r="N50" i="12"/>
  <c r="AB51" i="12" l="1"/>
  <c r="N51" i="12"/>
  <c r="C53" i="12"/>
  <c r="AB52" i="12" l="1"/>
  <c r="N52" i="12"/>
  <c r="C54" i="12"/>
  <c r="AB53" i="12" l="1"/>
  <c r="AB54" i="12"/>
  <c r="C55" i="12"/>
  <c r="N53" i="12"/>
  <c r="N54" i="12" l="1"/>
  <c r="C56" i="12"/>
  <c r="AB55" i="12"/>
  <c r="N55" i="12" l="1"/>
  <c r="C57" i="12"/>
  <c r="AB56" i="12"/>
  <c r="N56" i="12" l="1"/>
  <c r="C58" i="12"/>
  <c r="AB57" i="12"/>
  <c r="C59" i="12" l="1"/>
  <c r="AB58" i="12"/>
  <c r="N57" i="12"/>
  <c r="C60" i="12" l="1"/>
  <c r="AB59" i="12"/>
  <c r="N58" i="12"/>
  <c r="N59" i="12" l="1"/>
  <c r="AB60" i="12"/>
  <c r="C61" i="12"/>
  <c r="C62" i="12" l="1"/>
  <c r="AB61" i="12"/>
  <c r="N60" i="12"/>
  <c r="N61" i="12" l="1"/>
  <c r="C63" i="12"/>
  <c r="AB62" i="12"/>
  <c r="C64" i="12" l="1"/>
  <c r="AB63" i="12"/>
  <c r="N62" i="12"/>
  <c r="C65" i="12" l="1"/>
  <c r="AB64" i="12"/>
  <c r="N63" i="12"/>
  <c r="C66" i="12" l="1"/>
  <c r="AB65" i="12"/>
  <c r="N64" i="12"/>
  <c r="N65" i="12" l="1"/>
  <c r="AB66" i="12"/>
  <c r="C67" i="12"/>
  <c r="C68" i="12" l="1"/>
  <c r="AB67" i="12"/>
  <c r="N66" i="12"/>
  <c r="N67" i="12" l="1"/>
  <c r="C69" i="12"/>
  <c r="AB68" i="12"/>
  <c r="C70" i="12" l="1"/>
  <c r="AB69" i="12"/>
  <c r="N68" i="12"/>
  <c r="C71" i="12" l="1"/>
  <c r="AB70" i="12"/>
  <c r="N69" i="12"/>
  <c r="C72" i="12" l="1"/>
  <c r="AB71" i="12"/>
  <c r="N70" i="12"/>
  <c r="N71" i="12" l="1"/>
  <c r="AB72" i="12"/>
  <c r="C73" i="12"/>
  <c r="C74" i="12" l="1"/>
  <c r="AB73" i="12"/>
  <c r="N72" i="12"/>
  <c r="N73" i="12" l="1"/>
  <c r="C75" i="12"/>
  <c r="AB74" i="12"/>
  <c r="C76" i="12" l="1"/>
  <c r="AB75" i="12"/>
  <c r="N74" i="12"/>
  <c r="C77" i="12" l="1"/>
  <c r="AB76" i="12"/>
  <c r="N75" i="12"/>
  <c r="C78" i="12" l="1"/>
  <c r="AB77" i="12"/>
  <c r="N76" i="12"/>
  <c r="N77" i="12" l="1"/>
  <c r="AB78" i="12"/>
  <c r="AG38" i="12" l="1" a="1"/>
  <c r="AG38" i="12" s="1"/>
  <c r="AT28" i="12" s="1"/>
  <c r="AG37" i="12" a="1"/>
  <c r="AG37" i="12" s="1"/>
  <c r="N78" i="12"/>
  <c r="AG40" i="12" l="1"/>
  <c r="N118" i="12"/>
  <c r="AD57" i="12" l="1"/>
  <c r="AC57" i="12"/>
  <c r="AC56" i="12"/>
  <c r="AD55" i="12"/>
  <c r="AC55" i="12"/>
  <c r="AD56" i="12"/>
  <c r="AC54" i="12"/>
  <c r="AD54" i="12"/>
  <c r="AC53" i="12"/>
  <c r="AD53" i="12"/>
  <c r="AC9" i="12"/>
  <c r="AD8" i="12"/>
  <c r="AC8" i="12"/>
  <c r="AC10" i="12"/>
  <c r="AD10" i="12"/>
  <c r="AD9" i="12"/>
  <c r="AD11" i="12"/>
  <c r="AC11" i="12"/>
  <c r="AC12" i="12"/>
  <c r="AD12" i="12"/>
  <c r="AD13" i="12"/>
  <c r="AC13" i="12"/>
  <c r="AC14" i="12"/>
  <c r="AD14" i="12"/>
  <c r="AC15" i="12"/>
  <c r="AD15" i="12"/>
  <c r="AC16" i="12"/>
  <c r="AD16" i="12"/>
  <c r="AD17" i="12"/>
  <c r="AC17" i="12"/>
  <c r="AC18" i="12"/>
  <c r="AD18" i="12"/>
  <c r="AC19" i="12"/>
  <c r="AD19" i="12"/>
  <c r="AC20" i="12"/>
  <c r="AD20" i="12"/>
  <c r="AC21" i="12"/>
  <c r="AD21" i="12"/>
  <c r="AC22" i="12"/>
  <c r="AD22" i="12"/>
  <c r="AC23" i="12"/>
  <c r="AD23" i="12"/>
  <c r="AD24" i="12"/>
  <c r="AC24" i="12"/>
  <c r="AD25" i="12"/>
  <c r="AC25" i="12"/>
  <c r="AD26" i="12"/>
  <c r="AC26" i="12"/>
  <c r="J111" i="12"/>
  <c r="K122" i="12"/>
  <c r="J132" i="12"/>
  <c r="K133" i="12"/>
  <c r="K129" i="12"/>
  <c r="J117" i="12"/>
  <c r="K137" i="12"/>
  <c r="K116" i="12"/>
  <c r="K101" i="12"/>
  <c r="K127" i="12"/>
  <c r="K124" i="12"/>
  <c r="K131" i="12"/>
  <c r="J140" i="12"/>
  <c r="AD27" i="12"/>
  <c r="J106" i="12"/>
  <c r="K136" i="12"/>
  <c r="K100" i="12"/>
  <c r="J141" i="12"/>
  <c r="J114" i="12"/>
  <c r="K121" i="12"/>
  <c r="J113" i="12"/>
  <c r="K109" i="12"/>
  <c r="K108" i="12"/>
  <c r="K140" i="12"/>
  <c r="J128" i="12"/>
  <c r="K111" i="12"/>
  <c r="K123" i="12"/>
  <c r="J119" i="12"/>
  <c r="K107" i="12"/>
  <c r="J100" i="12"/>
  <c r="J121" i="12"/>
  <c r="AC27" i="12"/>
  <c r="J99" i="12"/>
  <c r="K125" i="12"/>
  <c r="J122" i="12"/>
  <c r="K114" i="12"/>
  <c r="K103" i="12"/>
  <c r="J116" i="12"/>
  <c r="K128" i="12"/>
  <c r="K112" i="12"/>
  <c r="K130" i="12"/>
  <c r="J137" i="12"/>
  <c r="J127" i="12"/>
  <c r="J110" i="12"/>
  <c r="J143" i="12"/>
  <c r="J125" i="12"/>
  <c r="J136" i="12"/>
  <c r="J101" i="12"/>
  <c r="J135" i="12"/>
  <c r="K126" i="12"/>
  <c r="K105" i="12"/>
  <c r="J104" i="12"/>
  <c r="K143" i="12"/>
  <c r="J142" i="12"/>
  <c r="J103" i="12"/>
  <c r="J126" i="12"/>
  <c r="K134" i="12"/>
  <c r="K120" i="12"/>
  <c r="K141" i="12"/>
  <c r="J120" i="12"/>
  <c r="J130" i="12"/>
  <c r="K135" i="12"/>
  <c r="K138" i="12"/>
  <c r="K104" i="12"/>
  <c r="J118" i="12"/>
  <c r="J129" i="12"/>
  <c r="J108" i="12"/>
  <c r="K118" i="12"/>
  <c r="J105" i="12"/>
  <c r="K106" i="12"/>
  <c r="J139" i="12"/>
  <c r="K113" i="12"/>
  <c r="K142" i="12"/>
  <c r="J115" i="12"/>
  <c r="J134" i="12"/>
  <c r="J138" i="12"/>
  <c r="J112" i="12"/>
  <c r="K102" i="12"/>
  <c r="J109" i="12"/>
  <c r="J123" i="12"/>
  <c r="K139" i="12"/>
  <c r="J124" i="12"/>
  <c r="K99" i="12"/>
  <c r="K117" i="12"/>
  <c r="K119" i="12"/>
  <c r="J107" i="12"/>
  <c r="K110" i="12"/>
  <c r="J131" i="12"/>
  <c r="J133" i="12"/>
  <c r="K115" i="12"/>
  <c r="K132" i="12"/>
  <c r="J102" i="12"/>
  <c r="AD28" i="12"/>
  <c r="AC28" i="12"/>
  <c r="AD29" i="12"/>
  <c r="AC29" i="12"/>
  <c r="AD30" i="12"/>
  <c r="AC30" i="12"/>
  <c r="AC31" i="12"/>
  <c r="AD31" i="12"/>
  <c r="AC32" i="12"/>
  <c r="AD32" i="12"/>
  <c r="AC33" i="12"/>
  <c r="AD33" i="12"/>
  <c r="AD34" i="12"/>
  <c r="AC34" i="12"/>
  <c r="AD35" i="12"/>
  <c r="AC35" i="12"/>
  <c r="AD36" i="12"/>
  <c r="AC36" i="12"/>
  <c r="AC37" i="12"/>
  <c r="AD37" i="12"/>
  <c r="AC38" i="12"/>
  <c r="AD38" i="12"/>
  <c r="AC39" i="12"/>
  <c r="AD39" i="12"/>
  <c r="AC40" i="12"/>
  <c r="AD40" i="12"/>
  <c r="AC41" i="12"/>
  <c r="AD41" i="12"/>
  <c r="AC42" i="12"/>
  <c r="AD42" i="12"/>
  <c r="AC43" i="12"/>
  <c r="AD43" i="12"/>
  <c r="AD44" i="12"/>
  <c r="AC44" i="12"/>
  <c r="AC45" i="12"/>
  <c r="AD45" i="12"/>
  <c r="AC46" i="12"/>
  <c r="AD46" i="12"/>
  <c r="AC47" i="12"/>
  <c r="AD47" i="12"/>
  <c r="AC48" i="12"/>
  <c r="AD48" i="12"/>
  <c r="AD49" i="12"/>
  <c r="AC49" i="12"/>
  <c r="AD50" i="12"/>
  <c r="AC50" i="12"/>
  <c r="AD51" i="12"/>
  <c r="AC51" i="12"/>
  <c r="AD52" i="12"/>
  <c r="AC52" i="12"/>
  <c r="F68" i="19"/>
  <c r="F69" i="19"/>
  <c r="F70" i="19"/>
  <c r="F71" i="19"/>
  <c r="F72" i="19"/>
  <c r="F73" i="19"/>
  <c r="F74" i="19"/>
  <c r="F75" i="19"/>
  <c r="F76" i="19"/>
  <c r="F77" i="19"/>
  <c r="F78" i="19"/>
  <c r="F52" i="19"/>
  <c r="F53" i="19"/>
  <c r="F54" i="19"/>
  <c r="F55" i="19"/>
  <c r="F56" i="19"/>
  <c r="F57" i="19"/>
  <c r="F58" i="19"/>
  <c r="F59" i="19"/>
  <c r="F60" i="19"/>
  <c r="F61" i="19"/>
  <c r="F62" i="19"/>
  <c r="F63" i="19"/>
  <c r="F64" i="19"/>
  <c r="F65" i="19"/>
  <c r="F66" i="19"/>
  <c r="F67" i="19"/>
  <c r="AB8" i="19"/>
  <c r="W9" i="19"/>
  <c r="W10" i="19"/>
  <c r="W11" i="19"/>
  <c r="W12" i="19"/>
  <c r="W13" i="19"/>
  <c r="W14" i="19"/>
  <c r="W15" i="19"/>
  <c r="W16" i="19"/>
  <c r="W17" i="19"/>
  <c r="W18" i="19"/>
  <c r="W19" i="19"/>
  <c r="W20" i="19"/>
  <c r="W21" i="19"/>
  <c r="W22" i="19"/>
  <c r="W23" i="19"/>
  <c r="W24" i="19"/>
  <c r="W25" i="19"/>
  <c r="W26" i="19"/>
  <c r="W27" i="19"/>
  <c r="W28" i="19"/>
  <c r="W29" i="19"/>
  <c r="W30" i="19"/>
  <c r="W31" i="19"/>
  <c r="W32" i="19"/>
  <c r="W33" i="19"/>
  <c r="W34" i="19"/>
  <c r="W35" i="19"/>
  <c r="W36" i="19"/>
  <c r="W37" i="19"/>
  <c r="W38" i="19"/>
  <c r="W39" i="19"/>
  <c r="W40" i="19"/>
  <c r="W41" i="19"/>
  <c r="W42" i="19"/>
  <c r="W43" i="19"/>
  <c r="W44" i="19"/>
  <c r="W45" i="19"/>
  <c r="W46" i="19"/>
  <c r="W47" i="19"/>
  <c r="W48" i="19"/>
  <c r="W49" i="19"/>
  <c r="X50" i="19" s="1"/>
  <c r="T8" i="19"/>
  <c r="N8" i="19"/>
  <c r="W8" i="19"/>
  <c r="O49" i="19"/>
  <c r="P50" i="19" s="1"/>
  <c r="O9" i="19"/>
  <c r="O10" i="19"/>
  <c r="O11" i="19"/>
  <c r="O12" i="19"/>
  <c r="O13" i="19"/>
  <c r="O14" i="19"/>
  <c r="O15" i="19"/>
  <c r="O16" i="19"/>
  <c r="O17" i="19"/>
  <c r="O18" i="19"/>
  <c r="O19" i="19"/>
  <c r="O20" i="19"/>
  <c r="O21" i="19"/>
  <c r="O22" i="19"/>
  <c r="O23" i="19"/>
  <c r="O24" i="19"/>
  <c r="O25" i="19"/>
  <c r="O26" i="19"/>
  <c r="O27" i="19"/>
  <c r="O28" i="19"/>
  <c r="O29" i="19"/>
  <c r="O30" i="19"/>
  <c r="O31" i="19"/>
  <c r="O32" i="19"/>
  <c r="O33" i="19"/>
  <c r="O34" i="19"/>
  <c r="O35" i="19"/>
  <c r="O36" i="19"/>
  <c r="O37" i="19"/>
  <c r="O38" i="19"/>
  <c r="O39" i="19"/>
  <c r="O40" i="19"/>
  <c r="O41" i="19"/>
  <c r="O42" i="19"/>
  <c r="O43" i="19"/>
  <c r="O44" i="19"/>
  <c r="O45" i="19"/>
  <c r="O46" i="19"/>
  <c r="O47" i="19"/>
  <c r="O48" i="19"/>
  <c r="O8" i="19"/>
  <c r="M9" i="19"/>
  <c r="M10" i="19"/>
  <c r="M11" i="19"/>
  <c r="M12" i="19"/>
  <c r="M13" i="19"/>
  <c r="M14" i="19"/>
  <c r="M15" i="19"/>
  <c r="M16" i="19"/>
  <c r="M17" i="19"/>
  <c r="M18" i="19"/>
  <c r="M19" i="19"/>
  <c r="M20" i="19"/>
  <c r="M21" i="19"/>
  <c r="M22" i="19"/>
  <c r="M23" i="19"/>
  <c r="M24" i="19"/>
  <c r="M25" i="19"/>
  <c r="M26" i="19"/>
  <c r="M27" i="19"/>
  <c r="M28" i="19"/>
  <c r="M29" i="19"/>
  <c r="M30" i="19"/>
  <c r="M31" i="19"/>
  <c r="M32" i="19"/>
  <c r="M33" i="19"/>
  <c r="M34" i="19"/>
  <c r="M35" i="19"/>
  <c r="M36" i="19"/>
  <c r="M37" i="19"/>
  <c r="M38" i="19"/>
  <c r="M39" i="19"/>
  <c r="M40" i="19"/>
  <c r="M41" i="19"/>
  <c r="M42" i="19"/>
  <c r="M43" i="19"/>
  <c r="M44" i="19"/>
  <c r="M45" i="19"/>
  <c r="M46" i="19"/>
  <c r="M47" i="19"/>
  <c r="M48" i="19"/>
  <c r="M49" i="19"/>
  <c r="M8" i="19"/>
  <c r="L9" i="19"/>
  <c r="L10" i="19"/>
  <c r="L11" i="19"/>
  <c r="L12" i="19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L36" i="19"/>
  <c r="L37" i="19"/>
  <c r="L38" i="19"/>
  <c r="L39" i="19"/>
  <c r="L40" i="19"/>
  <c r="L41" i="19"/>
  <c r="L42" i="19"/>
  <c r="L43" i="19"/>
  <c r="L44" i="19"/>
  <c r="L45" i="19"/>
  <c r="L46" i="19"/>
  <c r="L47" i="19"/>
  <c r="L48" i="19"/>
  <c r="L49" i="19"/>
  <c r="L8" i="19"/>
  <c r="E9" i="19"/>
  <c r="F9" i="19" s="1"/>
  <c r="E10" i="19"/>
  <c r="F10" i="19" s="1"/>
  <c r="E11" i="19"/>
  <c r="F11" i="19" s="1"/>
  <c r="E12" i="19"/>
  <c r="F12" i="19" s="1"/>
  <c r="E13" i="19"/>
  <c r="F13" i="19" s="1"/>
  <c r="E14" i="19"/>
  <c r="F14" i="19" s="1"/>
  <c r="E15" i="19"/>
  <c r="F15" i="19" s="1"/>
  <c r="E16" i="19"/>
  <c r="F16" i="19" s="1"/>
  <c r="E17" i="19"/>
  <c r="F17" i="19" s="1"/>
  <c r="E18" i="19"/>
  <c r="F18" i="19" s="1"/>
  <c r="E19" i="19"/>
  <c r="F19" i="19" s="1"/>
  <c r="E20" i="19"/>
  <c r="F20" i="19" s="1"/>
  <c r="E21" i="19"/>
  <c r="F21" i="19" s="1"/>
  <c r="E22" i="19"/>
  <c r="F22" i="19" s="1"/>
  <c r="E23" i="19"/>
  <c r="F23" i="19" s="1"/>
  <c r="E24" i="19"/>
  <c r="F24" i="19" s="1"/>
  <c r="E25" i="19"/>
  <c r="F25" i="19" s="1"/>
  <c r="E26" i="19"/>
  <c r="F26" i="19" s="1"/>
  <c r="E27" i="19"/>
  <c r="F27" i="19" s="1"/>
  <c r="E28" i="19"/>
  <c r="F28" i="19" s="1"/>
  <c r="E29" i="19"/>
  <c r="F29" i="19" s="1"/>
  <c r="E30" i="19"/>
  <c r="F30" i="19" s="1"/>
  <c r="E31" i="19"/>
  <c r="F31" i="19" s="1"/>
  <c r="E32" i="19"/>
  <c r="F32" i="19" s="1"/>
  <c r="E33" i="19"/>
  <c r="F33" i="19" s="1"/>
  <c r="E34" i="19"/>
  <c r="F34" i="19" s="1"/>
  <c r="E35" i="19"/>
  <c r="F35" i="19" s="1"/>
  <c r="E36" i="19"/>
  <c r="F36" i="19" s="1"/>
  <c r="E37" i="19"/>
  <c r="F37" i="19" s="1"/>
  <c r="E38" i="19"/>
  <c r="F38" i="19" s="1"/>
  <c r="E39" i="19"/>
  <c r="F39" i="19" s="1"/>
  <c r="E40" i="19"/>
  <c r="F40" i="19" s="1"/>
  <c r="E41" i="19"/>
  <c r="F41" i="19" s="1"/>
  <c r="E42" i="19"/>
  <c r="F42" i="19" s="1"/>
  <c r="E43" i="19"/>
  <c r="F43" i="19" s="1"/>
  <c r="E44" i="19"/>
  <c r="F44" i="19" s="1"/>
  <c r="E45" i="19"/>
  <c r="F45" i="19" s="1"/>
  <c r="E46" i="19"/>
  <c r="F46" i="19" s="1"/>
  <c r="E47" i="19"/>
  <c r="F47" i="19" s="1"/>
  <c r="E48" i="19"/>
  <c r="F48" i="19" s="1"/>
  <c r="E49" i="19"/>
  <c r="F49" i="19" s="1"/>
  <c r="F50" i="19"/>
  <c r="F51" i="19"/>
  <c r="D48" i="19"/>
  <c r="D49" i="19"/>
  <c r="E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8" i="19"/>
  <c r="C10" i="19"/>
  <c r="C9" i="19"/>
  <c r="P40" i="19" l="1"/>
  <c r="Q40" i="19" s="1"/>
  <c r="P28" i="19"/>
  <c r="Q28" i="19" s="1"/>
  <c r="P16" i="19"/>
  <c r="Q16" i="19" s="1"/>
  <c r="AG12" i="19"/>
  <c r="P42" i="19"/>
  <c r="Q42" i="19" s="1"/>
  <c r="P30" i="19"/>
  <c r="Q30" i="19" s="1"/>
  <c r="P18" i="19"/>
  <c r="Q18" i="19" s="1"/>
  <c r="X41" i="19"/>
  <c r="Y41" i="19" s="1"/>
  <c r="C11" i="19"/>
  <c r="N9" i="19"/>
  <c r="F8" i="19"/>
  <c r="AG11" i="19"/>
  <c r="X46" i="19"/>
  <c r="Y46" i="19" s="1"/>
  <c r="X34" i="19"/>
  <c r="Y34" i="19" s="1"/>
  <c r="X22" i="19"/>
  <c r="Y22" i="19" s="1"/>
  <c r="X10" i="19"/>
  <c r="Y10" i="19" s="1"/>
  <c r="X29" i="19"/>
  <c r="Y29" i="19" s="1"/>
  <c r="X44" i="19"/>
  <c r="Y44" i="19" s="1"/>
  <c r="X32" i="19"/>
  <c r="Y32" i="19" s="1"/>
  <c r="X49" i="19"/>
  <c r="Y49" i="19" s="1"/>
  <c r="X37" i="19"/>
  <c r="Y37" i="19" s="1"/>
  <c r="X25" i="19"/>
  <c r="Y25" i="19" s="1"/>
  <c r="X13" i="19"/>
  <c r="Y13" i="19" s="1"/>
  <c r="I8" i="19"/>
  <c r="P47" i="19"/>
  <c r="Q47" i="19" s="1"/>
  <c r="P35" i="19"/>
  <c r="Q35" i="19" s="1"/>
  <c r="P23" i="19"/>
  <c r="Q23" i="19" s="1"/>
  <c r="P11" i="19"/>
  <c r="Q11" i="19" s="1"/>
  <c r="P45" i="19"/>
  <c r="Q45" i="19" s="1"/>
  <c r="P33" i="19"/>
  <c r="Q33" i="19" s="1"/>
  <c r="P21" i="19"/>
  <c r="Q21" i="19" s="1"/>
  <c r="X20" i="19"/>
  <c r="Y20" i="19" s="1"/>
  <c r="P31" i="19"/>
  <c r="Q31" i="19" s="1"/>
  <c r="P19" i="19"/>
  <c r="Q19" i="19" s="1"/>
  <c r="X42" i="19"/>
  <c r="Y42" i="19" s="1"/>
  <c r="X30" i="19"/>
  <c r="Y30" i="19" s="1"/>
  <c r="X18" i="19"/>
  <c r="Y18" i="19" s="1"/>
  <c r="I10" i="19"/>
  <c r="I9" i="19"/>
  <c r="P46" i="19"/>
  <c r="Q46" i="19" s="1"/>
  <c r="P10" i="19"/>
  <c r="Q10" i="19" s="1"/>
  <c r="P9" i="19"/>
  <c r="P43" i="19"/>
  <c r="Q43" i="19" s="1"/>
  <c r="Q50" i="19"/>
  <c r="X17" i="19"/>
  <c r="Y17" i="19" s="1"/>
  <c r="X19" i="19"/>
  <c r="Y19" i="19" s="1"/>
  <c r="Q51" i="19"/>
  <c r="X43" i="19"/>
  <c r="Y43" i="19" s="1"/>
  <c r="P49" i="19"/>
  <c r="Q49" i="19" s="1"/>
  <c r="P39" i="19"/>
  <c r="Q39" i="19" s="1"/>
  <c r="P27" i="19"/>
  <c r="Q27" i="19" s="1"/>
  <c r="P15" i="19"/>
  <c r="Q15" i="19" s="1"/>
  <c r="P37" i="19"/>
  <c r="Q37" i="19" s="1"/>
  <c r="P25" i="19"/>
  <c r="Q25" i="19" s="1"/>
  <c r="P13" i="19"/>
  <c r="Q13" i="19" s="1"/>
  <c r="P41" i="19"/>
  <c r="Q41" i="19" s="1"/>
  <c r="P29" i="19"/>
  <c r="Q29" i="19" s="1"/>
  <c r="P17" i="19"/>
  <c r="Q17" i="19" s="1"/>
  <c r="X47" i="19"/>
  <c r="Y47" i="19" s="1"/>
  <c r="X35" i="19"/>
  <c r="Y35" i="19" s="1"/>
  <c r="X23" i="19"/>
  <c r="Y23" i="19" s="1"/>
  <c r="X11" i="19"/>
  <c r="Y11" i="19" s="1"/>
  <c r="X9" i="19"/>
  <c r="X45" i="19"/>
  <c r="Y45" i="19" s="1"/>
  <c r="P48" i="19"/>
  <c r="Q48" i="19" s="1"/>
  <c r="P36" i="19"/>
  <c r="Q36" i="19" s="1"/>
  <c r="P24" i="19"/>
  <c r="Q24" i="19" s="1"/>
  <c r="P12" i="19"/>
  <c r="Q12" i="19" s="1"/>
  <c r="P38" i="19"/>
  <c r="Q38" i="19" s="1"/>
  <c r="P34" i="19"/>
  <c r="Q34" i="19" s="1"/>
  <c r="P22" i="19"/>
  <c r="Q22" i="19" s="1"/>
  <c r="X33" i="19"/>
  <c r="Y33" i="19" s="1"/>
  <c r="P26" i="19"/>
  <c r="Q26" i="19" s="1"/>
  <c r="X40" i="19"/>
  <c r="Y40" i="19" s="1"/>
  <c r="X28" i="19"/>
  <c r="Y28" i="19" s="1"/>
  <c r="X16" i="19"/>
  <c r="Y16" i="19" s="1"/>
  <c r="X31" i="19"/>
  <c r="Y31" i="19" s="1"/>
  <c r="P44" i="19"/>
  <c r="Q44" i="19" s="1"/>
  <c r="P32" i="19"/>
  <c r="Q32" i="19" s="1"/>
  <c r="P20" i="19"/>
  <c r="Q20" i="19" s="1"/>
  <c r="Y51" i="19"/>
  <c r="X39" i="19"/>
  <c r="Y39" i="19" s="1"/>
  <c r="X27" i="19"/>
  <c r="Y27" i="19" s="1"/>
  <c r="X15" i="19"/>
  <c r="Y15" i="19" s="1"/>
  <c r="P14" i="19"/>
  <c r="Q14" i="19" s="1"/>
  <c r="Y50" i="19"/>
  <c r="X38" i="19"/>
  <c r="Y38" i="19" s="1"/>
  <c r="X26" i="19"/>
  <c r="Y26" i="19" s="1"/>
  <c r="X14" i="19"/>
  <c r="Y14" i="19" s="1"/>
  <c r="X21" i="19"/>
  <c r="Y21" i="19" s="1"/>
  <c r="X48" i="19"/>
  <c r="Y48" i="19" s="1"/>
  <c r="X36" i="19"/>
  <c r="Y36" i="19" s="1"/>
  <c r="X24" i="19"/>
  <c r="Y24" i="19" s="1"/>
  <c r="X12" i="19"/>
  <c r="Y12" i="19" s="1"/>
  <c r="C12" i="19" l="1"/>
  <c r="N10" i="19"/>
  <c r="AB10" i="19"/>
  <c r="AG35" i="19"/>
  <c r="Y9" i="19"/>
  <c r="AG36" i="19"/>
  <c r="AG39" i="19" s="1"/>
  <c r="Q9" i="19"/>
  <c r="AG24" i="19"/>
  <c r="AG23" i="19"/>
  <c r="AB11" i="19"/>
  <c r="AB9" i="19"/>
  <c r="T9" i="19"/>
  <c r="T11" i="19"/>
  <c r="T10" i="19"/>
  <c r="N11" i="19" l="1"/>
  <c r="I11" i="19"/>
  <c r="C13" i="19"/>
  <c r="AB12" i="19"/>
  <c r="T12" i="19"/>
  <c r="N12" i="19" l="1"/>
  <c r="I12" i="19"/>
  <c r="T13" i="19"/>
  <c r="AB13" i="19"/>
  <c r="C14" i="19"/>
  <c r="T14" i="19" l="1"/>
  <c r="AB14" i="19"/>
  <c r="C15" i="19"/>
  <c r="N13" i="19"/>
  <c r="I13" i="19"/>
  <c r="T15" i="19" l="1"/>
  <c r="AB15" i="19"/>
  <c r="C16" i="19"/>
  <c r="N14" i="19"/>
  <c r="I14" i="19"/>
  <c r="N15" i="19" l="1"/>
  <c r="I15" i="19"/>
  <c r="T16" i="19"/>
  <c r="AB16" i="19"/>
  <c r="C17" i="19"/>
  <c r="N16" i="19" l="1"/>
  <c r="I16" i="19"/>
  <c r="T17" i="19"/>
  <c r="AB17" i="19"/>
  <c r="C18" i="19"/>
  <c r="T18" i="19" l="1"/>
  <c r="AB18" i="19"/>
  <c r="C19" i="19"/>
  <c r="N17" i="19"/>
  <c r="I17" i="19"/>
  <c r="AB19" i="19" l="1"/>
  <c r="T19" i="19"/>
  <c r="C20" i="19"/>
  <c r="N18" i="19"/>
  <c r="I18" i="19"/>
  <c r="AB20" i="19" l="1"/>
  <c r="T20" i="19"/>
  <c r="C21" i="19"/>
  <c r="N19" i="19"/>
  <c r="I19" i="19"/>
  <c r="T21" i="19" l="1"/>
  <c r="AB21" i="19"/>
  <c r="C22" i="19"/>
  <c r="N20" i="19"/>
  <c r="I20" i="19"/>
  <c r="T22" i="19" l="1"/>
  <c r="AB22" i="19"/>
  <c r="C23" i="19"/>
  <c r="N21" i="19"/>
  <c r="I21" i="19"/>
  <c r="T23" i="19" l="1"/>
  <c r="AB23" i="19"/>
  <c r="C24" i="19"/>
  <c r="N22" i="19"/>
  <c r="I22" i="19"/>
  <c r="T24" i="19" l="1"/>
  <c r="AB24" i="19"/>
  <c r="C25" i="19"/>
  <c r="N23" i="19"/>
  <c r="I23" i="19"/>
  <c r="AB25" i="19" l="1"/>
  <c r="T25" i="19"/>
  <c r="C26" i="19"/>
  <c r="N24" i="19"/>
  <c r="I24" i="19"/>
  <c r="T26" i="19" l="1"/>
  <c r="AB26" i="19"/>
  <c r="C27" i="19"/>
  <c r="N25" i="19"/>
  <c r="I25" i="19"/>
  <c r="AB27" i="19" l="1"/>
  <c r="T27" i="19"/>
  <c r="C28" i="19"/>
  <c r="N26" i="19"/>
  <c r="I26" i="19"/>
  <c r="T28" i="19" l="1"/>
  <c r="AB28" i="19"/>
  <c r="C29" i="19"/>
  <c r="N27" i="19"/>
  <c r="I27" i="19"/>
  <c r="N28" i="19" l="1"/>
  <c r="I28" i="19"/>
  <c r="T29" i="19"/>
  <c r="AB29" i="19"/>
  <c r="C30" i="19"/>
  <c r="T30" i="19" l="1"/>
  <c r="AB30" i="19"/>
  <c r="C31" i="19"/>
  <c r="N29" i="19"/>
  <c r="I29" i="19"/>
  <c r="AB31" i="19" l="1"/>
  <c r="T31" i="19"/>
  <c r="C32" i="19"/>
  <c r="N30" i="19"/>
  <c r="I30" i="19"/>
  <c r="AB32" i="19" l="1"/>
  <c r="T32" i="19"/>
  <c r="C33" i="19"/>
  <c r="N31" i="19"/>
  <c r="I31" i="19"/>
  <c r="N32" i="19" l="1"/>
  <c r="I32" i="19"/>
  <c r="T33" i="19"/>
  <c r="AB33" i="19"/>
  <c r="C34" i="19"/>
  <c r="T34" i="19" l="1"/>
  <c r="AB34" i="19"/>
  <c r="C35" i="19"/>
  <c r="N33" i="19"/>
  <c r="I33" i="19"/>
  <c r="AB35" i="19" l="1"/>
  <c r="T35" i="19"/>
  <c r="C36" i="19"/>
  <c r="N34" i="19"/>
  <c r="I34" i="19"/>
  <c r="AB36" i="19" l="1"/>
  <c r="T36" i="19"/>
  <c r="C37" i="19"/>
  <c r="N35" i="19"/>
  <c r="I35" i="19"/>
  <c r="AB37" i="19" l="1"/>
  <c r="T37" i="19"/>
  <c r="C38" i="19"/>
  <c r="N36" i="19"/>
  <c r="I36" i="19"/>
  <c r="T38" i="19" l="1"/>
  <c r="AB38" i="19"/>
  <c r="C39" i="19"/>
  <c r="N37" i="19"/>
  <c r="I37" i="19"/>
  <c r="T39" i="19" l="1"/>
  <c r="AB39" i="19"/>
  <c r="C40" i="19"/>
  <c r="N38" i="19"/>
  <c r="I38" i="19"/>
  <c r="T40" i="19" l="1"/>
  <c r="AB40" i="19"/>
  <c r="C41" i="19"/>
  <c r="N39" i="19"/>
  <c r="I39" i="19"/>
  <c r="T41" i="19" l="1"/>
  <c r="AB41" i="19"/>
  <c r="C42" i="19"/>
  <c r="N40" i="19"/>
  <c r="I40" i="19"/>
  <c r="T42" i="19" l="1"/>
  <c r="AB42" i="19"/>
  <c r="C43" i="19"/>
  <c r="N41" i="19"/>
  <c r="I41" i="19"/>
  <c r="AB43" i="19" l="1"/>
  <c r="T43" i="19"/>
  <c r="C44" i="19"/>
  <c r="N42" i="19"/>
  <c r="I42" i="19"/>
  <c r="AB44" i="19" l="1"/>
  <c r="T44" i="19"/>
  <c r="C45" i="19"/>
  <c r="N43" i="19"/>
  <c r="I43" i="19"/>
  <c r="T45" i="19" l="1"/>
  <c r="AB45" i="19"/>
  <c r="C46" i="19"/>
  <c r="N44" i="19"/>
  <c r="I44" i="19"/>
  <c r="T46" i="19" l="1"/>
  <c r="AB46" i="19"/>
  <c r="C47" i="19"/>
  <c r="N45" i="19"/>
  <c r="I45" i="19"/>
  <c r="T47" i="19" l="1"/>
  <c r="AB47" i="19"/>
  <c r="C48" i="19"/>
  <c r="N46" i="19"/>
  <c r="I46" i="19"/>
  <c r="N47" i="19" l="1"/>
  <c r="I47" i="19"/>
  <c r="T48" i="19"/>
  <c r="AB48" i="19"/>
  <c r="C49" i="19"/>
  <c r="N48" i="19" l="1"/>
  <c r="I48" i="19"/>
  <c r="T49" i="19"/>
  <c r="AB49" i="19"/>
  <c r="C50" i="19"/>
  <c r="N49" i="19" l="1"/>
  <c r="I49" i="19"/>
  <c r="T50" i="19"/>
  <c r="C51" i="19"/>
  <c r="T51" i="19" l="1"/>
  <c r="C52" i="19"/>
  <c r="AB50" i="19"/>
  <c r="N50" i="19"/>
  <c r="I50" i="19"/>
  <c r="T52" i="19" l="1"/>
  <c r="C53" i="19"/>
  <c r="N51" i="19"/>
  <c r="I51" i="19"/>
  <c r="AB51" i="19"/>
  <c r="AB52" i="19" l="1"/>
  <c r="T53" i="19"/>
  <c r="AB53" i="19"/>
  <c r="C54" i="19"/>
  <c r="I52" i="19"/>
  <c r="N52" i="19"/>
  <c r="N53" i="19" l="1"/>
  <c r="I53" i="19"/>
  <c r="T54" i="19"/>
  <c r="AB54" i="19"/>
  <c r="C55" i="19"/>
  <c r="N54" i="19" l="1"/>
  <c r="I54" i="19"/>
  <c r="AB55" i="19"/>
  <c r="T55" i="19"/>
  <c r="C56" i="19"/>
  <c r="AB56" i="19" l="1"/>
  <c r="T56" i="19"/>
  <c r="C57" i="19"/>
  <c r="N55" i="19"/>
  <c r="I55" i="19"/>
  <c r="T57" i="19" l="1"/>
  <c r="AB57" i="19"/>
  <c r="C58" i="19"/>
  <c r="N56" i="19"/>
  <c r="I56" i="19"/>
  <c r="AB58" i="19" l="1"/>
  <c r="T58" i="19"/>
  <c r="C59" i="19"/>
  <c r="N57" i="19"/>
  <c r="I57" i="19"/>
  <c r="N58" i="19" l="1"/>
  <c r="I58" i="19"/>
  <c r="T59" i="19"/>
  <c r="AB59" i="19"/>
  <c r="C60" i="19"/>
  <c r="AB60" i="19" l="1"/>
  <c r="T60" i="19"/>
  <c r="C61" i="19"/>
  <c r="N59" i="19"/>
  <c r="I59" i="19"/>
  <c r="AB61" i="19" l="1"/>
  <c r="T61" i="19"/>
  <c r="C62" i="19"/>
  <c r="N60" i="19"/>
  <c r="I60" i="19"/>
  <c r="T62" i="19" l="1"/>
  <c r="AB62" i="19"/>
  <c r="C63" i="19"/>
  <c r="N61" i="19"/>
  <c r="I61" i="19"/>
  <c r="AB63" i="19" l="1"/>
  <c r="T63" i="19"/>
  <c r="C64" i="19"/>
  <c r="N62" i="19"/>
  <c r="I62" i="19"/>
  <c r="T64" i="19" l="1"/>
  <c r="AB64" i="19"/>
  <c r="C65" i="19"/>
  <c r="N63" i="19"/>
  <c r="I63" i="19"/>
  <c r="T65" i="19" l="1"/>
  <c r="AB65" i="19"/>
  <c r="C66" i="19"/>
  <c r="N64" i="19"/>
  <c r="I64" i="19"/>
  <c r="AT23" i="19"/>
  <c r="AT22" i="19"/>
  <c r="AT13" i="19"/>
  <c r="AT12" i="19"/>
  <c r="N65" i="19" l="1"/>
  <c r="I65" i="19"/>
  <c r="T66" i="19"/>
  <c r="AB66" i="19"/>
  <c r="C67" i="19"/>
  <c r="AB67" i="19" l="1"/>
  <c r="T67" i="19"/>
  <c r="C68" i="19"/>
  <c r="N66" i="19"/>
  <c r="I66" i="19"/>
  <c r="C69" i="19" l="1"/>
  <c r="T68" i="19"/>
  <c r="AB68" i="19"/>
  <c r="N67" i="19"/>
  <c r="I67" i="19"/>
  <c r="C70" i="19" l="1"/>
  <c r="T69" i="19"/>
  <c r="AB69" i="19"/>
  <c r="N68" i="19"/>
  <c r="I68" i="19"/>
  <c r="N69" i="19" l="1"/>
  <c r="I69" i="19"/>
  <c r="C71" i="19"/>
  <c r="T70" i="19"/>
  <c r="AB70" i="19"/>
  <c r="C72" i="19" l="1"/>
  <c r="T71" i="19"/>
  <c r="AB71" i="19"/>
  <c r="N70" i="19"/>
  <c r="I70" i="19"/>
  <c r="N71" i="19" l="1"/>
  <c r="I71" i="19"/>
  <c r="C73" i="19"/>
  <c r="AB72" i="19"/>
  <c r="T72" i="19"/>
  <c r="AG15" i="19"/>
  <c r="AG27" i="19"/>
  <c r="N72" i="19" l="1"/>
  <c r="I72" i="19"/>
  <c r="T73" i="19"/>
  <c r="AB73" i="19"/>
  <c r="C74" i="19"/>
  <c r="N73" i="19" l="1"/>
  <c r="I73" i="19"/>
  <c r="T74" i="19"/>
  <c r="AB74" i="19"/>
  <c r="C75" i="19"/>
  <c r="N74" i="19" l="1"/>
  <c r="I74" i="19"/>
  <c r="C76" i="19"/>
  <c r="T75" i="19"/>
  <c r="AB75" i="19"/>
  <c r="N75" i="19" l="1"/>
  <c r="I75" i="19"/>
  <c r="T76" i="19"/>
  <c r="AB76" i="19"/>
  <c r="C77" i="19"/>
  <c r="N76" i="19" l="1"/>
  <c r="I76" i="19"/>
  <c r="T77" i="19"/>
  <c r="AB77" i="19"/>
  <c r="C78" i="19"/>
  <c r="N77" i="19" l="1"/>
  <c r="I77" i="19"/>
  <c r="T78" i="19"/>
  <c r="AB78" i="19"/>
  <c r="AG37" i="19" l="1" a="1"/>
  <c r="AG37" i="19" s="1"/>
  <c r="AG40" i="19" s="1"/>
  <c r="AG38" i="19" a="1"/>
  <c r="AG38" i="19" s="1"/>
  <c r="AT28" i="19" s="1"/>
  <c r="N78" i="19"/>
  <c r="I78" i="19"/>
  <c r="AG26" i="19" a="1"/>
  <c r="AG26" i="19" s="1"/>
  <c r="AT18" i="19" s="1"/>
  <c r="AG25" i="19" a="1"/>
  <c r="AG25" i="19" s="1"/>
  <c r="AG28" i="19" s="1"/>
  <c r="AD55" i="19" l="1"/>
  <c r="AD57" i="19"/>
  <c r="AC57" i="19"/>
  <c r="AC56" i="19"/>
  <c r="AD56" i="19"/>
  <c r="AC55" i="19"/>
  <c r="U57" i="19"/>
  <c r="V57" i="19"/>
  <c r="U56" i="19"/>
  <c r="V56" i="19"/>
  <c r="U55" i="19"/>
  <c r="V55" i="19"/>
  <c r="U54" i="19"/>
  <c r="V54" i="19"/>
  <c r="AC54" i="19"/>
  <c r="AD54" i="19"/>
  <c r="AD53" i="19"/>
  <c r="AC53" i="19"/>
  <c r="U53" i="19"/>
  <c r="V53" i="19"/>
  <c r="V52" i="19"/>
  <c r="V51" i="19"/>
  <c r="V48" i="19"/>
  <c r="V46" i="19"/>
  <c r="U29" i="19"/>
  <c r="U9" i="19"/>
  <c r="U12" i="19"/>
  <c r="U39" i="19"/>
  <c r="U22" i="19"/>
  <c r="U50" i="19"/>
  <c r="V9" i="19"/>
  <c r="U48" i="19"/>
  <c r="U19" i="19"/>
  <c r="U49" i="19"/>
  <c r="U47" i="19"/>
  <c r="V29" i="19"/>
  <c r="V50" i="19"/>
  <c r="V47" i="19"/>
  <c r="V22" i="19"/>
  <c r="U41" i="19"/>
  <c r="U33" i="19"/>
  <c r="U24" i="19"/>
  <c r="U16" i="19"/>
  <c r="U36" i="19"/>
  <c r="V13" i="19"/>
  <c r="U46" i="19"/>
  <c r="U25" i="19"/>
  <c r="V41" i="19"/>
  <c r="V14" i="19"/>
  <c r="U52" i="19"/>
  <c r="V21" i="19"/>
  <c r="U18" i="19"/>
  <c r="U40" i="19"/>
  <c r="V11" i="19"/>
  <c r="U30" i="19"/>
  <c r="U13" i="19"/>
  <c r="U27" i="19"/>
  <c r="V17" i="19"/>
  <c r="V49" i="19"/>
  <c r="V12" i="19"/>
  <c r="V35" i="19"/>
  <c r="U42" i="19"/>
  <c r="U21" i="19"/>
  <c r="V27" i="19"/>
  <c r="V18" i="19"/>
  <c r="V38" i="19"/>
  <c r="V43" i="19"/>
  <c r="V32" i="19"/>
  <c r="U45" i="19"/>
  <c r="V40" i="19"/>
  <c r="V30" i="19"/>
  <c r="V25" i="19"/>
  <c r="V19" i="19"/>
  <c r="V33" i="19"/>
  <c r="U31" i="19"/>
  <c r="U10" i="19"/>
  <c r="U37" i="19"/>
  <c r="V23" i="19"/>
  <c r="U43" i="19"/>
  <c r="V45" i="19"/>
  <c r="V42" i="19"/>
  <c r="V37" i="19"/>
  <c r="V36" i="19"/>
  <c r="U34" i="19"/>
  <c r="U17" i="19"/>
  <c r="U51" i="19"/>
  <c r="V15" i="19"/>
  <c r="V24" i="19"/>
  <c r="U15" i="19"/>
  <c r="V8" i="19"/>
  <c r="U11" i="19"/>
  <c r="U14" i="19"/>
  <c r="U35" i="19"/>
  <c r="V10" i="19"/>
  <c r="V16" i="19"/>
  <c r="V26" i="19"/>
  <c r="V34" i="19"/>
  <c r="V20" i="19"/>
  <c r="U8" i="19"/>
  <c r="U20" i="19"/>
  <c r="U23" i="19"/>
  <c r="U26" i="19"/>
  <c r="U32" i="19"/>
  <c r="V28" i="19"/>
  <c r="V39" i="19"/>
  <c r="V44" i="19"/>
  <c r="V31" i="19"/>
  <c r="U28" i="19"/>
  <c r="U38" i="19"/>
  <c r="U44" i="19"/>
  <c r="AG13" i="19" a="1"/>
  <c r="AG13" i="19" s="1"/>
  <c r="AG16" i="19" s="1"/>
  <c r="AG14" i="19" a="1"/>
  <c r="AG14" i="19" s="1"/>
  <c r="AT8" i="19" s="1"/>
  <c r="AC50" i="19"/>
  <c r="AD50" i="19"/>
  <c r="AD51" i="19"/>
  <c r="AC51" i="19"/>
  <c r="AC52" i="19"/>
  <c r="AD52" i="19"/>
  <c r="AC46" i="19"/>
  <c r="AC24" i="19"/>
  <c r="AD43" i="19"/>
  <c r="AC26" i="19"/>
  <c r="AD36" i="19"/>
  <c r="AC29" i="19"/>
  <c r="AC43" i="19"/>
  <c r="AD33" i="19"/>
  <c r="AC44" i="19"/>
  <c r="AD17" i="19"/>
  <c r="AC45" i="19"/>
  <c r="AC36" i="19"/>
  <c r="AD9" i="19"/>
  <c r="AD23" i="19"/>
  <c r="AD48" i="19"/>
  <c r="AC41" i="19"/>
  <c r="AD28" i="19"/>
  <c r="AD18" i="19"/>
  <c r="AC15" i="19"/>
  <c r="AD26" i="19"/>
  <c r="AC9" i="19"/>
  <c r="AD24" i="19"/>
  <c r="AC19" i="19"/>
  <c r="AC21" i="19"/>
  <c r="AC48" i="19"/>
  <c r="AD21" i="19"/>
  <c r="AD35" i="19"/>
  <c r="AC16" i="19"/>
  <c r="AD14" i="19"/>
  <c r="AC20" i="19"/>
  <c r="AD22" i="19"/>
  <c r="AC28" i="19"/>
  <c r="AC18" i="19"/>
  <c r="AC12" i="19"/>
  <c r="AD19" i="19"/>
  <c r="AC14" i="19"/>
  <c r="AD45" i="19"/>
  <c r="AC39" i="19"/>
  <c r="AD8" i="19"/>
  <c r="AD38" i="19"/>
  <c r="AD29" i="19"/>
  <c r="AC33" i="19"/>
  <c r="AD31" i="19"/>
  <c r="AC38" i="19"/>
  <c r="AC13" i="19"/>
  <c r="AC8" i="19"/>
  <c r="AC11" i="19"/>
  <c r="AD11" i="19"/>
  <c r="AC25" i="19"/>
  <c r="AD40" i="19"/>
  <c r="AC10" i="19"/>
  <c r="AC30" i="19"/>
  <c r="AC22" i="19"/>
  <c r="AC35" i="19"/>
  <c r="AC42" i="19"/>
  <c r="AC47" i="19"/>
  <c r="AD47" i="19"/>
  <c r="AC37" i="19"/>
  <c r="AD13" i="19"/>
  <c r="AC23" i="19"/>
  <c r="AC17" i="19"/>
  <c r="AC31" i="19"/>
  <c r="AD20" i="19"/>
  <c r="AC27" i="19"/>
  <c r="AC49" i="19"/>
  <c r="AC34" i="19"/>
  <c r="AD25" i="19"/>
  <c r="AD15" i="19"/>
  <c r="AD16" i="19"/>
  <c r="AD32" i="19"/>
  <c r="AC40" i="19"/>
  <c r="AD10" i="19"/>
  <c r="AD30" i="19"/>
  <c r="AD37" i="19"/>
  <c r="AD27" i="19"/>
  <c r="AD39" i="19"/>
  <c r="AD42" i="19"/>
  <c r="AD41" i="19"/>
  <c r="AD44" i="19"/>
  <c r="AC32" i="19"/>
  <c r="AD34" i="19"/>
  <c r="AD12" i="19"/>
  <c r="AD49" i="19"/>
  <c r="AD46" i="19"/>
  <c r="J57" i="19" l="1"/>
  <c r="K57" i="19"/>
  <c r="J56" i="19"/>
  <c r="K56" i="19"/>
  <c r="J55" i="19"/>
  <c r="K55" i="19"/>
  <c r="K54" i="19"/>
  <c r="J54" i="19"/>
  <c r="J53" i="19"/>
  <c r="K53" i="19"/>
  <c r="J52" i="19"/>
  <c r="J11" i="19"/>
  <c r="J35" i="19"/>
  <c r="K30" i="19"/>
  <c r="K32" i="19"/>
  <c r="J12" i="19"/>
  <c r="K38" i="19"/>
  <c r="J8" i="19"/>
  <c r="J21" i="19"/>
  <c r="K36" i="19"/>
  <c r="K29" i="19"/>
  <c r="J29" i="19"/>
  <c r="K37" i="19"/>
  <c r="J16" i="19"/>
  <c r="J24" i="19"/>
  <c r="K23" i="19"/>
  <c r="J39" i="19"/>
  <c r="J34" i="19"/>
  <c r="J23" i="19"/>
  <c r="K52" i="19"/>
  <c r="J47" i="19"/>
  <c r="K12" i="19"/>
  <c r="K43" i="19"/>
  <c r="K50" i="19"/>
  <c r="J33" i="19"/>
  <c r="J20" i="19"/>
  <c r="J26" i="19"/>
  <c r="K24" i="19"/>
  <c r="K22" i="19"/>
  <c r="K46" i="19"/>
  <c r="J27" i="19"/>
  <c r="K31" i="19"/>
  <c r="J38" i="19"/>
  <c r="K14" i="19"/>
  <c r="K47" i="19"/>
  <c r="K13" i="19"/>
  <c r="J31" i="19"/>
  <c r="K10" i="19"/>
  <c r="J48" i="19"/>
  <c r="K41" i="19"/>
  <c r="K26" i="19"/>
  <c r="K25" i="19"/>
  <c r="J19" i="19"/>
  <c r="J18" i="19"/>
  <c r="K45" i="19"/>
  <c r="J10" i="19"/>
  <c r="J17" i="19"/>
  <c r="K39" i="19"/>
  <c r="J46" i="19"/>
  <c r="K49" i="19"/>
  <c r="J30" i="19"/>
  <c r="K40" i="19"/>
  <c r="J28" i="19"/>
  <c r="J40" i="19"/>
  <c r="J42" i="19"/>
  <c r="J22" i="19"/>
  <c r="K8" i="19"/>
  <c r="K9" i="19"/>
  <c r="K34" i="19"/>
  <c r="K48" i="19"/>
  <c r="K16" i="19"/>
  <c r="J14" i="19"/>
  <c r="J50" i="19"/>
  <c r="J32" i="19"/>
  <c r="K20" i="19"/>
  <c r="K27" i="19"/>
  <c r="J49" i="19"/>
  <c r="K21" i="19"/>
  <c r="J9" i="19"/>
  <c r="K15" i="19"/>
  <c r="J41" i="19"/>
  <c r="K42" i="19"/>
  <c r="K33" i="19"/>
  <c r="K11" i="19"/>
  <c r="J45" i="19"/>
  <c r="K44" i="19"/>
  <c r="J13" i="19"/>
  <c r="J43" i="19"/>
  <c r="J15" i="19"/>
  <c r="K19" i="19"/>
  <c r="J25" i="19"/>
  <c r="K35" i="19"/>
  <c r="K18" i="19"/>
  <c r="K17" i="19"/>
  <c r="K28" i="19"/>
  <c r="J44" i="19"/>
  <c r="J36" i="19"/>
  <c r="J37" i="19"/>
  <c r="J51" i="19"/>
  <c r="K51" i="1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tc={0E3BBDD2-49F3-4791-8649-958B5A2F428B}</author>
    <author>tc={9A58F8C8-EC4D-4204-BDBD-1ED773C791C2}</author>
    <author>tc={CC489CA4-0428-4260-9C71-F50F294E0276}</author>
    <author>tc={92ED0BA3-CD99-4B8E-BFDD-0EEF8E782638}</author>
    <author>tc={4409B014-A5A7-4F76-9492-F48BE71B769B}</author>
    <author>tc={81FAFA63-54C6-45CC-9070-46D07C730098}</author>
    <author>tc={4BF89DC0-3592-4FA2-8435-6F54BA02BC15}</author>
    <author>tc={98C3BF07-CEF3-412D-B8D1-2942AE2470B6}</author>
    <author>tc={21624EEB-6D22-429B-8E98-279137BB6058}</author>
    <author>tc={0E29A1A8-955C-48A8-BB66-F9B1A9E97908}</author>
    <author>tc={08774897-7F0B-4B4B-AF46-93FF194A769D}</author>
    <author>tc={85C09E34-A5EC-4346-8195-06EE393D72DF}</author>
    <author>tc={B76B2E5A-CC8C-4D5D-883C-4881C14D6A49}</author>
    <author>tc={422813AA-7B17-475A-BC56-7328C0D1FD19}</author>
    <author>tc={DF686F86-B428-4733-B393-4D0F0A4D84F3}</author>
    <author>tc={23B8A78F-4853-446A-8154-8529F1B769CC}</author>
    <author>tc={52BC14E3-58A2-47FD-AA97-3E562BB3003C}</author>
  </authors>
  <commentList>
    <comment ref="AH3" authorId="0" shapeId="0" xr:uid="{0E3BBDD2-49F3-4791-8649-958B5A2F428B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Saturation value or carrying capalcity</t>
      </text>
    </comment>
    <comment ref="AH4" authorId="1" shapeId="0" xr:uid="{9A58F8C8-EC4D-4204-BDBD-1ED773C791C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exponential decay time</t>
      </text>
    </comment>
    <comment ref="AH5" authorId="2" shapeId="0" xr:uid="{CC489CA4-0428-4260-9C71-F50F294E027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fractal exponent</t>
      </text>
    </comment>
    <comment ref="B8" authorId="3" shapeId="0" xr:uid="{92ED0BA3-CD99-4B8E-BFDD-0EEF8E78263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 (north)</t>
      </text>
    </comment>
    <comment ref="B14" authorId="4" shapeId="0" xr:uid="{4409B014-A5A7-4F76-9492-F48BE71B769B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8" authorId="5" shapeId="0" xr:uid="{81FAFA63-54C6-45CC-9070-46D07C73009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1" authorId="6" shapeId="0" xr:uid="{4BF89DC0-3592-4FA2-8435-6F54BA02BC1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(north)</t>
      </text>
    </comment>
    <comment ref="B23" authorId="7" shapeId="0" xr:uid="{98C3BF07-CEF3-412D-B8D1-2942AE2470B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5" authorId="8" shapeId="0" xr:uid="{21624EEB-6D22-429B-8E98-279137BB605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(Italy)</t>
      </text>
    </comment>
    <comment ref="B36" authorId="9" shapeId="0" xr:uid="{0E29A1A8-955C-48A8-BB66-F9B1A9E9790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  <comment ref="B103" authorId="10" shapeId="0" xr:uid="{08774897-7F0B-4B4B-AF46-93FF194A769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09" authorId="11" shapeId="0" xr:uid="{85C09E34-A5EC-4346-8195-06EE393D72D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13" authorId="12" shapeId="0" xr:uid="{B76B2E5A-CC8C-4D5D-883C-4881C14D6A4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116" authorId="13" shapeId="0" xr:uid="{422813AA-7B17-475A-BC56-7328C0D1FD1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118" authorId="14" shapeId="0" xr:uid="{DF686F86-B428-4733-B393-4D0F0A4D84F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120" authorId="15" shapeId="0" xr:uid="{23B8A78F-4853-446A-8154-8529F1B769C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131" authorId="16" shapeId="0" xr:uid="{52BC14E3-58A2-47FD-AA97-3E562BB3003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tc={56C95333-8DE0-4A27-B487-EECE41AE20FB}</author>
    <author>tc={013D75A6-D219-4696-8A74-E71BD1DE8067}</author>
    <author>tc={74D534AB-025B-453A-B72C-53CD493EE2CD}</author>
    <author>tc={5FD8839A-74E9-44C2-B5F2-F977D0EA3D98}</author>
    <author>tc={95B83D2D-5EDB-4C8F-91A8-36D622D74B5B}</author>
    <author>tc={FB6547ED-429A-49D7-8367-DE2107BFB931}</author>
    <author>tc={18DCC697-BA7F-479A-8641-1D7FCDC0672D}</author>
    <author>tc={5FB23112-C2D9-44D1-9DAD-0448A5341B10}</author>
    <author>tc={90A59D2F-F1E2-4415-85BD-E03CA55CB6FA}</author>
    <author>tc={0E1A0D26-B3B0-42D1-A5BA-750B79DBB49F}</author>
  </authors>
  <commentList>
    <comment ref="AH3" authorId="0" shapeId="0" xr:uid="{56C95333-8DE0-4A27-B487-EECE41AE20FB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Saturation value or carrying capalcity</t>
      </text>
    </comment>
    <comment ref="AH4" authorId="1" shapeId="0" xr:uid="{013D75A6-D219-4696-8A74-E71BD1DE806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exponential decay time</t>
      </text>
    </comment>
    <comment ref="AH5" authorId="2" shapeId="0" xr:uid="{74D534AB-025B-453A-B72C-53CD493EE2C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fractal exponent</t>
      </text>
    </comment>
    <comment ref="B8" authorId="3" shapeId="0" xr:uid="{5FD8839A-74E9-44C2-B5F2-F977D0EA3D9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 (north)</t>
      </text>
    </comment>
    <comment ref="B14" authorId="4" shapeId="0" xr:uid="{95B83D2D-5EDB-4C8F-91A8-36D622D74B5B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8" authorId="5" shapeId="0" xr:uid="{FB6547ED-429A-49D7-8367-DE2107BFB93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1" authorId="6" shapeId="0" xr:uid="{18DCC697-BA7F-479A-8641-1D7FCDC0672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(north)</t>
      </text>
    </comment>
    <comment ref="B23" authorId="7" shapeId="0" xr:uid="{5FB23112-C2D9-44D1-9DAD-0448A5341B1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5" authorId="8" shapeId="0" xr:uid="{90A59D2F-F1E2-4415-85BD-E03CA55CB6F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(Italy)</t>
      </text>
    </comment>
    <comment ref="B36" authorId="9" shapeId="0" xr:uid="{0E1A0D26-B3B0-42D1-A5BA-750B79DBB49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7CD08-FC61-4FE4-AB7F-5BD4BDD5E72A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600A235F-1026-4113-A353-F496C5298061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34ADFF1E-043C-4677-B979-DBE7398C19BF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0A0BBF4F-D2A7-4A62-A8DD-1FCF29187A2E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5817D752-AE5E-4436-BE45-4BF93E72AC28}" keepAlive="1" name="Query - dpc-covid19-ita-andamento-nazionale (5)" description="Connessione alla query 'dpc-covid19-ita-andamento-nazionale (5)' nella cartella di lavoro." type="5" refreshedVersion="6" background="1" saveData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6" xr16:uid="{308F29F2-CB57-4591-A919-F3C0D66F6FC5}" keepAlive="1" name="Query - dpc-covid19-ita-andamento-nazionale (6)" description="Connessione alla query 'dpc-covid19-ita-andamento-nazionale (6)' nella cartella di lavoro." type="5" refreshedVersion="6" background="1" saveData="1">
    <dbPr connection="Provider=Microsoft.Mashup.OleDb.1;Data Source=$Workbook$;Location=&quot;dpc-covid19-ita-andamento-nazionale (6)&quot;;Extended Properties=&quot;&quot;" command="SELECT * FROM [dpc-covid19-ita-andamento-nazionale (6)]"/>
  </connection>
  <connection id="7" xr16:uid="{DDE20D76-1372-414F-B394-222B3F5DAC9C}" keepAlive="1" name="Query - dpc-covid19-ita-andamento-nazionale (7)" description="Connessione alla query 'dpc-covid19-ita-andamento-nazionale (7)' nella cartella di lavoro." type="5" refreshedVersion="6" background="1" saveData="1">
    <dbPr connection="Provider=Microsoft.Mashup.OleDb.1;Data Source=$Workbook$;Location=&quot;dpc-covid19-ita-andamento-nazionale (7)&quot;;Extended Properties=&quot;&quot;" command="SELECT * FROM [dpc-covid19-ita-andamento-nazionale (7)]"/>
  </connection>
  <connection id="8" xr16:uid="{FEE30F67-BB06-4262-8312-A07884C3129D}" keepAlive="1" name="Query - dpc-covid19-ita-andamento-nazionale (8)" description="Connessione alla query 'dpc-covid19-ita-andamento-nazionale (8)' nella cartella di lavoro." type="5" refreshedVersion="6" background="1" saveData="1">
    <dbPr connection="Provider=Microsoft.Mashup.OleDb.1;Data Source=$Workbook$;Location=&quot;dpc-covid19-ita-andamento-nazionale (8)&quot;;Extended Properties=&quot;&quot;" command="SELECT * FROM [dpc-covid19-ita-andamento-nazionale (8)]"/>
  </connection>
  <connection id="9" xr16:uid="{0FAE79B7-1CD3-4609-AF8E-8BF7D5A95FFC}" keepAlive="1" name="Query - dpc-covid19-ita-andamento-nazionale (9)" description="Connessione alla query 'dpc-covid19-ita-andamento-nazionale (9)' nella cartella di lavoro." type="5" refreshedVersion="6" background="1" saveData="1">
    <dbPr connection="Provider=Microsoft.Mashup.OleDb.1;Data Source=$Workbook$;Location=&quot;dpc-covid19-ita-andamento-nazionale (9)&quot;;Extended Properties=&quot;&quot;" command="SELECT * FROM [dpc-covid19-ita-andamento-nazionale (9)]"/>
  </connection>
  <connection id="10" xr16:uid="{35EC220A-A28A-4804-A7E9-6B59E3FB97E2}" keepAlive="1" name="Query - Tabella1" description="Connessione alla query 'Tabella1' nella cartella di lavoro." type="5" refreshedVersion="6" background="1" saveData="1">
    <dbPr connection="Provider=Microsoft.Mashup.OleDb.1;Data Source=$Workbook$;Location=Tabella1;Extended Properties=&quot;&quot;" command="SELECT * FROM [Tabella1]"/>
  </connection>
  <connection id="11" xr16:uid="{32D9E78D-2352-4A60-B92C-007831B03845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2" xr16:uid="{D40C31B4-445A-4A48-8814-96FBC01F01BB}" name="WorksheetConnection_COVID-19 Italy cases trend - B fit.xlsx!dpc_covid19_ita_andamento_nazionale" type="102" refreshedVersion="6" minRefreshableVersion="5">
    <extLst>
      <ext xmlns:x15="http://schemas.microsoft.com/office/spreadsheetml/2010/11/main" uri="{DE250136-89BD-433C-8126-D09CA5730AF9}">
        <x15:connection id="dpc_covid19_ita_andamento_nazionale" autoDelete="1">
          <x15:rangePr sourceName="_xlcn.WorksheetConnection_COVID19ItalycasestrendBfit.xlsxdpc_covid19_ita_andamento_nazionale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<sst xmlns="http://schemas.openxmlformats.org/spreadsheetml/2006/main" count="360" uniqueCount="114">
  <si>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</si>
  <si>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</si>
  <si>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</si>
  <si>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</si>
  <si>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</si>
  <si>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</si>
  <si>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</si>
  <si>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</si>
  <si>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Date</t>
  </si>
  <si>
    <t>Day</t>
  </si>
  <si>
    <t>Confirmed cases</t>
  </si>
  <si>
    <t>Iterative non-linear least squares regression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</si>
  <si>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</si>
  <si>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</si>
  <si>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</si>
  <si>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</si>
  <si>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</si>
  <si>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</si>
  <si>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</si>
  <si>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</si>
  <si>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</si>
  <si>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</si>
  <si>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</si>
  <si>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r>
      <t>t</t>
    </r>
    <r>
      <rPr>
        <i/>
        <vertAlign val="subscript"/>
        <sz val="14"/>
        <color theme="1"/>
        <rFont val="Calibri"/>
        <family val="2"/>
        <scheme val="minor"/>
      </rPr>
      <t>0</t>
    </r>
    <r>
      <rPr>
        <i/>
        <sz val="14"/>
        <color theme="1"/>
        <rFont val="Calibri"/>
        <family val="2"/>
        <scheme val="minor"/>
      </rPr>
      <t>=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</si>
  <si>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</si>
  <si>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Cum_confirmed</t>
  </si>
  <si>
    <t>New cases</t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</si>
  <si>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</si>
  <si>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</si>
  <si>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</si>
  <si>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</si>
  <si>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</si>
  <si>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</si>
  <si>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</si>
  <si>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</si>
  <si>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</si>
  <si>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</si>
  <si>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</si>
  <si>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</si>
  <si>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</si>
  <si>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</si>
  <si>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</si>
  <si>
    <t>pd-IT-0007</t>
  </si>
  <si>
    <t>pd-EN-0007</t>
  </si>
  <si>
    <t>C. Upper CI</t>
  </si>
  <si>
    <t>C. Lower CI</t>
  </si>
  <si>
    <t>Confirmed</t>
  </si>
  <si>
    <t>pd-IT-0009</t>
  </si>
  <si>
    <t>pd-EN-0009</t>
  </si>
  <si>
    <t>Modeling function: Power law with exponential cut-off</t>
  </si>
  <si>
    <t>totale_positivi</t>
  </si>
  <si>
    <t>variazione_totale_positivi</t>
  </si>
  <si>
    <t>nuovi_positivi</t>
  </si>
  <si>
    <t>Deaths</t>
  </si>
  <si>
    <t>Confirmed fit</t>
  </si>
  <si>
    <t>Deaths fit</t>
  </si>
  <si>
    <t>D. Upper CI</t>
  </si>
  <si>
    <t>D. Lower CI</t>
  </si>
  <si>
    <t>Solver method: GRG non linear engine - option: default</t>
  </si>
  <si>
    <t>Cum_fit</t>
  </si>
  <si>
    <t>C_Upper CI</t>
  </si>
  <si>
    <t>C_Lower CI</t>
  </si>
  <si>
    <t>Cum_deaths</t>
  </si>
  <si>
    <t>New deaths</t>
  </si>
  <si>
    <t>Cum_D_fit</t>
  </si>
  <si>
    <t>ND_Upper CI</t>
  </si>
  <si>
    <t>ND_Lower CI</t>
  </si>
  <si>
    <t>K</t>
  </si>
  <si>
    <t>saturation value</t>
  </si>
  <si>
    <t>Peak value</t>
  </si>
  <si>
    <t>t-Peak</t>
  </si>
  <si>
    <t>fitting parameter - constraint (none)</t>
  </si>
  <si>
    <t>SOLVER models</t>
  </si>
  <si>
    <t>Cum_recov</t>
  </si>
  <si>
    <t>Cum_R_fit</t>
  </si>
  <si>
    <t>NR_Upper CI</t>
  </si>
  <si>
    <t>NR_Lower CI</t>
  </si>
  <si>
    <t>Curr_positive</t>
  </si>
  <si>
    <t>New_positive</t>
  </si>
  <si>
    <t>Colonna1</t>
  </si>
  <si>
    <t>Colonna2</t>
  </si>
  <si>
    <t>Recovered</t>
  </si>
  <si>
    <t>Colonna3</t>
  </si>
  <si>
    <t>Colonna4</t>
  </si>
  <si>
    <t>Colonna5</t>
  </si>
  <si>
    <t>Colonna6</t>
  </si>
  <si>
    <r>
      <t>t</t>
    </r>
    <r>
      <rPr>
        <i/>
        <vertAlign val="subscript"/>
        <sz val="11"/>
        <color rgb="FFFF0000"/>
        <rFont val="Calibri"/>
        <family val="2"/>
        <scheme val="minor"/>
      </rPr>
      <t>0</t>
    </r>
    <r>
      <rPr>
        <i/>
        <sz val="11"/>
        <color rgb="FFFF0000"/>
        <rFont val="Calibri"/>
        <family val="2"/>
        <scheme val="minor"/>
      </rPr>
      <t>=</t>
    </r>
  </si>
  <si>
    <r>
      <t>R</t>
    </r>
    <r>
      <rPr>
        <vertAlign val="superscript"/>
        <sz val="11"/>
        <color rgb="FFFF0000"/>
        <rFont val="Calibri"/>
        <family val="2"/>
        <scheme val="minor"/>
      </rPr>
      <t>2</t>
    </r>
  </si>
  <si>
    <t>New_cases_fit</t>
  </si>
  <si>
    <t>New_positive_fit</t>
  </si>
  <si>
    <t>New_Recovered_fit</t>
  </si>
  <si>
    <t>New_Deaths_fit</t>
  </si>
  <si>
    <t>New recovered</t>
  </si>
  <si>
    <t>t0=</t>
  </si>
  <si>
    <t>New cases fit</t>
  </si>
  <si>
    <t>New recovered fit</t>
  </si>
  <si>
    <t>New deaths fit</t>
  </si>
  <si>
    <t>Recovered fit</t>
  </si>
  <si>
    <t>DO NOT EXECUTE</t>
  </si>
  <si>
    <t>R_Upper CI</t>
  </si>
  <si>
    <t>R_Lower CI</t>
  </si>
  <si>
    <t>D_Upper CI</t>
  </si>
  <si>
    <t>D_Lower CI</t>
  </si>
  <si>
    <t>pd-IT-0011</t>
  </si>
  <si>
    <t>pd-EN-0011</t>
  </si>
  <si>
    <t>dc-IT-0003</t>
  </si>
  <si>
    <t>dc-EN-0003</t>
  </si>
  <si>
    <t>Solver method: GRG2 non linear engine - option: default</t>
  </si>
  <si>
    <t>Modeling function: Gompertz</t>
  </si>
  <si>
    <r>
      <t>t</t>
    </r>
    <r>
      <rPr>
        <i/>
        <vertAlign val="subscript"/>
        <sz val="11"/>
        <color theme="8"/>
        <rFont val="Calibri"/>
        <family val="2"/>
        <scheme val="minor"/>
      </rPr>
      <t>0</t>
    </r>
    <r>
      <rPr>
        <i/>
        <sz val="11"/>
        <color theme="8"/>
        <rFont val="Calibri"/>
        <family val="2"/>
        <scheme val="minor"/>
      </rPr>
      <t>=</t>
    </r>
  </si>
  <si>
    <r>
      <t>R</t>
    </r>
    <r>
      <rPr>
        <vertAlign val="superscript"/>
        <sz val="11"/>
        <color theme="8"/>
        <rFont val="Calibri"/>
        <family val="2"/>
        <scheme val="minor"/>
      </rPr>
      <t>2</t>
    </r>
  </si>
  <si>
    <t>Saturation value</t>
  </si>
  <si>
    <r>
      <t>t</t>
    </r>
    <r>
      <rPr>
        <i/>
        <vertAlign val="subscript"/>
        <sz val="11"/>
        <color rgb="FF00B050"/>
        <rFont val="Calibri"/>
        <family val="2"/>
        <scheme val="minor"/>
      </rPr>
      <t>0</t>
    </r>
    <r>
      <rPr>
        <i/>
        <sz val="11"/>
        <color rgb="FF00B050"/>
        <rFont val="Calibri"/>
        <family val="2"/>
        <scheme val="minor"/>
      </rPr>
      <t>=</t>
    </r>
  </si>
  <si>
    <r>
      <t>R</t>
    </r>
    <r>
      <rPr>
        <vertAlign val="superscript"/>
        <sz val="11"/>
        <color rgb="FF00B050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</si>
</sst>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[$-409]mmmm\ d\,\ yyyy;@"/>
  </numFmts>
  <fonts count="3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vertAlign val="subscript"/>
      <sz val="11"/>
      <color rgb="FFFF0000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  <font>
      <strike/>
      <sz val="11"/>
      <color rgb="FF00B050"/>
      <name val="Calibri"/>
      <family val="2"/>
      <scheme val="minor"/>
    </font>
    <font>
      <strike/>
      <sz val="11"/>
      <color rgb="FF0070C0"/>
      <name val="Calibri"/>
      <family val="2"/>
      <scheme val="minor"/>
    </font>
    <font>
      <i/>
      <sz val="11"/>
      <color theme="8"/>
      <name val="Calibri"/>
      <family val="2"/>
      <scheme val="minor"/>
    </font>
    <font>
      <i/>
      <vertAlign val="subscript"/>
      <sz val="11"/>
      <color theme="8"/>
      <name val="Calibri"/>
      <family val="2"/>
      <scheme val="minor"/>
    </font>
    <font>
      <vertAlign val="superscript"/>
      <sz val="11"/>
      <color theme="8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vertAlign val="subscript"/>
      <sz val="11"/>
      <color rgb="FF00B050"/>
      <name val="Calibri"/>
      <family val="2"/>
      <scheme val="minor"/>
    </font>
    <font>
      <vertAlign val="superscript"/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gray06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5" fillId="3" borderId="1" applyNumberFormat="0" applyFont="0" applyAlignment="0" applyProtection="0"/>
    <xf numFmtId="0" fontId="14" fillId="4" borderId="0" applyNumberFormat="0" applyBorder="0" applyAlignment="0" applyProtection="0"/>
    <xf numFmtId="0" fontId="5" fillId="5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8" applyNumberFormat="0" applyFill="0" applyAlignment="0" applyProtection="0"/>
    <xf numFmtId="0" fontId="22" fillId="0" borderId="9" applyNumberFormat="0" applyFill="0" applyAlignment="0" applyProtection="0"/>
    <xf numFmtId="0" fontId="23" fillId="0" borderId="10" applyNumberFormat="0" applyFill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131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0" fontId="0" fillId="0" borderId="0" xfId="0" applyAlignment="1">
      <alignment horizontal="left" vertical="center"/>
    </xf>
    <xf numFmtId="0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/>
    <xf numFmtId="16" fontId="0" fillId="3" borderId="1" xfId="1" applyNumberFormat="1" applyFont="1" applyAlignment="1">
      <alignment horizontal="center"/>
    </xf>
    <xf numFmtId="0" fontId="10" fillId="0" borderId="0" xfId="0" applyFont="1" applyAlignment="1">
      <alignment horizontal="center" wrapText="1"/>
    </xf>
    <xf numFmtId="1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3" fillId="0" borderId="0" xfId="0" applyFont="1"/>
    <xf numFmtId="0" fontId="11" fillId="0" borderId="0" xfId="0" applyFont="1" applyAlignment="1">
      <alignment horizontal="center" wrapText="1"/>
    </xf>
    <xf numFmtId="2" fontId="0" fillId="2" borderId="0" xfId="0" applyNumberFormat="1" applyFill="1"/>
    <xf numFmtId="1" fontId="12" fillId="0" borderId="0" xfId="0" applyNumberFormat="1" applyFont="1" applyAlignment="1">
      <alignment horizontal="center"/>
    </xf>
    <xf numFmtId="0" fontId="0" fillId="0" borderId="0" xfId="0" applyFont="1" applyAlignment="1">
      <alignment horizontal="left" vertical="center"/>
    </xf>
    <xf numFmtId="0" fontId="12" fillId="0" borderId="0" xfId="0" applyFont="1" applyFill="1"/>
    <xf numFmtId="1" fontId="12" fillId="0" borderId="0" xfId="0" applyNumberFormat="1" applyFont="1"/>
    <xf numFmtId="0" fontId="1" fillId="0" borderId="0" xfId="0" applyFont="1" applyFill="1"/>
    <xf numFmtId="1" fontId="1" fillId="0" borderId="0" xfId="0" applyNumberFormat="1" applyFont="1"/>
    <xf numFmtId="0" fontId="13" fillId="2" borderId="0" xfId="0" applyFont="1" applyFill="1"/>
    <xf numFmtId="0" fontId="0" fillId="2" borderId="0" xfId="0" applyFill="1"/>
    <xf numFmtId="0" fontId="0" fillId="0" borderId="2" xfId="0" applyBorder="1" applyAlignment="1">
      <alignment wrapText="1"/>
    </xf>
    <xf numFmtId="164" fontId="12" fillId="0" borderId="3" xfId="0" applyNumberFormat="1" applyFont="1" applyBorder="1"/>
    <xf numFmtId="0" fontId="12" fillId="0" borderId="3" xfId="0" applyFont="1" applyBorder="1"/>
    <xf numFmtId="0" fontId="12" fillId="0" borderId="4" xfId="0" applyFont="1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164" fontId="1" fillId="0" borderId="3" xfId="0" applyNumberFormat="1" applyFont="1" applyBorder="1"/>
    <xf numFmtId="0" fontId="1" fillId="0" borderId="3" xfId="0" applyFont="1" applyBorder="1"/>
    <xf numFmtId="0" fontId="1" fillId="0" borderId="7" xfId="0" applyFont="1" applyBorder="1"/>
    <xf numFmtId="1" fontId="15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" fontId="0" fillId="0" borderId="0" xfId="0" applyNumberFormat="1" applyAlignment="1">
      <alignment horizontal="center" wrapText="1"/>
    </xf>
    <xf numFmtId="0" fontId="17" fillId="0" borderId="0" xfId="0" applyFont="1" applyAlignment="1">
      <alignment horizontal="center"/>
    </xf>
    <xf numFmtId="1" fontId="14" fillId="4" borderId="0" xfId="2" applyNumberFormat="1" applyAlignment="1">
      <alignment horizontal="center"/>
    </xf>
    <xf numFmtId="0" fontId="18" fillId="0" borderId="0" xfId="0" applyFont="1" applyAlignment="1">
      <alignment horizontal="center"/>
    </xf>
    <xf numFmtId="1" fontId="19" fillId="0" borderId="0" xfId="0" applyNumberFormat="1" applyFont="1" applyAlignment="1">
      <alignment horizontal="center"/>
    </xf>
    <xf numFmtId="0" fontId="19" fillId="0" borderId="0" xfId="0" applyFont="1"/>
    <xf numFmtId="1" fontId="5" fillId="5" borderId="0" xfId="3" applyNumberFormat="1" applyAlignment="1">
      <alignment horizontal="center"/>
    </xf>
    <xf numFmtId="0" fontId="13" fillId="5" borderId="0" xfId="3" applyFont="1" applyAlignment="1">
      <alignment horizontal="center"/>
    </xf>
    <xf numFmtId="0" fontId="13" fillId="5" borderId="0" xfId="3" applyFont="1" applyAlignment="1">
      <alignment horizontal="center" wrapText="1"/>
    </xf>
    <xf numFmtId="0" fontId="24" fillId="0" borderId="0" xfId="0" applyFont="1" applyAlignment="1">
      <alignment horizontal="center" wrapText="1"/>
    </xf>
    <xf numFmtId="1" fontId="5" fillId="7" borderId="0" xfId="9" applyNumberFormat="1" applyAlignment="1">
      <alignment horizontal="center"/>
    </xf>
    <xf numFmtId="0" fontId="13" fillId="7" borderId="0" xfId="9" applyFont="1" applyAlignment="1">
      <alignment horizontal="center"/>
    </xf>
    <xf numFmtId="0" fontId="13" fillId="7" borderId="0" xfId="9" applyFont="1" applyAlignment="1">
      <alignment horizontal="center" wrapText="1"/>
    </xf>
    <xf numFmtId="1" fontId="1" fillId="4" borderId="0" xfId="2" applyNumberFormat="1" applyFont="1" applyAlignment="1">
      <alignment horizontal="center"/>
    </xf>
    <xf numFmtId="0" fontId="5" fillId="6" borderId="0" xfId="8" applyAlignment="1">
      <alignment horizontal="center" wrapText="1"/>
    </xf>
    <xf numFmtId="1" fontId="5" fillId="6" borderId="0" xfId="8" applyNumberForma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26" fillId="0" borderId="0" xfId="0" applyFont="1" applyFill="1"/>
    <xf numFmtId="0" fontId="1" fillId="0" borderId="0" xfId="0" applyFont="1" applyAlignment="1">
      <alignment wrapText="1"/>
    </xf>
    <xf numFmtId="0" fontId="27" fillId="2" borderId="0" xfId="0" applyFont="1" applyFill="1"/>
    <xf numFmtId="2" fontId="1" fillId="2" borderId="0" xfId="0" applyNumberFormat="1" applyFont="1" applyFill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0" fontId="15" fillId="0" borderId="0" xfId="0" applyFont="1" applyAlignment="1">
      <alignment wrapText="1"/>
    </xf>
    <xf numFmtId="165" fontId="10" fillId="0" borderId="0" xfId="0" applyNumberFormat="1" applyFont="1"/>
    <xf numFmtId="165" fontId="11" fillId="0" borderId="0" xfId="0" applyNumberFormat="1" applyFont="1"/>
    <xf numFmtId="0" fontId="0" fillId="8" borderId="2" xfId="0" applyFill="1" applyBorder="1" applyAlignment="1">
      <alignment wrapText="1"/>
    </xf>
    <xf numFmtId="164" fontId="1" fillId="8" borderId="3" xfId="0" applyNumberFormat="1" applyFont="1" applyFill="1" applyBorder="1"/>
    <xf numFmtId="0" fontId="1" fillId="8" borderId="3" xfId="0" applyFont="1" applyFill="1" applyBorder="1"/>
    <xf numFmtId="0" fontId="1" fillId="8" borderId="7" xfId="0" applyFont="1" applyFill="1" applyBorder="1"/>
    <xf numFmtId="0" fontId="13" fillId="6" borderId="0" xfId="8" applyFont="1" applyAlignment="1">
      <alignment horizontal="center" wrapText="1"/>
    </xf>
    <xf numFmtId="0" fontId="0" fillId="9" borderId="2" xfId="0" applyFill="1" applyBorder="1" applyAlignment="1">
      <alignment wrapText="1"/>
    </xf>
    <xf numFmtId="164" fontId="1" fillId="9" borderId="3" xfId="0" applyNumberFormat="1" applyFont="1" applyFill="1" applyBorder="1"/>
    <xf numFmtId="0" fontId="1" fillId="9" borderId="3" xfId="0" applyFont="1" applyFill="1" applyBorder="1"/>
    <xf numFmtId="0" fontId="1" fillId="9" borderId="7" xfId="0" applyFont="1" applyFill="1" applyBorder="1"/>
    <xf numFmtId="0" fontId="23" fillId="0" borderId="10" xfId="7" applyAlignment="1">
      <alignment horizontal="left" vertical="center"/>
    </xf>
    <xf numFmtId="0" fontId="23" fillId="0" borderId="10" xfId="7" applyAlignment="1">
      <alignment horizontal="left" vertical="center"/>
    </xf>
    <xf numFmtId="0" fontId="15" fillId="0" borderId="0" xfId="0" applyFont="1" applyFill="1"/>
    <xf numFmtId="165" fontId="24" fillId="0" borderId="0" xfId="0" applyNumberFormat="1" applyFont="1"/>
    <xf numFmtId="164" fontId="31" fillId="8" borderId="3" xfId="0" applyNumberFormat="1" applyFont="1" applyFill="1" applyBorder="1"/>
    <xf numFmtId="0" fontId="31" fillId="8" borderId="3" xfId="0" applyFont="1" applyFill="1" applyBorder="1"/>
    <xf numFmtId="0" fontId="31" fillId="8" borderId="4" xfId="0" applyFont="1" applyFill="1" applyBorder="1"/>
    <xf numFmtId="164" fontId="30" fillId="8" borderId="3" xfId="0" applyNumberFormat="1" applyFont="1" applyFill="1" applyBorder="1"/>
    <xf numFmtId="0" fontId="30" fillId="8" borderId="3" xfId="0" applyFont="1" applyFill="1" applyBorder="1"/>
    <xf numFmtId="0" fontId="30" fillId="8" borderId="7" xfId="0" applyFont="1" applyFill="1" applyBorder="1"/>
    <xf numFmtId="1" fontId="1" fillId="2" borderId="0" xfId="0" applyNumberFormat="1" applyFont="1" applyFill="1"/>
    <xf numFmtId="0" fontId="32" fillId="2" borderId="0" xfId="0" applyFont="1" applyFill="1"/>
    <xf numFmtId="1" fontId="26" fillId="2" borderId="0" xfId="0" applyNumberFormat="1" applyFont="1" applyFill="1"/>
    <xf numFmtId="2" fontId="26" fillId="2" borderId="0" xfId="0" applyNumberFormat="1" applyFont="1" applyFill="1"/>
    <xf numFmtId="1" fontId="26" fillId="0" borderId="0" xfId="0" applyNumberFormat="1" applyFont="1"/>
    <xf numFmtId="2" fontId="26" fillId="0" borderId="0" xfId="0" applyNumberFormat="1" applyFont="1"/>
    <xf numFmtId="164" fontId="26" fillId="0" borderId="0" xfId="0" applyNumberFormat="1" applyFont="1"/>
    <xf numFmtId="164" fontId="12" fillId="9" borderId="3" xfId="0" applyNumberFormat="1" applyFont="1" applyFill="1" applyBorder="1"/>
    <xf numFmtId="0" fontId="12" fillId="9" borderId="3" xfId="0" applyFont="1" applyFill="1" applyBorder="1"/>
    <xf numFmtId="0" fontId="12" fillId="9" borderId="4" xfId="0" applyFont="1" applyFill="1" applyBorder="1"/>
    <xf numFmtId="164" fontId="15" fillId="9" borderId="3" xfId="0" applyNumberFormat="1" applyFont="1" applyFill="1" applyBorder="1"/>
    <xf numFmtId="0" fontId="15" fillId="9" borderId="3" xfId="0" applyFont="1" applyFill="1" applyBorder="1"/>
    <xf numFmtId="0" fontId="15" fillId="9" borderId="7" xfId="0" applyFont="1" applyFill="1" applyBorder="1"/>
    <xf numFmtId="0" fontId="0" fillId="9" borderId="5" xfId="0" applyFont="1" applyFill="1" applyBorder="1" applyAlignment="1">
      <alignment horizontal="center" vertical="center" textRotation="180" wrapText="1"/>
    </xf>
    <xf numFmtId="0" fontId="0" fillId="9" borderId="3" xfId="0" applyFont="1" applyFill="1" applyBorder="1" applyAlignment="1">
      <alignment horizontal="center" vertical="center" textRotation="180" wrapText="1"/>
    </xf>
    <xf numFmtId="0" fontId="0" fillId="9" borderId="6" xfId="0" applyFont="1" applyFill="1" applyBorder="1" applyAlignment="1">
      <alignment horizontal="center" vertical="center" textRotation="180" wrapText="1"/>
    </xf>
    <xf numFmtId="0" fontId="0" fillId="9" borderId="5" xfId="0" applyFill="1" applyBorder="1" applyAlignment="1">
      <alignment horizontal="center" vertical="center" textRotation="180" wrapText="1"/>
    </xf>
    <xf numFmtId="0" fontId="0" fillId="9" borderId="3" xfId="0" applyFill="1" applyBorder="1" applyAlignment="1">
      <alignment horizontal="center" vertical="center" textRotation="180" wrapText="1"/>
    </xf>
    <xf numFmtId="0" fontId="0" fillId="9" borderId="6" xfId="0" applyFill="1" applyBorder="1" applyAlignment="1">
      <alignment horizontal="center" vertical="center" textRotation="180" wrapText="1"/>
    </xf>
    <xf numFmtId="0" fontId="20" fillId="0" borderId="0" xfId="4"/>
    <xf numFmtId="0" fontId="5" fillId="5" borderId="0" xfId="3" applyBorder="1"/>
    <xf numFmtId="0" fontId="21" fillId="0" borderId="8" xfId="5"/>
    <xf numFmtId="0" fontId="22" fillId="0" borderId="9" xfId="6"/>
    <xf numFmtId="0" fontId="23" fillId="0" borderId="10" xfId="7" applyAlignment="1">
      <alignment horizontal="left" vertical="center"/>
    </xf>
    <xf numFmtId="0" fontId="0" fillId="8" borderId="5" xfId="0" applyFill="1" applyBorder="1" applyAlignment="1">
      <alignment horizontal="center" vertical="center" textRotation="180" wrapText="1"/>
    </xf>
    <xf numFmtId="0" fontId="0" fillId="8" borderId="3" xfId="0" applyFill="1" applyBorder="1" applyAlignment="1">
      <alignment horizontal="center" vertical="center" textRotation="180" wrapText="1"/>
    </xf>
    <xf numFmtId="0" fontId="0" fillId="8" borderId="6" xfId="0" applyFill="1" applyBorder="1" applyAlignment="1">
      <alignment horizontal="center" vertical="center" textRotation="180" wrapText="1"/>
    </xf>
    <xf numFmtId="0" fontId="35" fillId="2" borderId="0" xfId="0" applyFont="1" applyFill="1"/>
    <xf numFmtId="1" fontId="15" fillId="2" borderId="0" xfId="0" applyNumberFormat="1" applyFont="1" applyFill="1"/>
    <xf numFmtId="2" fontId="15" fillId="2" borderId="0" xfId="0" applyNumberFormat="1" applyFont="1" applyFill="1"/>
    <xf numFmtId="0" fontId="15" fillId="0" borderId="0" xfId="0" applyFont="1"/>
    <xf numFmtId="1" fontId="15" fillId="0" borderId="0" xfId="0" applyNumberFormat="1" applyFont="1"/>
    <xf numFmtId="2" fontId="15" fillId="0" borderId="0" xfId="0" applyNumberFormat="1" applyFont="1"/>
    <xf numFmtId="164" fontId="15" fillId="0" borderId="0" xfId="0" applyNumberFormat="1" applyFont="1"/>
  </cellXfs>
  <cellStyles count="10">
    <cellStyle name="20% - Colore 1" xfId="3" builtinId="30"/>
    <cellStyle name="20% - Colore 2" xfId="8" builtinId="34"/>
    <cellStyle name="20% - Colore 6" xfId="9" builtinId="50"/>
    <cellStyle name="Neutrale" xfId="2" builtinId="28"/>
    <cellStyle name="Normale" xfId="0" builtinId="0"/>
    <cellStyle name="Nota" xfId="1" builtinId="10"/>
    <cellStyle name="Titolo" xfId="4" builtinId="15"/>
    <cellStyle name="Titolo 1" xfId="5" builtinId="16"/>
    <cellStyle name="Titolo 2" xfId="6" builtinId="17"/>
    <cellStyle name="Titolo 3" xfId="7" builtinId="18"/>
  </cellStyles>
  <dxfs count="66">
    <dxf>
      <font>
        <strike val="0"/>
        <outline val="0"/>
        <shadow val="0"/>
        <u val="none"/>
        <sz val="11"/>
        <color rgb="FF00B05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00B05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00B05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8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8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11"/>
        <color theme="8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8"/>
        <name val="Calibri"/>
        <family val="2"/>
        <scheme val="minor"/>
      </font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/>
        <name val="Calibri"/>
        <family val="2"/>
        <scheme val="minor"/>
      </font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</dxf>
    <dxf>
      <alignment horizontal="center" vertical="bottom" textRotation="0" wrapText="0" indent="0" justifyLastLine="0" shrinkToFit="0" readingOrder="0"/>
    </dxf>
    <dxf>
      <numFmt numFmtId="21" formatCode="dd\-mmm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00B05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00B05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00B05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8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8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11"/>
        <color theme="8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8"/>
        <name val="Calibri"/>
        <family val="2"/>
        <scheme val="minor"/>
      </font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/>
        <name val="Calibri"/>
        <family val="2"/>
        <scheme val="minor"/>
      </font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</dxf>
    <dxf>
      <alignment horizontal="center" vertical="bottom" textRotation="0" wrapText="0" indent="0" justifyLastLine="0" shrinkToFit="0" readingOrder="0"/>
    </dxf>
    <dxf>
      <numFmt numFmtId="21" formatCode="dd\-mmm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alcChain" Target="calcChain.xml"/><Relationship Id="rId5" Type="http://schemas.openxmlformats.org/officeDocument/2006/relationships/connections" Target="connections.xml"/><Relationship Id="rId10" Type="http://schemas.microsoft.com/office/2017/10/relationships/person" Target="persons/person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Italy Confirmed Cases</a:t>
            </a:r>
          </a:p>
          <a:p>
            <a:pPr>
              <a:defRPr/>
            </a:pPr>
            <a:r>
              <a:rPr lang="it-IT"/>
              <a:t>Cumulative Cases and Deaths - Power</a:t>
            </a:r>
            <a:r>
              <a:rPr lang="it-IT" baseline="0"/>
              <a:t> law w/ Exp. cut-off model fit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'Cumul_confirmed - Gompertz'!$D$6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strRef>
              <c:f>'Cumul_confirmed - Gompertz'!$C$7:$C$70</c:f>
              <c:strCache>
                <c:ptCount val="64"/>
                <c:pt idx="0">
                  <c:v>Day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</c:strCache>
            </c:strRef>
          </c:xVal>
          <c:yVal>
            <c:numRef>
              <c:f>'Cumul_confirmed - Gompertz'!$D$7:$D$70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229</c:v>
                </c:pt>
                <c:pt idx="2">
                  <c:v>322</c:v>
                </c:pt>
                <c:pt idx="3">
                  <c:v>400</c:v>
                </c:pt>
                <c:pt idx="4">
                  <c:v>650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15113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80539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124632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143626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DE-4886-887F-F71EDE298C94}"/>
            </c:ext>
          </c:extLst>
        </c:ser>
        <c:ser>
          <c:idx val="1"/>
          <c:order val="1"/>
          <c:tx>
            <c:strRef>
              <c:f>'Cumul_confirmed - Gompertz'!$E$6</c:f>
              <c:strCache>
                <c:ptCount val="1"/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'Cumul_confirmed - Gompertz'!$C$7:$C$70</c:f>
              <c:strCache>
                <c:ptCount val="64"/>
                <c:pt idx="0">
                  <c:v>Day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</c:strCache>
            </c:strRef>
          </c:xVal>
          <c:yVal>
            <c:numRef>
              <c:f>'Cumul_confirmed - Gompertz'!$E$7:$E$70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221</c:v>
                </c:pt>
                <c:pt idx="2">
                  <c:v>93</c:v>
                </c:pt>
                <c:pt idx="3">
                  <c:v>78</c:v>
                </c:pt>
                <c:pt idx="4">
                  <c:v>250</c:v>
                </c:pt>
                <c:pt idx="5">
                  <c:v>238</c:v>
                </c:pt>
                <c:pt idx="6">
                  <c:v>240</c:v>
                </c:pt>
                <c:pt idx="7">
                  <c:v>566</c:v>
                </c:pt>
                <c:pt idx="8">
                  <c:v>342</c:v>
                </c:pt>
                <c:pt idx="9">
                  <c:v>466</c:v>
                </c:pt>
                <c:pt idx="10">
                  <c:v>587</c:v>
                </c:pt>
                <c:pt idx="11">
                  <c:v>769</c:v>
                </c:pt>
                <c:pt idx="12">
                  <c:v>778</c:v>
                </c:pt>
                <c:pt idx="13">
                  <c:v>1247</c:v>
                </c:pt>
                <c:pt idx="14">
                  <c:v>1492</c:v>
                </c:pt>
                <c:pt idx="15">
                  <c:v>1797</c:v>
                </c:pt>
                <c:pt idx="16">
                  <c:v>977</c:v>
                </c:pt>
                <c:pt idx="17">
                  <c:v>2313</c:v>
                </c:pt>
                <c:pt idx="18">
                  <c:v>2651</c:v>
                </c:pt>
                <c:pt idx="19">
                  <c:v>2547</c:v>
                </c:pt>
                <c:pt idx="20">
                  <c:v>3497</c:v>
                </c:pt>
                <c:pt idx="21">
                  <c:v>3590</c:v>
                </c:pt>
                <c:pt idx="22">
                  <c:v>3233</c:v>
                </c:pt>
                <c:pt idx="23">
                  <c:v>3526</c:v>
                </c:pt>
                <c:pt idx="24">
                  <c:v>4207</c:v>
                </c:pt>
                <c:pt idx="25">
                  <c:v>5322</c:v>
                </c:pt>
                <c:pt idx="26">
                  <c:v>5986</c:v>
                </c:pt>
                <c:pt idx="27">
                  <c:v>6557</c:v>
                </c:pt>
                <c:pt idx="28">
                  <c:v>5560</c:v>
                </c:pt>
                <c:pt idx="29">
                  <c:v>4789</c:v>
                </c:pt>
                <c:pt idx="30">
                  <c:v>5249</c:v>
                </c:pt>
                <c:pt idx="31">
                  <c:v>5210</c:v>
                </c:pt>
                <c:pt idx="32">
                  <c:v>6153</c:v>
                </c:pt>
                <c:pt idx="33">
                  <c:v>5959</c:v>
                </c:pt>
                <c:pt idx="34">
                  <c:v>5974</c:v>
                </c:pt>
                <c:pt idx="35">
                  <c:v>5217</c:v>
                </c:pt>
                <c:pt idx="36">
                  <c:v>4050</c:v>
                </c:pt>
                <c:pt idx="37">
                  <c:v>4053</c:v>
                </c:pt>
                <c:pt idx="38">
                  <c:v>4782</c:v>
                </c:pt>
                <c:pt idx="39">
                  <c:v>4668</c:v>
                </c:pt>
                <c:pt idx="40">
                  <c:v>4585</c:v>
                </c:pt>
                <c:pt idx="41">
                  <c:v>4805</c:v>
                </c:pt>
                <c:pt idx="42">
                  <c:v>4316</c:v>
                </c:pt>
                <c:pt idx="43">
                  <c:v>3599</c:v>
                </c:pt>
                <c:pt idx="44">
                  <c:v>3039</c:v>
                </c:pt>
                <c:pt idx="45">
                  <c:v>3836</c:v>
                </c:pt>
                <c:pt idx="46">
                  <c:v>4204</c:v>
                </c:pt>
                <c:pt idx="47">
                  <c:v>3951</c:v>
                </c:pt>
                <c:pt idx="48">
                  <c:v>4694</c:v>
                </c:pt>
                <c:pt idx="49">
                  <c:v>4092</c:v>
                </c:pt>
                <c:pt idx="50">
                  <c:v>3153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DE-4886-887F-F71EDE298C94}"/>
            </c:ext>
          </c:extLst>
        </c:ser>
        <c:ser>
          <c:idx val="2"/>
          <c:order val="2"/>
          <c:tx>
            <c:strRef>
              <c:f>'Cumul_confirmed - Gompertz'!$F$6</c:f>
              <c:strCache>
                <c:ptCount val="1"/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'Cumul_confirmed - Gompertz'!$C$7:$C$70</c:f>
              <c:strCache>
                <c:ptCount val="64"/>
                <c:pt idx="0">
                  <c:v>Day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</c:strCache>
            </c:strRef>
          </c:xVal>
          <c:yVal>
            <c:numRef>
              <c:f>'Cumul_confirmed - Gompertz'!$F$7:$F$70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229</c:v>
                </c:pt>
                <c:pt idx="2">
                  <c:v>322</c:v>
                </c:pt>
                <c:pt idx="3">
                  <c:v>400</c:v>
                </c:pt>
                <c:pt idx="4">
                  <c:v>650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15113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80539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124632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143626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DE-4886-887F-F71EDE298C94}"/>
            </c:ext>
          </c:extLst>
        </c:ser>
        <c:ser>
          <c:idx val="3"/>
          <c:order val="3"/>
          <c:tx>
            <c:strRef>
              <c:f>'Cumul_confirmed - Gompertz'!$G$6</c:f>
              <c:strCache>
                <c:ptCount val="1"/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'Cumul_confirmed - Gompertz'!$C$7:$C$70</c:f>
              <c:strCache>
                <c:ptCount val="64"/>
                <c:pt idx="0">
                  <c:v>Day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</c:strCache>
            </c:strRef>
          </c:xVal>
          <c:yVal>
            <c:numRef>
              <c:f>'Cumul_confirmed - Gompertz'!$G$7:$G$70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25.577256558148914</c:v>
                </c:pt>
                <c:pt idx="2">
                  <c:v>48.127592870918321</c:v>
                </c:pt>
                <c:pt idx="3">
                  <c:v>86.616900640943882</c:v>
                </c:pt>
                <c:pt idx="4">
                  <c:v>149.56869078042106</c:v>
                </c:pt>
                <c:pt idx="5">
                  <c:v>248.5270605349148</c:v>
                </c:pt>
                <c:pt idx="6">
                  <c:v>398.45372909558449</c:v>
                </c:pt>
                <c:pt idx="7">
                  <c:v>617.94067783470348</c:v>
                </c:pt>
                <c:pt idx="8">
                  <c:v>929.17349036004475</c:v>
                </c:pt>
                <c:pt idx="9">
                  <c:v>1357.603219604204</c:v>
                </c:pt>
                <c:pt idx="10">
                  <c:v>1931.3157519875299</c:v>
                </c:pt>
                <c:pt idx="11">
                  <c:v>2680.1221261073588</c:v>
                </c:pt>
                <c:pt idx="12">
                  <c:v>3634.425517563388</c:v>
                </c:pt>
                <c:pt idx="13">
                  <c:v>4823.9457290044629</c:v>
                </c:pt>
                <c:pt idx="14">
                  <c:v>6276.3967146554278</c:v>
                </c:pt>
                <c:pt idx="15">
                  <c:v>8016.2156255800492</c:v>
                </c:pt>
                <c:pt idx="16">
                  <c:v>10063.433755753209</c:v>
                </c:pt>
                <c:pt idx="17">
                  <c:v>12432.76281288702</c:v>
                </c:pt>
                <c:pt idx="18">
                  <c:v>15132.94726154727</c:v>
                </c:pt>
                <c:pt idx="19">
                  <c:v>18166.408477388894</c:v>
                </c:pt>
                <c:pt idx="20">
                  <c:v>21529.182201146901</c:v>
                </c:pt>
                <c:pt idx="21">
                  <c:v>25211.129705982854</c:v>
                </c:pt>
                <c:pt idx="22">
                  <c:v>29196.386754718893</c:v>
                </c:pt>
                <c:pt idx="23">
                  <c:v>33464.003526984117</c:v>
                </c:pt>
                <c:pt idx="24">
                  <c:v>37988.723201363435</c:v>
                </c:pt>
                <c:pt idx="25">
                  <c:v>42741.846192360237</c:v>
                </c:pt>
                <c:pt idx="26">
                  <c:v>47692.130231004034</c:v>
                </c:pt>
                <c:pt idx="27">
                  <c:v>52806.682456220762</c:v>
                </c:pt>
                <c:pt idx="28">
                  <c:v>58051.80737300207</c:v>
                </c:pt>
                <c:pt idx="29">
                  <c:v>63393.782970125125</c:v>
                </c:pt>
                <c:pt idx="30">
                  <c:v>68799.545691244086</c:v>
                </c:pt>
                <c:pt idx="31">
                  <c:v>74237.272739251086</c:v>
                </c:pt>
                <c:pt idx="32">
                  <c:v>79676.856985222621</c:v>
                </c:pt>
                <c:pt idx="33">
                  <c:v>85090.275346612354</c:v>
                </c:pt>
                <c:pt idx="34">
                  <c:v>90451.855833976413</c:v>
                </c:pt>
                <c:pt idx="35">
                  <c:v>95738.451586957133</c:v>
                </c:pt>
                <c:pt idx="36">
                  <c:v>100929.53224542168</c:v>
                </c:pt>
                <c:pt idx="37">
                  <c:v>106007.20408872546</c:v>
                </c:pt>
                <c:pt idx="38">
                  <c:v>110956.17070038547</c:v>
                </c:pt>
                <c:pt idx="39">
                  <c:v>115763.64565169488</c:v>
                </c:pt>
                <c:pt idx="40">
                  <c:v>120419.22800794897</c:v>
                </c:pt>
                <c:pt idx="41">
                  <c:v>124914.75048702143</c:v>
                </c:pt>
                <c:pt idx="42">
                  <c:v>129244.10896075536</c:v>
                </c:pt>
                <c:pt idx="43">
                  <c:v>133403.08077984152</c:v>
                </c:pt>
                <c:pt idx="44">
                  <c:v>137389.13819477771</c:v>
                </c:pt>
                <c:pt idx="45">
                  <c:v>141201.26199120883</c:v>
                </c:pt>
                <c:pt idx="46">
                  <c:v>144839.75939236872</c:v>
                </c:pt>
                <c:pt idx="47">
                  <c:v>148306.08932541375</c:v>
                </c:pt>
                <c:pt idx="48">
                  <c:v>151602.69731214168</c:v>
                </c:pt>
                <c:pt idx="49">
                  <c:v>154732.86152968468</c:v>
                </c:pt>
                <c:pt idx="50">
                  <c:v>157700.55098915059</c:v>
                </c:pt>
                <c:pt idx="51">
                  <c:v>160510.29629183281</c:v>
                </c:pt>
                <c:pt idx="52">
                  <c:v>163167.07303313405</c:v>
                </c:pt>
                <c:pt idx="53">
                  <c:v>165676.19762217428</c:v>
                </c:pt>
                <c:pt idx="54">
                  <c:v>168043.23505832758</c:v>
                </c:pt>
                <c:pt idx="55">
                  <c:v>170273.91804310755</c:v>
                </c:pt>
                <c:pt idx="56">
                  <c:v>172374.0766960984</c:v>
                </c:pt>
                <c:pt idx="57">
                  <c:v>174349.57807718255</c:v>
                </c:pt>
                <c:pt idx="58">
                  <c:v>176206.2746854244</c:v>
                </c:pt>
                <c:pt idx="59">
                  <c:v>177949.9611000572</c:v>
                </c:pt>
                <c:pt idx="60">
                  <c:v>179586.3379446108</c:v>
                </c:pt>
                <c:pt idx="61">
                  <c:v>181120.98238588742</c:v>
                </c:pt>
                <c:pt idx="62">
                  <c:v>182559.32442075922</c:v>
                </c:pt>
                <c:pt idx="63">
                  <c:v>183906.62825199109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BDE-4886-887F-F71EDE298C94}"/>
            </c:ext>
          </c:extLst>
        </c:ser>
        <c:ser>
          <c:idx val="4"/>
          <c:order val="4"/>
          <c:tx>
            <c:strRef>
              <c:f>'Cumul_confirmed - Gompertz'!$H$6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yVal>
            <c:numRef>
              <c:f>'Cumul_confirmed - Gompertz'!$H$7:$H$70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16.76619387781767</c:v>
                </c:pt>
                <c:pt idx="2">
                  <c:v>29.326746300774978</c:v>
                </c:pt>
                <c:pt idx="3">
                  <c:v>49.063847120651957</c:v>
                </c:pt>
                <c:pt idx="4">
                  <c:v>78.756946272744955</c:v>
                </c:pt>
                <c:pt idx="5">
                  <c:v>121.64970969740814</c:v>
                </c:pt>
                <c:pt idx="6">
                  <c:v>181.30279810807014</c:v>
                </c:pt>
                <c:pt idx="7">
                  <c:v>261.37413789411426</c:v>
                </c:pt>
                <c:pt idx="8">
                  <c:v>365.34389670050433</c:v>
                </c:pt>
                <c:pt idx="9">
                  <c:v>496.21183980892084</c:v>
                </c:pt>
                <c:pt idx="10">
                  <c:v>656.20081174505128</c:v>
                </c:pt>
                <c:pt idx="11">
                  <c:v>846.50062318094228</c:v>
                </c:pt>
                <c:pt idx="12">
                  <c:v>1067.0817404258862</c:v>
                </c:pt>
                <c:pt idx="13">
                  <c:v>1316.5990761749904</c:v>
                </c:pt>
                <c:pt idx="14">
                  <c:v>1592.3947483089371</c:v>
                </c:pt>
                <c:pt idx="15">
                  <c:v>1890.5969730845879</c:v>
                </c:pt>
                <c:pt idx="16">
                  <c:v>2206.3020937589085</c:v>
                </c:pt>
                <c:pt idx="17">
                  <c:v>2533.8193642527394</c:v>
                </c:pt>
                <c:pt idx="18">
                  <c:v>2866.9540895321479</c:v>
                </c:pt>
                <c:pt idx="19">
                  <c:v>3199.3040250723498</c:v>
                </c:pt>
                <c:pt idx="20">
                  <c:v>3524.5460383569366</c:v>
                </c:pt>
                <c:pt idx="21">
                  <c:v>3836.6941398404656</c:v>
                </c:pt>
                <c:pt idx="22">
                  <c:v>4130.3152167953949</c:v>
                </c:pt>
                <c:pt idx="23">
                  <c:v>4400.6943338460978</c:v>
                </c:pt>
                <c:pt idx="24">
                  <c:v>4643.9466442858147</c:v>
                </c:pt>
                <c:pt idx="25">
                  <c:v>4857.0773383495443</c:v>
                </c:pt>
                <c:pt idx="26">
                  <c:v>5037.9943968491807</c:v>
                </c:pt>
                <c:pt idx="27">
                  <c:v>5185.4811567458501</c:v>
                </c:pt>
                <c:pt idx="28">
                  <c:v>5299.1368984068476</c:v>
                </c:pt>
                <c:pt idx="29">
                  <c:v>5379.2939872692614</c:v>
                </c:pt>
                <c:pt idx="30">
                  <c:v>5426.9197428674006</c:v>
                </c:pt>
                <c:pt idx="31">
                  <c:v>5443.5103715552286</c:v>
                </c:pt>
                <c:pt idx="32">
                  <c:v>5430.9831761005362</c:v>
                </c:pt>
                <c:pt idx="33">
                  <c:v>5391.5720061783841</c:v>
                </c:pt>
                <c:pt idx="34">
                  <c:v>5327.7296631617346</c:v>
                </c:pt>
                <c:pt idx="35">
                  <c:v>5242.0398086824134</c:v>
                </c:pt>
                <c:pt idx="36">
                  <c:v>5137.1399045945191</c:v>
                </c:pt>
                <c:pt idx="37">
                  <c:v>5015.6558603730027</c:v>
                </c:pt>
                <c:pt idx="38">
                  <c:v>4880.1483898601018</c:v>
                </c:pt>
                <c:pt idx="39">
                  <c:v>4733.0705750495772</c:v>
                </c:pt>
                <c:pt idx="40">
                  <c:v>4576.7357832233738</c:v>
                </c:pt>
                <c:pt idx="41">
                  <c:v>4413.2948630595956</c:v>
                </c:pt>
                <c:pt idx="42">
                  <c:v>4244.7214313242521</c:v>
                </c:pt>
                <c:pt idx="43">
                  <c:v>4072.8040309470907</c:v>
                </c:pt>
                <c:pt idx="44">
                  <c:v>3899.1439721506463</c:v>
                </c:pt>
                <c:pt idx="45">
                  <c:v>3725.1577421452093</c:v>
                </c:pt>
                <c:pt idx="46">
                  <c:v>3552.0829701551588</c:v>
                </c:pt>
                <c:pt idx="47">
                  <c:v>3380.9870507698779</c:v>
                </c:pt>
                <c:pt idx="48">
                  <c:v>3212.7776502856364</c:v>
                </c:pt>
                <c:pt idx="49">
                  <c:v>3048.2144408472295</c:v>
                </c:pt>
                <c:pt idx="50">
                  <c:v>2887.9215209857275</c:v>
                </c:pt>
                <c:pt idx="51">
                  <c:v>2732.4000855014697</c:v>
                </c:pt>
                <c:pt idx="52">
                  <c:v>2582.0410008444023</c:v>
                </c:pt>
                <c:pt idx="53">
                  <c:v>2437.1370235086715</c:v>
                </c:pt>
                <c:pt idx="54">
                  <c:v>2297.8944685383267</c:v>
                </c:pt>
                <c:pt idx="55">
                  <c:v>2164.4441935958857</c:v>
                </c:pt>
                <c:pt idx="56">
                  <c:v>2036.8518120564111</c:v>
                </c:pt>
                <c:pt idx="57">
                  <c:v>1915.1270873170238</c:v>
                </c:pt>
                <c:pt idx="58">
                  <c:v>1799.2324910890638</c:v>
                </c:pt>
                <c:pt idx="59">
                  <c:v>1689.0909320005703</c:v>
                </c:pt>
                <c:pt idx="60">
                  <c:v>1584.5926784616647</c:v>
                </c:pt>
                <c:pt idx="61">
                  <c:v>1485.6015124332632</c:v>
                </c:pt>
                <c:pt idx="62">
                  <c:v>1391.9601593882323</c:v>
                </c:pt>
                <c:pt idx="63">
                  <c:v>1303.495045154061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BDE-4886-887F-F71EDE298C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scatterChart>
        <c:scatterStyle val="smoothMarker"/>
        <c:varyColors val="0"/>
        <c:ser>
          <c:idx val="5"/>
          <c:order val="5"/>
          <c:tx>
            <c:strRef>
              <c:f>'Cumul_confirmed - Gompertz'!$I$6</c:f>
              <c:strCache>
                <c:ptCount val="1"/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Gompertz'!$I$7:$I$70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25.577256558148914</c:v>
                </c:pt>
                <c:pt idx="2">
                  <c:v>48.127592870918321</c:v>
                </c:pt>
                <c:pt idx="3">
                  <c:v>86.616900640943882</c:v>
                </c:pt>
                <c:pt idx="4">
                  <c:v>149.56869078042106</c:v>
                </c:pt>
                <c:pt idx="5">
                  <c:v>248.5270605349148</c:v>
                </c:pt>
                <c:pt idx="6">
                  <c:v>398.45372909558449</c:v>
                </c:pt>
                <c:pt idx="7">
                  <c:v>617.94067783470348</c:v>
                </c:pt>
                <c:pt idx="8">
                  <c:v>929.17349036004475</c:v>
                </c:pt>
                <c:pt idx="9">
                  <c:v>1357.603219604204</c:v>
                </c:pt>
                <c:pt idx="10">
                  <c:v>1931.3157519875299</c:v>
                </c:pt>
                <c:pt idx="11">
                  <c:v>2680.1221261073588</c:v>
                </c:pt>
                <c:pt idx="12">
                  <c:v>3634.425517563388</c:v>
                </c:pt>
                <c:pt idx="13">
                  <c:v>4823.9457290044629</c:v>
                </c:pt>
                <c:pt idx="14">
                  <c:v>6276.3967146554278</c:v>
                </c:pt>
                <c:pt idx="15">
                  <c:v>8016.2156255800492</c:v>
                </c:pt>
                <c:pt idx="16">
                  <c:v>10063.433755753209</c:v>
                </c:pt>
                <c:pt idx="17">
                  <c:v>12432.76281288702</c:v>
                </c:pt>
                <c:pt idx="18">
                  <c:v>15132.94726154727</c:v>
                </c:pt>
                <c:pt idx="19">
                  <c:v>18166.408477388894</c:v>
                </c:pt>
                <c:pt idx="20">
                  <c:v>21529.182201146901</c:v>
                </c:pt>
                <c:pt idx="21">
                  <c:v>25211.129705982854</c:v>
                </c:pt>
                <c:pt idx="22">
                  <c:v>29196.386754718893</c:v>
                </c:pt>
                <c:pt idx="23">
                  <c:v>33464.003526984117</c:v>
                </c:pt>
                <c:pt idx="24">
                  <c:v>37988.723201363435</c:v>
                </c:pt>
                <c:pt idx="25">
                  <c:v>42741.846192360237</c:v>
                </c:pt>
                <c:pt idx="26">
                  <c:v>47692.130231004034</c:v>
                </c:pt>
                <c:pt idx="27">
                  <c:v>52806.682456220762</c:v>
                </c:pt>
                <c:pt idx="28">
                  <c:v>58051.80737300207</c:v>
                </c:pt>
                <c:pt idx="29">
                  <c:v>63393.782970125125</c:v>
                </c:pt>
                <c:pt idx="30">
                  <c:v>68799.545691244086</c:v>
                </c:pt>
                <c:pt idx="31">
                  <c:v>74237.272739251086</c:v>
                </c:pt>
                <c:pt idx="32">
                  <c:v>79676.856985222621</c:v>
                </c:pt>
                <c:pt idx="33">
                  <c:v>85090.275346612354</c:v>
                </c:pt>
                <c:pt idx="34">
                  <c:v>90451.855833976413</c:v>
                </c:pt>
                <c:pt idx="35">
                  <c:v>95738.451586957133</c:v>
                </c:pt>
                <c:pt idx="36">
                  <c:v>100929.53224542168</c:v>
                </c:pt>
                <c:pt idx="37">
                  <c:v>106007.20408872546</c:v>
                </c:pt>
                <c:pt idx="38">
                  <c:v>110956.17070038547</c:v>
                </c:pt>
                <c:pt idx="39">
                  <c:v>115763.64565169488</c:v>
                </c:pt>
                <c:pt idx="40">
                  <c:v>120419.22800794897</c:v>
                </c:pt>
                <c:pt idx="41">
                  <c:v>124914.75048702143</c:v>
                </c:pt>
                <c:pt idx="42">
                  <c:v>129244.10896075536</c:v>
                </c:pt>
                <c:pt idx="43">
                  <c:v>133403.08077984152</c:v>
                </c:pt>
                <c:pt idx="44">
                  <c:v>137389.13819477771</c:v>
                </c:pt>
                <c:pt idx="45">
                  <c:v>141201.26199120883</c:v>
                </c:pt>
                <c:pt idx="46">
                  <c:v>144839.75939236872</c:v>
                </c:pt>
                <c:pt idx="47">
                  <c:v>148306.08932541375</c:v>
                </c:pt>
                <c:pt idx="48">
                  <c:v>151602.69731214168</c:v>
                </c:pt>
                <c:pt idx="49">
                  <c:v>154732.86152968468</c:v>
                </c:pt>
                <c:pt idx="50">
                  <c:v>157700.55098915059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BDE-4886-887F-F71EDE298C94}"/>
            </c:ext>
          </c:extLst>
        </c:ser>
        <c:ser>
          <c:idx val="6"/>
          <c:order val="6"/>
          <c:tx>
            <c:strRef>
              <c:f>'Cumul_confirmed - Gompertz'!$J$6</c:f>
              <c:strCache>
                <c:ptCount val="1"/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Gompertz'!$J$7:$J$70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2240.9243332863507</c:v>
                </c:pt>
                <c:pt idx="2">
                  <c:v>2263.4746695991203</c:v>
                </c:pt>
                <c:pt idx="3">
                  <c:v>2301.9639773691461</c:v>
                </c:pt>
                <c:pt idx="4">
                  <c:v>2364.915767508623</c:v>
                </c:pt>
                <c:pt idx="5">
                  <c:v>2463.8741372631166</c:v>
                </c:pt>
                <c:pt idx="6">
                  <c:v>2613.8008058237865</c:v>
                </c:pt>
                <c:pt idx="7">
                  <c:v>2833.2877545629053</c:v>
                </c:pt>
                <c:pt idx="8">
                  <c:v>3144.5205670882469</c:v>
                </c:pt>
                <c:pt idx="9">
                  <c:v>3572.9502963324057</c:v>
                </c:pt>
                <c:pt idx="10">
                  <c:v>4146.6628287157318</c:v>
                </c:pt>
                <c:pt idx="11">
                  <c:v>4895.4692028355603</c:v>
                </c:pt>
                <c:pt idx="12">
                  <c:v>5849.7725942915895</c:v>
                </c:pt>
                <c:pt idx="13">
                  <c:v>7039.2928057326644</c:v>
                </c:pt>
                <c:pt idx="14">
                  <c:v>8491.7437913836293</c:v>
                </c:pt>
                <c:pt idx="15">
                  <c:v>10231.562702308251</c:v>
                </c:pt>
                <c:pt idx="16">
                  <c:v>12278.78083248141</c:v>
                </c:pt>
                <c:pt idx="17">
                  <c:v>14648.109889615222</c:v>
                </c:pt>
                <c:pt idx="18">
                  <c:v>17348.294338275471</c:v>
                </c:pt>
                <c:pt idx="19">
                  <c:v>20381.755554117095</c:v>
                </c:pt>
                <c:pt idx="20">
                  <c:v>23744.529277875103</c:v>
                </c:pt>
                <c:pt idx="21">
                  <c:v>27426.476782711055</c:v>
                </c:pt>
                <c:pt idx="22">
                  <c:v>31411.733831447094</c:v>
                </c:pt>
                <c:pt idx="23">
                  <c:v>35679.350603712322</c:v>
                </c:pt>
                <c:pt idx="24">
                  <c:v>40204.07027809164</c:v>
                </c:pt>
                <c:pt idx="25">
                  <c:v>44957.193269088442</c:v>
                </c:pt>
                <c:pt idx="26">
                  <c:v>49907.477307732239</c:v>
                </c:pt>
                <c:pt idx="27">
                  <c:v>55022.029532948967</c:v>
                </c:pt>
                <c:pt idx="28">
                  <c:v>60267.154449730275</c:v>
                </c:pt>
                <c:pt idx="29">
                  <c:v>65609.13004685333</c:v>
                </c:pt>
                <c:pt idx="30">
                  <c:v>71014.892767972284</c:v>
                </c:pt>
                <c:pt idx="31">
                  <c:v>76452.619815979284</c:v>
                </c:pt>
                <c:pt idx="32">
                  <c:v>81892.204061950819</c:v>
                </c:pt>
                <c:pt idx="33">
                  <c:v>87305.622423340552</c:v>
                </c:pt>
                <c:pt idx="34">
                  <c:v>92667.202910704611</c:v>
                </c:pt>
                <c:pt idx="35">
                  <c:v>97953.798663685331</c:v>
                </c:pt>
                <c:pt idx="36">
                  <c:v>103144.87932214988</c:v>
                </c:pt>
                <c:pt idx="37">
                  <c:v>108222.55116545365</c:v>
                </c:pt>
                <c:pt idx="38">
                  <c:v>113171.51777711367</c:v>
                </c:pt>
                <c:pt idx="39">
                  <c:v>117978.99272842308</c:v>
                </c:pt>
                <c:pt idx="40">
                  <c:v>122634.57508467717</c:v>
                </c:pt>
                <c:pt idx="41">
                  <c:v>127130.09756374963</c:v>
                </c:pt>
                <c:pt idx="42">
                  <c:v>131459.45603748356</c:v>
                </c:pt>
                <c:pt idx="43">
                  <c:v>135618.42785656973</c:v>
                </c:pt>
                <c:pt idx="44">
                  <c:v>139604.48527150592</c:v>
                </c:pt>
                <c:pt idx="45">
                  <c:v>143416.60906793704</c:v>
                </c:pt>
                <c:pt idx="46">
                  <c:v>147055.10646909694</c:v>
                </c:pt>
                <c:pt idx="47">
                  <c:v>150521.43640214196</c:v>
                </c:pt>
                <c:pt idx="48">
                  <c:v>153818.04438886989</c:v>
                </c:pt>
                <c:pt idx="49">
                  <c:v>156948.2086064129</c:v>
                </c:pt>
                <c:pt idx="50">
                  <c:v>159915.89806587881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BDE-4886-887F-F71EDE298C94}"/>
            </c:ext>
          </c:extLst>
        </c:ser>
        <c:ser>
          <c:idx val="7"/>
          <c:order val="7"/>
          <c:tx>
            <c:strRef>
              <c:f>'Cumul_confirmed - Gompertz'!$K$6</c:f>
              <c:strCache>
                <c:ptCount val="1"/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Gompertz'!$K$7:$K$70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464.77504937915683</c:v>
                </c:pt>
                <c:pt idx="12">
                  <c:v>1419.078440835186</c:v>
                </c:pt>
                <c:pt idx="13">
                  <c:v>2608.598652276261</c:v>
                </c:pt>
                <c:pt idx="14">
                  <c:v>4061.0496379272258</c:v>
                </c:pt>
                <c:pt idx="15">
                  <c:v>5800.8685488518477</c:v>
                </c:pt>
                <c:pt idx="16">
                  <c:v>7848.0866790250075</c:v>
                </c:pt>
                <c:pt idx="17">
                  <c:v>10217.415736158819</c:v>
                </c:pt>
                <c:pt idx="18">
                  <c:v>12917.600184819068</c:v>
                </c:pt>
                <c:pt idx="19">
                  <c:v>15951.061400660692</c:v>
                </c:pt>
                <c:pt idx="20">
                  <c:v>19313.8351244187</c:v>
                </c:pt>
                <c:pt idx="21">
                  <c:v>22995.782629254652</c:v>
                </c:pt>
                <c:pt idx="22">
                  <c:v>26981.039677990691</c:v>
                </c:pt>
                <c:pt idx="23">
                  <c:v>31248.656450255916</c:v>
                </c:pt>
                <c:pt idx="24">
                  <c:v>35773.37612463523</c:v>
                </c:pt>
                <c:pt idx="25">
                  <c:v>40526.499115632032</c:v>
                </c:pt>
                <c:pt idx="26">
                  <c:v>45476.783154275829</c:v>
                </c:pt>
                <c:pt idx="27">
                  <c:v>50591.335379492557</c:v>
                </c:pt>
                <c:pt idx="28">
                  <c:v>55836.460296273865</c:v>
                </c:pt>
                <c:pt idx="29">
                  <c:v>61178.43589339692</c:v>
                </c:pt>
                <c:pt idx="30">
                  <c:v>66584.198614515888</c:v>
                </c:pt>
                <c:pt idx="31">
                  <c:v>72021.925662522888</c:v>
                </c:pt>
                <c:pt idx="32">
                  <c:v>77461.509908494423</c:v>
                </c:pt>
                <c:pt idx="33">
                  <c:v>82874.928269884156</c:v>
                </c:pt>
                <c:pt idx="34">
                  <c:v>88236.508757248215</c:v>
                </c:pt>
                <c:pt idx="35">
                  <c:v>93523.104510228935</c:v>
                </c:pt>
                <c:pt idx="36">
                  <c:v>98714.185168693482</c:v>
                </c:pt>
                <c:pt idx="37">
                  <c:v>103791.85701199726</c:v>
                </c:pt>
                <c:pt idx="38">
                  <c:v>108740.82362365727</c:v>
                </c:pt>
                <c:pt idx="39">
                  <c:v>113548.29857496668</c:v>
                </c:pt>
                <c:pt idx="40">
                  <c:v>118203.88093122077</c:v>
                </c:pt>
                <c:pt idx="41">
                  <c:v>122699.40341029323</c:v>
                </c:pt>
                <c:pt idx="42">
                  <c:v>127028.76188402716</c:v>
                </c:pt>
                <c:pt idx="43">
                  <c:v>131187.73370311331</c:v>
                </c:pt>
                <c:pt idx="44">
                  <c:v>135173.7911180495</c:v>
                </c:pt>
                <c:pt idx="45">
                  <c:v>138985.91491448061</c:v>
                </c:pt>
                <c:pt idx="46">
                  <c:v>142624.41231564051</c:v>
                </c:pt>
                <c:pt idx="47">
                  <c:v>146090.74224868554</c:v>
                </c:pt>
                <c:pt idx="48">
                  <c:v>149387.35023541347</c:v>
                </c:pt>
                <c:pt idx="49">
                  <c:v>152517.51445295647</c:v>
                </c:pt>
                <c:pt idx="50">
                  <c:v>155485.20391242238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BDE-4886-887F-F71EDE298C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effectLst/>
              </a:rPr>
              <a:t>COVID-19 Italy Confirmed Cases</a:t>
            </a:r>
            <a:endParaRPr lang="it-IT">
              <a:effectLst/>
            </a:endParaRPr>
          </a:p>
          <a:p>
            <a:pPr>
              <a:defRPr/>
            </a:pPr>
            <a:r>
              <a:rPr lang="it-IT" sz="1800" b="1" i="0" baseline="0">
                <a:effectLst/>
              </a:rPr>
              <a:t>Cumulative Cases, Recovered and Deaths - Gompertz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14"/>
          <c:order val="12"/>
          <c:tx>
            <c:strRef>
              <c:f>'Cumul_confirmed - Gompertz'!$D$7</c:f>
              <c:strCache>
                <c:ptCount val="1"/>
                <c:pt idx="0">
                  <c:v>Cum_confirmed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0070C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'Cumul_confirmed - Gompertz'!$C$8:$C$78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'Cumul_confirmed - Gompertz'!$D$8:$D$78</c:f>
              <c:numCache>
                <c:formatCode>0</c:formatCode>
                <c:ptCount val="71"/>
                <c:pt idx="0">
                  <c:v>229</c:v>
                </c:pt>
                <c:pt idx="1">
                  <c:v>322</c:v>
                </c:pt>
                <c:pt idx="2">
                  <c:v>400</c:v>
                </c:pt>
                <c:pt idx="3">
                  <c:v>650</c:v>
                </c:pt>
                <c:pt idx="4">
                  <c:v>888</c:v>
                </c:pt>
                <c:pt idx="5">
                  <c:v>1128</c:v>
                </c:pt>
                <c:pt idx="6">
                  <c:v>1694</c:v>
                </c:pt>
                <c:pt idx="7">
                  <c:v>2036</c:v>
                </c:pt>
                <c:pt idx="8">
                  <c:v>2502</c:v>
                </c:pt>
                <c:pt idx="9">
                  <c:v>3089</c:v>
                </c:pt>
                <c:pt idx="10">
                  <c:v>3858</c:v>
                </c:pt>
                <c:pt idx="11">
                  <c:v>4636</c:v>
                </c:pt>
                <c:pt idx="12">
                  <c:v>5883</c:v>
                </c:pt>
                <c:pt idx="13">
                  <c:v>7375</c:v>
                </c:pt>
                <c:pt idx="14">
                  <c:v>9172</c:v>
                </c:pt>
                <c:pt idx="15">
                  <c:v>10149</c:v>
                </c:pt>
                <c:pt idx="16">
                  <c:v>12462</c:v>
                </c:pt>
                <c:pt idx="17">
                  <c:v>15113</c:v>
                </c:pt>
                <c:pt idx="18">
                  <c:v>17660</c:v>
                </c:pt>
                <c:pt idx="19">
                  <c:v>21157</c:v>
                </c:pt>
                <c:pt idx="20">
                  <c:v>24747</c:v>
                </c:pt>
                <c:pt idx="21">
                  <c:v>27980</c:v>
                </c:pt>
                <c:pt idx="22">
                  <c:v>31506</c:v>
                </c:pt>
                <c:pt idx="23">
                  <c:v>35713</c:v>
                </c:pt>
                <c:pt idx="24">
                  <c:v>41035</c:v>
                </c:pt>
                <c:pt idx="25">
                  <c:v>47021</c:v>
                </c:pt>
                <c:pt idx="26">
                  <c:v>53578</c:v>
                </c:pt>
                <c:pt idx="27">
                  <c:v>59138</c:v>
                </c:pt>
                <c:pt idx="28">
                  <c:v>63927</c:v>
                </c:pt>
                <c:pt idx="29">
                  <c:v>69176</c:v>
                </c:pt>
                <c:pt idx="30">
                  <c:v>74386</c:v>
                </c:pt>
                <c:pt idx="31">
                  <c:v>80539</c:v>
                </c:pt>
                <c:pt idx="32">
                  <c:v>86498</c:v>
                </c:pt>
                <c:pt idx="33">
                  <c:v>92472</c:v>
                </c:pt>
                <c:pt idx="34">
                  <c:v>97689</c:v>
                </c:pt>
                <c:pt idx="35">
                  <c:v>101739</c:v>
                </c:pt>
                <c:pt idx="36">
                  <c:v>105792</c:v>
                </c:pt>
                <c:pt idx="37">
                  <c:v>110574</c:v>
                </c:pt>
                <c:pt idx="38">
                  <c:v>115242</c:v>
                </c:pt>
                <c:pt idx="39">
                  <c:v>119827</c:v>
                </c:pt>
                <c:pt idx="40">
                  <c:v>124632</c:v>
                </c:pt>
                <c:pt idx="41">
                  <c:v>128948</c:v>
                </c:pt>
                <c:pt idx="42">
                  <c:v>132547</c:v>
                </c:pt>
                <c:pt idx="43">
                  <c:v>135586</c:v>
                </c:pt>
                <c:pt idx="44">
                  <c:v>139422</c:v>
                </c:pt>
                <c:pt idx="45">
                  <c:v>143626</c:v>
                </c:pt>
                <c:pt idx="46">
                  <c:v>147577</c:v>
                </c:pt>
                <c:pt idx="47">
                  <c:v>152271</c:v>
                </c:pt>
                <c:pt idx="48">
                  <c:v>156363</c:v>
                </c:pt>
                <c:pt idx="49">
                  <c:v>159516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6480-4003-A92A-241054E60060}"/>
            </c:ext>
          </c:extLst>
        </c:ser>
        <c:ser>
          <c:idx val="16"/>
          <c:order val="16"/>
          <c:tx>
            <c:strRef>
              <c:f>'Cumul_confirmed - Gompertz'!$O$7</c:f>
              <c:strCache>
                <c:ptCount val="1"/>
                <c:pt idx="0">
                  <c:v>Cum_recov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B05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'Cumul_confirmed - Gompertz'!$C$8:$C$78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'Cumul_confirmed - Gompertz'!$O$8:$O$78</c:f>
              <c:numCache>
                <c:formatCode>0</c:formatCode>
                <c:ptCount val="7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45</c:v>
                </c:pt>
                <c:pt idx="4">
                  <c:v>46</c:v>
                </c:pt>
                <c:pt idx="5">
                  <c:v>50</c:v>
                </c:pt>
                <c:pt idx="6">
                  <c:v>83</c:v>
                </c:pt>
                <c:pt idx="7">
                  <c:v>149</c:v>
                </c:pt>
                <c:pt idx="8">
                  <c:v>160</c:v>
                </c:pt>
                <c:pt idx="9">
                  <c:v>276</c:v>
                </c:pt>
                <c:pt idx="10">
                  <c:v>414</c:v>
                </c:pt>
                <c:pt idx="11">
                  <c:v>523</c:v>
                </c:pt>
                <c:pt idx="12">
                  <c:v>589</c:v>
                </c:pt>
                <c:pt idx="13">
                  <c:v>622</c:v>
                </c:pt>
                <c:pt idx="14">
                  <c:v>724</c:v>
                </c:pt>
                <c:pt idx="15">
                  <c:v>1004</c:v>
                </c:pt>
                <c:pt idx="16">
                  <c:v>1045</c:v>
                </c:pt>
                <c:pt idx="17">
                  <c:v>1258</c:v>
                </c:pt>
                <c:pt idx="18">
                  <c:v>1439</c:v>
                </c:pt>
                <c:pt idx="19">
                  <c:v>1966</c:v>
                </c:pt>
                <c:pt idx="20">
                  <c:v>2335</c:v>
                </c:pt>
                <c:pt idx="21">
                  <c:v>2749</c:v>
                </c:pt>
                <c:pt idx="22">
                  <c:v>2941</c:v>
                </c:pt>
                <c:pt idx="23">
                  <c:v>4025</c:v>
                </c:pt>
                <c:pt idx="24">
                  <c:v>4440</c:v>
                </c:pt>
                <c:pt idx="25">
                  <c:v>5129</c:v>
                </c:pt>
                <c:pt idx="26">
                  <c:v>6072</c:v>
                </c:pt>
                <c:pt idx="27">
                  <c:v>7024</c:v>
                </c:pt>
                <c:pt idx="28">
                  <c:v>7432</c:v>
                </c:pt>
                <c:pt idx="29">
                  <c:v>8326</c:v>
                </c:pt>
                <c:pt idx="30">
                  <c:v>9362</c:v>
                </c:pt>
                <c:pt idx="31">
                  <c:v>10361</c:v>
                </c:pt>
                <c:pt idx="32">
                  <c:v>10950</c:v>
                </c:pt>
                <c:pt idx="33">
                  <c:v>12384</c:v>
                </c:pt>
                <c:pt idx="34">
                  <c:v>13030</c:v>
                </c:pt>
                <c:pt idx="35">
                  <c:v>14620</c:v>
                </c:pt>
                <c:pt idx="36">
                  <c:v>15729</c:v>
                </c:pt>
                <c:pt idx="37">
                  <c:v>16847</c:v>
                </c:pt>
                <c:pt idx="38">
                  <c:v>18278</c:v>
                </c:pt>
                <c:pt idx="39">
                  <c:v>19758</c:v>
                </c:pt>
                <c:pt idx="40">
                  <c:v>20996</c:v>
                </c:pt>
                <c:pt idx="41">
                  <c:v>21815</c:v>
                </c:pt>
                <c:pt idx="42">
                  <c:v>22837</c:v>
                </c:pt>
                <c:pt idx="43">
                  <c:v>24392</c:v>
                </c:pt>
                <c:pt idx="44">
                  <c:v>26491</c:v>
                </c:pt>
                <c:pt idx="45">
                  <c:v>28470</c:v>
                </c:pt>
                <c:pt idx="46">
                  <c:v>30455</c:v>
                </c:pt>
                <c:pt idx="47">
                  <c:v>32534</c:v>
                </c:pt>
                <c:pt idx="48">
                  <c:v>34211</c:v>
                </c:pt>
                <c:pt idx="49">
                  <c:v>35435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6480-4003-A92A-241054E60060}"/>
            </c:ext>
          </c:extLst>
        </c:ser>
        <c:ser>
          <c:idx val="17"/>
          <c:order val="17"/>
          <c:tx>
            <c:strRef>
              <c:f>'Cumul_confirmed - Gompertz'!$W$7</c:f>
              <c:strCache>
                <c:ptCount val="1"/>
                <c:pt idx="0">
                  <c:v>Cum_deaths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'Cumul_confirmed - Gompertz'!$C$8:$C$78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'Cumul_confirmed - Gompertz'!$W$8:$W$78</c:f>
              <c:numCache>
                <c:formatCode>0</c:formatCode>
                <c:ptCount val="71"/>
                <c:pt idx="0">
                  <c:v>7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34</c:v>
                </c:pt>
                <c:pt idx="7">
                  <c:v>52</c:v>
                </c:pt>
                <c:pt idx="8">
                  <c:v>79</c:v>
                </c:pt>
                <c:pt idx="9">
                  <c:v>107</c:v>
                </c:pt>
                <c:pt idx="10">
                  <c:v>148</c:v>
                </c:pt>
                <c:pt idx="11">
                  <c:v>197</c:v>
                </c:pt>
                <c:pt idx="12">
                  <c:v>233</c:v>
                </c:pt>
                <c:pt idx="13">
                  <c:v>366</c:v>
                </c:pt>
                <c:pt idx="14">
                  <c:v>463</c:v>
                </c:pt>
                <c:pt idx="15">
                  <c:v>631</c:v>
                </c:pt>
                <c:pt idx="16">
                  <c:v>827</c:v>
                </c:pt>
                <c:pt idx="17">
                  <c:v>1016</c:v>
                </c:pt>
                <c:pt idx="18">
                  <c:v>1266</c:v>
                </c:pt>
                <c:pt idx="19">
                  <c:v>1441</c:v>
                </c:pt>
                <c:pt idx="20">
                  <c:v>1809</c:v>
                </c:pt>
                <c:pt idx="21">
                  <c:v>2158</c:v>
                </c:pt>
                <c:pt idx="22">
                  <c:v>2503</c:v>
                </c:pt>
                <c:pt idx="23">
                  <c:v>2978</c:v>
                </c:pt>
                <c:pt idx="24">
                  <c:v>3405</c:v>
                </c:pt>
                <c:pt idx="25">
                  <c:v>4032</c:v>
                </c:pt>
                <c:pt idx="26">
                  <c:v>4825</c:v>
                </c:pt>
                <c:pt idx="27">
                  <c:v>5476</c:v>
                </c:pt>
                <c:pt idx="28">
                  <c:v>6077</c:v>
                </c:pt>
                <c:pt idx="29">
                  <c:v>6820</c:v>
                </c:pt>
                <c:pt idx="30">
                  <c:v>7503</c:v>
                </c:pt>
                <c:pt idx="31">
                  <c:v>8165</c:v>
                </c:pt>
                <c:pt idx="32">
                  <c:v>9134</c:v>
                </c:pt>
                <c:pt idx="33">
                  <c:v>10023</c:v>
                </c:pt>
                <c:pt idx="34">
                  <c:v>10779</c:v>
                </c:pt>
                <c:pt idx="35">
                  <c:v>11591</c:v>
                </c:pt>
                <c:pt idx="36">
                  <c:v>12428</c:v>
                </c:pt>
                <c:pt idx="37">
                  <c:v>13155</c:v>
                </c:pt>
                <c:pt idx="38">
                  <c:v>13915</c:v>
                </c:pt>
                <c:pt idx="39">
                  <c:v>14681</c:v>
                </c:pt>
                <c:pt idx="40">
                  <c:v>15362</c:v>
                </c:pt>
                <c:pt idx="41">
                  <c:v>15887</c:v>
                </c:pt>
                <c:pt idx="42">
                  <c:v>16523</c:v>
                </c:pt>
                <c:pt idx="43">
                  <c:v>17127</c:v>
                </c:pt>
                <c:pt idx="44">
                  <c:v>17669</c:v>
                </c:pt>
                <c:pt idx="45">
                  <c:v>18279</c:v>
                </c:pt>
                <c:pt idx="46">
                  <c:v>18849</c:v>
                </c:pt>
                <c:pt idx="47">
                  <c:v>19468</c:v>
                </c:pt>
                <c:pt idx="48">
                  <c:v>19899</c:v>
                </c:pt>
                <c:pt idx="49">
                  <c:v>20465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6480-4003-A92A-241054E60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'Cumul_confirmed - Gompertz'!$E$7</c15:sqref>
                        </c15:formulaRef>
                      </c:ext>
                    </c:extLst>
                    <c:strCache>
                      <c:ptCount val="1"/>
                      <c:pt idx="0">
                        <c:v>New cases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noFill/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'Cumul_confirmed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'Cumul_confirmed - Gompertz'!$E$8:$E$78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221</c:v>
                      </c:pt>
                      <c:pt idx="1">
                        <c:v>93</c:v>
                      </c:pt>
                      <c:pt idx="2">
                        <c:v>78</c:v>
                      </c:pt>
                      <c:pt idx="3">
                        <c:v>250</c:v>
                      </c:pt>
                      <c:pt idx="4">
                        <c:v>238</c:v>
                      </c:pt>
                      <c:pt idx="5">
                        <c:v>240</c:v>
                      </c:pt>
                      <c:pt idx="6">
                        <c:v>566</c:v>
                      </c:pt>
                      <c:pt idx="7">
                        <c:v>342</c:v>
                      </c:pt>
                      <c:pt idx="8">
                        <c:v>466</c:v>
                      </c:pt>
                      <c:pt idx="9">
                        <c:v>587</c:v>
                      </c:pt>
                      <c:pt idx="10">
                        <c:v>769</c:v>
                      </c:pt>
                      <c:pt idx="11">
                        <c:v>778</c:v>
                      </c:pt>
                      <c:pt idx="12">
                        <c:v>1247</c:v>
                      </c:pt>
                      <c:pt idx="13">
                        <c:v>1492</c:v>
                      </c:pt>
                      <c:pt idx="14">
                        <c:v>1797</c:v>
                      </c:pt>
                      <c:pt idx="15">
                        <c:v>977</c:v>
                      </c:pt>
                      <c:pt idx="16">
                        <c:v>2313</c:v>
                      </c:pt>
                      <c:pt idx="17">
                        <c:v>2651</c:v>
                      </c:pt>
                      <c:pt idx="18">
                        <c:v>2547</c:v>
                      </c:pt>
                      <c:pt idx="19">
                        <c:v>3497</c:v>
                      </c:pt>
                      <c:pt idx="20">
                        <c:v>3590</c:v>
                      </c:pt>
                      <c:pt idx="21">
                        <c:v>3233</c:v>
                      </c:pt>
                      <c:pt idx="22">
                        <c:v>3526</c:v>
                      </c:pt>
                      <c:pt idx="23">
                        <c:v>4207</c:v>
                      </c:pt>
                      <c:pt idx="24">
                        <c:v>5322</c:v>
                      </c:pt>
                      <c:pt idx="25">
                        <c:v>5986</c:v>
                      </c:pt>
                      <c:pt idx="26">
                        <c:v>6557</c:v>
                      </c:pt>
                      <c:pt idx="27">
                        <c:v>5560</c:v>
                      </c:pt>
                      <c:pt idx="28">
                        <c:v>4789</c:v>
                      </c:pt>
                      <c:pt idx="29">
                        <c:v>5249</c:v>
                      </c:pt>
                      <c:pt idx="30">
                        <c:v>5210</c:v>
                      </c:pt>
                      <c:pt idx="31">
                        <c:v>6153</c:v>
                      </c:pt>
                      <c:pt idx="32">
                        <c:v>5959</c:v>
                      </c:pt>
                      <c:pt idx="33">
                        <c:v>5974</c:v>
                      </c:pt>
                      <c:pt idx="34">
                        <c:v>5217</c:v>
                      </c:pt>
                      <c:pt idx="35">
                        <c:v>4050</c:v>
                      </c:pt>
                      <c:pt idx="36">
                        <c:v>4053</c:v>
                      </c:pt>
                      <c:pt idx="37">
                        <c:v>4782</c:v>
                      </c:pt>
                      <c:pt idx="38">
                        <c:v>4668</c:v>
                      </c:pt>
                      <c:pt idx="39">
                        <c:v>4585</c:v>
                      </c:pt>
                      <c:pt idx="40">
                        <c:v>4805</c:v>
                      </c:pt>
                      <c:pt idx="41">
                        <c:v>4316</c:v>
                      </c:pt>
                      <c:pt idx="42">
                        <c:v>3599</c:v>
                      </c:pt>
                      <c:pt idx="43">
                        <c:v>3039</c:v>
                      </c:pt>
                      <c:pt idx="44">
                        <c:v>3836</c:v>
                      </c:pt>
                      <c:pt idx="45">
                        <c:v>4204</c:v>
                      </c:pt>
                      <c:pt idx="46">
                        <c:v>3951</c:v>
                      </c:pt>
                      <c:pt idx="47">
                        <c:v>4694</c:v>
                      </c:pt>
                      <c:pt idx="48">
                        <c:v>4092</c:v>
                      </c:pt>
                      <c:pt idx="49">
                        <c:v>3153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6480-4003-A92A-241054E60060}"/>
                  </c:ext>
                </c:extLst>
              </c15:ser>
            </c15:filteredScatterSeries>
            <c15:filteredScatterSeries>
              <c15:ser>
                <c:idx val="8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Gompertz'!$M$7</c15:sqref>
                        </c15:formulaRef>
                      </c:ext>
                    </c:extLst>
                    <c:strCache>
                      <c:ptCount val="1"/>
                      <c:pt idx="0">
                        <c:v>New_positive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noFill/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Gompertz'!$M$8:$M$78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90</c:v>
                      </c:pt>
                      <c:pt idx="2">
                        <c:v>74</c:v>
                      </c:pt>
                      <c:pt idx="3">
                        <c:v>203</c:v>
                      </c:pt>
                      <c:pt idx="4">
                        <c:v>233</c:v>
                      </c:pt>
                      <c:pt idx="5">
                        <c:v>228</c:v>
                      </c:pt>
                      <c:pt idx="6">
                        <c:v>528</c:v>
                      </c:pt>
                      <c:pt idx="7">
                        <c:v>258</c:v>
                      </c:pt>
                      <c:pt idx="8">
                        <c:v>428</c:v>
                      </c:pt>
                      <c:pt idx="9">
                        <c:v>443</c:v>
                      </c:pt>
                      <c:pt idx="10">
                        <c:v>590</c:v>
                      </c:pt>
                      <c:pt idx="11">
                        <c:v>620</c:v>
                      </c:pt>
                      <c:pt idx="12">
                        <c:v>1145</c:v>
                      </c:pt>
                      <c:pt idx="13">
                        <c:v>1326</c:v>
                      </c:pt>
                      <c:pt idx="14">
                        <c:v>1598</c:v>
                      </c:pt>
                      <c:pt idx="15">
                        <c:v>529</c:v>
                      </c:pt>
                      <c:pt idx="16">
                        <c:v>2076</c:v>
                      </c:pt>
                      <c:pt idx="17">
                        <c:v>2249</c:v>
                      </c:pt>
                      <c:pt idx="18">
                        <c:v>2116</c:v>
                      </c:pt>
                      <c:pt idx="19">
                        <c:v>2795</c:v>
                      </c:pt>
                      <c:pt idx="20">
                        <c:v>2853</c:v>
                      </c:pt>
                      <c:pt idx="21">
                        <c:v>2470</c:v>
                      </c:pt>
                      <c:pt idx="22">
                        <c:v>2989</c:v>
                      </c:pt>
                      <c:pt idx="23">
                        <c:v>2648</c:v>
                      </c:pt>
                      <c:pt idx="24">
                        <c:v>4480</c:v>
                      </c:pt>
                      <c:pt idx="25">
                        <c:v>4670</c:v>
                      </c:pt>
                      <c:pt idx="26">
                        <c:v>4821</c:v>
                      </c:pt>
                      <c:pt idx="27">
                        <c:v>3957</c:v>
                      </c:pt>
                      <c:pt idx="28">
                        <c:v>3780</c:v>
                      </c:pt>
                      <c:pt idx="29">
                        <c:v>3612</c:v>
                      </c:pt>
                      <c:pt idx="30">
                        <c:v>3491</c:v>
                      </c:pt>
                      <c:pt idx="31">
                        <c:v>4492</c:v>
                      </c:pt>
                      <c:pt idx="32">
                        <c:v>4401</c:v>
                      </c:pt>
                      <c:pt idx="33">
                        <c:v>3651</c:v>
                      </c:pt>
                      <c:pt idx="34">
                        <c:v>3815</c:v>
                      </c:pt>
                      <c:pt idx="35">
                        <c:v>1648</c:v>
                      </c:pt>
                      <c:pt idx="36">
                        <c:v>2107</c:v>
                      </c:pt>
                      <c:pt idx="37">
                        <c:v>2937</c:v>
                      </c:pt>
                      <c:pt idx="38">
                        <c:v>2477</c:v>
                      </c:pt>
                      <c:pt idx="39">
                        <c:v>2339</c:v>
                      </c:pt>
                      <c:pt idx="40">
                        <c:v>2886</c:v>
                      </c:pt>
                      <c:pt idx="41">
                        <c:v>2972</c:v>
                      </c:pt>
                      <c:pt idx="42">
                        <c:v>1941</c:v>
                      </c:pt>
                      <c:pt idx="43">
                        <c:v>880</c:v>
                      </c:pt>
                      <c:pt idx="44">
                        <c:v>1195</c:v>
                      </c:pt>
                      <c:pt idx="45">
                        <c:v>1615</c:v>
                      </c:pt>
                      <c:pt idx="46">
                        <c:v>1396</c:v>
                      </c:pt>
                      <c:pt idx="47">
                        <c:v>1996</c:v>
                      </c:pt>
                      <c:pt idx="48">
                        <c:v>1984</c:v>
                      </c:pt>
                      <c:pt idx="49">
                        <c:v>1363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480-4003-A92A-241054E60060}"/>
                  </c:ext>
                </c:extLst>
              </c15:ser>
            </c15:filteredScatterSeries>
            <c15:filteredScatterSeries>
              <c15:ser>
                <c:idx val="10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Gompertz'!$P$7</c15:sqref>
                        </c15:formulaRef>
                      </c:ext>
                    </c:extLst>
                    <c:strCache>
                      <c:ptCount val="1"/>
                      <c:pt idx="0">
                        <c:v>New recovered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B050"/>
                    </a:solidFill>
                    <a:ln w="9525">
                      <a:noFill/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Gompertz'!$P$8:$P$78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1">
                        <c:v>0</c:v>
                      </c:pt>
                      <c:pt idx="2">
                        <c:v>2</c:v>
                      </c:pt>
                      <c:pt idx="3">
                        <c:v>42</c:v>
                      </c:pt>
                      <c:pt idx="4">
                        <c:v>1</c:v>
                      </c:pt>
                      <c:pt idx="5">
                        <c:v>4</c:v>
                      </c:pt>
                      <c:pt idx="6">
                        <c:v>33</c:v>
                      </c:pt>
                      <c:pt idx="7">
                        <c:v>66</c:v>
                      </c:pt>
                      <c:pt idx="8">
                        <c:v>11</c:v>
                      </c:pt>
                      <c:pt idx="9">
                        <c:v>116</c:v>
                      </c:pt>
                      <c:pt idx="10">
                        <c:v>138</c:v>
                      </c:pt>
                      <c:pt idx="11">
                        <c:v>109</c:v>
                      </c:pt>
                      <c:pt idx="12">
                        <c:v>66</c:v>
                      </c:pt>
                      <c:pt idx="13">
                        <c:v>33</c:v>
                      </c:pt>
                      <c:pt idx="14">
                        <c:v>102</c:v>
                      </c:pt>
                      <c:pt idx="15">
                        <c:v>280</c:v>
                      </c:pt>
                      <c:pt idx="16">
                        <c:v>41</c:v>
                      </c:pt>
                      <c:pt idx="17">
                        <c:v>213</c:v>
                      </c:pt>
                      <c:pt idx="18">
                        <c:v>181</c:v>
                      </c:pt>
                      <c:pt idx="19">
                        <c:v>527</c:v>
                      </c:pt>
                      <c:pt idx="20">
                        <c:v>369</c:v>
                      </c:pt>
                      <c:pt idx="21">
                        <c:v>414</c:v>
                      </c:pt>
                      <c:pt idx="22">
                        <c:v>192</c:v>
                      </c:pt>
                      <c:pt idx="23">
                        <c:v>1084</c:v>
                      </c:pt>
                      <c:pt idx="24">
                        <c:v>415</c:v>
                      </c:pt>
                      <c:pt idx="25">
                        <c:v>689</c:v>
                      </c:pt>
                      <c:pt idx="26">
                        <c:v>943</c:v>
                      </c:pt>
                      <c:pt idx="27">
                        <c:v>952</c:v>
                      </c:pt>
                      <c:pt idx="28">
                        <c:v>408</c:v>
                      </c:pt>
                      <c:pt idx="29">
                        <c:v>894</c:v>
                      </c:pt>
                      <c:pt idx="30">
                        <c:v>1036</c:v>
                      </c:pt>
                      <c:pt idx="31">
                        <c:v>999</c:v>
                      </c:pt>
                      <c:pt idx="32">
                        <c:v>589</c:v>
                      </c:pt>
                      <c:pt idx="33">
                        <c:v>1434</c:v>
                      </c:pt>
                      <c:pt idx="34">
                        <c:v>646</c:v>
                      </c:pt>
                      <c:pt idx="35">
                        <c:v>1590</c:v>
                      </c:pt>
                      <c:pt idx="36">
                        <c:v>1109</c:v>
                      </c:pt>
                      <c:pt idx="37">
                        <c:v>1118</c:v>
                      </c:pt>
                      <c:pt idx="38">
                        <c:v>1431</c:v>
                      </c:pt>
                      <c:pt idx="39">
                        <c:v>1480</c:v>
                      </c:pt>
                      <c:pt idx="40">
                        <c:v>1238</c:v>
                      </c:pt>
                      <c:pt idx="41">
                        <c:v>819</c:v>
                      </c:pt>
                      <c:pt idx="42">
                        <c:v>1022</c:v>
                      </c:pt>
                      <c:pt idx="43">
                        <c:v>1555</c:v>
                      </c:pt>
                      <c:pt idx="44">
                        <c:v>2099</c:v>
                      </c:pt>
                      <c:pt idx="45">
                        <c:v>1979</c:v>
                      </c:pt>
                      <c:pt idx="46">
                        <c:v>1985</c:v>
                      </c:pt>
                      <c:pt idx="47">
                        <c:v>2079</c:v>
                      </c:pt>
                      <c:pt idx="48">
                        <c:v>1677</c:v>
                      </c:pt>
                      <c:pt idx="49">
                        <c:v>1224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480-4003-A92A-241054E60060}"/>
                  </c:ext>
                </c:extLst>
              </c15:ser>
            </c15:filteredScatterSeries>
            <c15:filteredScatterSeries>
              <c15:ser>
                <c:idx val="4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Gompertz'!$X$7</c15:sqref>
                        </c15:formulaRef>
                      </c:ext>
                    </c:extLst>
                    <c:strCache>
                      <c:ptCount val="1"/>
                      <c:pt idx="0">
                        <c:v>New deaths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FF0000"/>
                    </a:solidFill>
                    <a:ln w="9525">
                      <a:noFill/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Gompertz'!$X$8:$X$78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1">
                        <c:v>3</c:v>
                      </c:pt>
                      <c:pt idx="2">
                        <c:v>2</c:v>
                      </c:pt>
                      <c:pt idx="3">
                        <c:v>5</c:v>
                      </c:pt>
                      <c:pt idx="4">
                        <c:v>4</c:v>
                      </c:pt>
                      <c:pt idx="5">
                        <c:v>8</c:v>
                      </c:pt>
                      <c:pt idx="6">
                        <c:v>5</c:v>
                      </c:pt>
                      <c:pt idx="7">
                        <c:v>18</c:v>
                      </c:pt>
                      <c:pt idx="8">
                        <c:v>27</c:v>
                      </c:pt>
                      <c:pt idx="9">
                        <c:v>28</c:v>
                      </c:pt>
                      <c:pt idx="10">
                        <c:v>41</c:v>
                      </c:pt>
                      <c:pt idx="11">
                        <c:v>49</c:v>
                      </c:pt>
                      <c:pt idx="12">
                        <c:v>36</c:v>
                      </c:pt>
                      <c:pt idx="13">
                        <c:v>133</c:v>
                      </c:pt>
                      <c:pt idx="14">
                        <c:v>97</c:v>
                      </c:pt>
                      <c:pt idx="15">
                        <c:v>168</c:v>
                      </c:pt>
                      <c:pt idx="16">
                        <c:v>196</c:v>
                      </c:pt>
                      <c:pt idx="17">
                        <c:v>189</c:v>
                      </c:pt>
                      <c:pt idx="18">
                        <c:v>250</c:v>
                      </c:pt>
                      <c:pt idx="19">
                        <c:v>175</c:v>
                      </c:pt>
                      <c:pt idx="20">
                        <c:v>368</c:v>
                      </c:pt>
                      <c:pt idx="21">
                        <c:v>349</c:v>
                      </c:pt>
                      <c:pt idx="22">
                        <c:v>345</c:v>
                      </c:pt>
                      <c:pt idx="23">
                        <c:v>475</c:v>
                      </c:pt>
                      <c:pt idx="24">
                        <c:v>427</c:v>
                      </c:pt>
                      <c:pt idx="25">
                        <c:v>627</c:v>
                      </c:pt>
                      <c:pt idx="26">
                        <c:v>793</c:v>
                      </c:pt>
                      <c:pt idx="27">
                        <c:v>651</c:v>
                      </c:pt>
                      <c:pt idx="28">
                        <c:v>601</c:v>
                      </c:pt>
                      <c:pt idx="29">
                        <c:v>743</c:v>
                      </c:pt>
                      <c:pt idx="30">
                        <c:v>683</c:v>
                      </c:pt>
                      <c:pt idx="31">
                        <c:v>662</c:v>
                      </c:pt>
                      <c:pt idx="32">
                        <c:v>969</c:v>
                      </c:pt>
                      <c:pt idx="33">
                        <c:v>889</c:v>
                      </c:pt>
                      <c:pt idx="34">
                        <c:v>756</c:v>
                      </c:pt>
                      <c:pt idx="35">
                        <c:v>812</c:v>
                      </c:pt>
                      <c:pt idx="36">
                        <c:v>837</c:v>
                      </c:pt>
                      <c:pt idx="37">
                        <c:v>727</c:v>
                      </c:pt>
                      <c:pt idx="38">
                        <c:v>760</c:v>
                      </c:pt>
                      <c:pt idx="39">
                        <c:v>766</c:v>
                      </c:pt>
                      <c:pt idx="40">
                        <c:v>681</c:v>
                      </c:pt>
                      <c:pt idx="41">
                        <c:v>525</c:v>
                      </c:pt>
                      <c:pt idx="42">
                        <c:v>636</c:v>
                      </c:pt>
                      <c:pt idx="43">
                        <c:v>604</c:v>
                      </c:pt>
                      <c:pt idx="44">
                        <c:v>542</c:v>
                      </c:pt>
                      <c:pt idx="45">
                        <c:v>610</c:v>
                      </c:pt>
                      <c:pt idx="46">
                        <c:v>570</c:v>
                      </c:pt>
                      <c:pt idx="47">
                        <c:v>619</c:v>
                      </c:pt>
                      <c:pt idx="48">
                        <c:v>431</c:v>
                      </c:pt>
                      <c:pt idx="49">
                        <c:v>566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480-4003-A92A-241054E60060}"/>
                  </c:ext>
                </c:extLst>
              </c15:ser>
            </c15:filteredScatterSeries>
          </c:ext>
        </c:extLst>
      </c:scatterChart>
      <c:scatterChart>
        <c:scatterStyle val="smoothMarker"/>
        <c:varyColors val="0"/>
        <c:ser>
          <c:idx val="15"/>
          <c:order val="15"/>
          <c:tx>
            <c:strRef>
              <c:f>'Cumul_confirmed - Gompertz'!$G$7</c:f>
              <c:strCache>
                <c:ptCount val="1"/>
                <c:pt idx="0">
                  <c:v>Cum_fit</c:v>
                </c:pt>
              </c:strCache>
            </c:strRef>
          </c:tx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Gompertz'!$C$8:$C$78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'Cumul_confirmed - Gompertz'!$G$8:$G$78</c:f>
              <c:numCache>
                <c:formatCode>0</c:formatCode>
                <c:ptCount val="71"/>
                <c:pt idx="0">
                  <c:v>25.577256558148914</c:v>
                </c:pt>
                <c:pt idx="1">
                  <c:v>48.127592870918321</c:v>
                </c:pt>
                <c:pt idx="2">
                  <c:v>86.616900640943882</c:v>
                </c:pt>
                <c:pt idx="3">
                  <c:v>149.56869078042106</c:v>
                </c:pt>
                <c:pt idx="4">
                  <c:v>248.5270605349148</c:v>
                </c:pt>
                <c:pt idx="5">
                  <c:v>398.45372909558449</c:v>
                </c:pt>
                <c:pt idx="6">
                  <c:v>617.94067783470348</c:v>
                </c:pt>
                <c:pt idx="7">
                  <c:v>929.17349036004475</c:v>
                </c:pt>
                <c:pt idx="8">
                  <c:v>1357.603219604204</c:v>
                </c:pt>
                <c:pt idx="9">
                  <c:v>1931.3157519875299</c:v>
                </c:pt>
                <c:pt idx="10">
                  <c:v>2680.1221261073588</c:v>
                </c:pt>
                <c:pt idx="11">
                  <c:v>3634.425517563388</c:v>
                </c:pt>
                <c:pt idx="12">
                  <c:v>4823.9457290044629</c:v>
                </c:pt>
                <c:pt idx="13">
                  <c:v>6276.3967146554278</c:v>
                </c:pt>
                <c:pt idx="14">
                  <c:v>8016.2156255800492</c:v>
                </c:pt>
                <c:pt idx="15">
                  <c:v>10063.433755753209</c:v>
                </c:pt>
                <c:pt idx="16">
                  <c:v>12432.76281288702</c:v>
                </c:pt>
                <c:pt idx="17">
                  <c:v>15132.94726154727</c:v>
                </c:pt>
                <c:pt idx="18">
                  <c:v>18166.408477388894</c:v>
                </c:pt>
                <c:pt idx="19">
                  <c:v>21529.182201146901</c:v>
                </c:pt>
                <c:pt idx="20">
                  <c:v>25211.129705982854</c:v>
                </c:pt>
                <c:pt idx="21">
                  <c:v>29196.386754718893</c:v>
                </c:pt>
                <c:pt idx="22">
                  <c:v>33464.003526984117</c:v>
                </c:pt>
                <c:pt idx="23">
                  <c:v>37988.723201363435</c:v>
                </c:pt>
                <c:pt idx="24">
                  <c:v>42741.846192360237</c:v>
                </c:pt>
                <c:pt idx="25">
                  <c:v>47692.130231004034</c:v>
                </c:pt>
                <c:pt idx="26">
                  <c:v>52806.682456220762</c:v>
                </c:pt>
                <c:pt idx="27">
                  <c:v>58051.80737300207</c:v>
                </c:pt>
                <c:pt idx="28">
                  <c:v>63393.782970125125</c:v>
                </c:pt>
                <c:pt idx="29">
                  <c:v>68799.545691244086</c:v>
                </c:pt>
                <c:pt idx="30">
                  <c:v>74237.272739251086</c:v>
                </c:pt>
                <c:pt idx="31">
                  <c:v>79676.856985222621</c:v>
                </c:pt>
                <c:pt idx="32">
                  <c:v>85090.275346612354</c:v>
                </c:pt>
                <c:pt idx="33">
                  <c:v>90451.855833976413</c:v>
                </c:pt>
                <c:pt idx="34">
                  <c:v>95738.451586957133</c:v>
                </c:pt>
                <c:pt idx="35">
                  <c:v>100929.53224542168</c:v>
                </c:pt>
                <c:pt idx="36">
                  <c:v>106007.20408872546</c:v>
                </c:pt>
                <c:pt idx="37">
                  <c:v>110956.17070038547</c:v>
                </c:pt>
                <c:pt idx="38">
                  <c:v>115763.64565169488</c:v>
                </c:pt>
                <c:pt idx="39">
                  <c:v>120419.22800794897</c:v>
                </c:pt>
                <c:pt idx="40">
                  <c:v>124914.75048702143</c:v>
                </c:pt>
                <c:pt idx="41">
                  <c:v>129244.10896075536</c:v>
                </c:pt>
                <c:pt idx="42">
                  <c:v>133403.08077984152</c:v>
                </c:pt>
                <c:pt idx="43">
                  <c:v>137389.13819477771</c:v>
                </c:pt>
                <c:pt idx="44">
                  <c:v>141201.26199120883</c:v>
                </c:pt>
                <c:pt idx="45">
                  <c:v>144839.75939236872</c:v>
                </c:pt>
                <c:pt idx="46">
                  <c:v>148306.08932541375</c:v>
                </c:pt>
                <c:pt idx="47">
                  <c:v>151602.69731214168</c:v>
                </c:pt>
                <c:pt idx="48">
                  <c:v>154732.86152968468</c:v>
                </c:pt>
                <c:pt idx="49">
                  <c:v>157700.55098915059</c:v>
                </c:pt>
                <c:pt idx="50">
                  <c:v>160510.29629183281</c:v>
                </c:pt>
                <c:pt idx="51">
                  <c:v>163167.07303313405</c:v>
                </c:pt>
                <c:pt idx="52">
                  <c:v>165676.19762217428</c:v>
                </c:pt>
                <c:pt idx="53">
                  <c:v>168043.23505832758</c:v>
                </c:pt>
                <c:pt idx="54">
                  <c:v>170273.91804310755</c:v>
                </c:pt>
                <c:pt idx="55">
                  <c:v>172374.0766960984</c:v>
                </c:pt>
                <c:pt idx="56">
                  <c:v>174349.57807718255</c:v>
                </c:pt>
                <c:pt idx="57">
                  <c:v>176206.2746854244</c:v>
                </c:pt>
                <c:pt idx="58">
                  <c:v>177949.9611000572</c:v>
                </c:pt>
                <c:pt idx="59">
                  <c:v>179586.3379446108</c:v>
                </c:pt>
                <c:pt idx="60">
                  <c:v>181120.98238588742</c:v>
                </c:pt>
                <c:pt idx="61">
                  <c:v>182559.32442075922</c:v>
                </c:pt>
                <c:pt idx="62">
                  <c:v>183906.62825199109</c:v>
                </c:pt>
                <c:pt idx="63">
                  <c:v>185167.97810658655</c:v>
                </c:pt>
                <c:pt idx="64">
                  <c:v>186348.2679042466</c:v>
                </c:pt>
                <c:pt idx="65">
                  <c:v>187452.19423768565</c:v>
                </c:pt>
                <c:pt idx="66">
                  <c:v>188484.25217947614</c:v>
                </c:pt>
                <c:pt idx="67">
                  <c:v>189448.73348086086</c:v>
                </c:pt>
                <c:pt idx="68">
                  <c:v>190349.72677594991</c:v>
                </c:pt>
                <c:pt idx="69">
                  <c:v>191191.11944949787</c:v>
                </c:pt>
                <c:pt idx="70">
                  <c:v>191976.60086782236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6480-4003-A92A-241054E60060}"/>
            </c:ext>
          </c:extLst>
        </c:ser>
        <c:ser>
          <c:idx val="18"/>
          <c:order val="18"/>
          <c:tx>
            <c:strRef>
              <c:f>'Cumul_confirmed - Gompertz'!$Z$7</c:f>
              <c:strCache>
                <c:ptCount val="1"/>
                <c:pt idx="0">
                  <c:v>Cum_D_fit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Gompertz'!$C$8:$C$78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'Cumul_confirmed - Gompertz'!$Z$8:$Z$78</c:f>
              <c:numCache>
                <c:formatCode>0</c:formatCode>
                <c:ptCount val="71"/>
                <c:pt idx="0">
                  <c:v>6.4509364932756233E-2</c:v>
                </c:pt>
                <c:pt idx="1">
                  <c:v>0.16900695770249149</c:v>
                </c:pt>
                <c:pt idx="2">
                  <c:v>0.41219576260426266</c:v>
                </c:pt>
                <c:pt idx="3">
                  <c:v>0.94086947367922091</c:v>
                </c:pt>
                <c:pt idx="4">
                  <c:v>2.0198555048759941</c:v>
                </c:pt>
                <c:pt idx="5">
                  <c:v>4.0969018506656676</c:v>
                </c:pt>
                <c:pt idx="6">
                  <c:v>7.8843761230688827</c:v>
                </c:pt>
                <c:pt idx="7">
                  <c:v>14.452788850631316</c:v>
                </c:pt>
                <c:pt idx="8">
                  <c:v>25.326695561431375</c:v>
                </c:pt>
                <c:pt idx="9">
                  <c:v>42.569767804671415</c:v>
                </c:pt>
                <c:pt idx="10">
                  <c:v>68.843865048820206</c:v>
                </c:pt>
                <c:pt idx="11">
                  <c:v>107.42757679522762</c:v>
                </c:pt>
                <c:pt idx="12">
                  <c:v>162.18313925623218</c:v>
                </c:pt>
                <c:pt idx="13">
                  <c:v>237.46639679386632</c:v>
                </c:pt>
                <c:pt idx="14">
                  <c:v>337.98156165544094</c:v>
                </c:pt>
                <c:pt idx="15">
                  <c:v>468.58963776790205</c:v>
                </c:pt>
                <c:pt idx="16">
                  <c:v>634.08527368116449</c:v>
                </c:pt>
                <c:pt idx="17">
                  <c:v>838.96057450976843</c:v>
                </c:pt>
                <c:pt idx="18">
                  <c:v>1087.1755890559134</c:v>
                </c:pt>
                <c:pt idx="19">
                  <c:v>1381.9538525977396</c:v>
                </c:pt>
                <c:pt idx="20">
                  <c:v>1725.6179739349398</c:v>
                </c:pt>
                <c:pt idx="21">
                  <c:v>2119.4755249005889</c:v>
                </c:pt>
                <c:pt idx="22">
                  <c:v>2563.7602180180406</c:v>
                </c:pt>
                <c:pt idx="23">
                  <c:v>3057.6282703423171</c:v>
                </c:pt>
                <c:pt idx="24">
                  <c:v>3599.2055072270082</c:v>
                </c:pt>
                <c:pt idx="25">
                  <c:v>4185.6775038492224</c:v>
                </c:pt>
                <c:pt idx="26">
                  <c:v>4813.4130287373437</c:v>
                </c:pt>
                <c:pt idx="27">
                  <c:v>5478.1102000321353</c:v>
                </c:pt>
                <c:pt idx="28">
                  <c:v>6174.9549249675711</c:v>
                </c:pt>
                <c:pt idx="29">
                  <c:v>6898.7821293261377</c:v>
                </c:pt>
                <c:pt idx="30">
                  <c:v>7644.2317377260533</c:v>
                </c:pt>
                <c:pt idx="31">
                  <c:v>8405.8930932789026</c:v>
                </c:pt>
                <c:pt idx="32">
                  <c:v>9178.4332998261943</c:v>
                </c:pt>
                <c:pt idx="33">
                  <c:v>9956.7066739943511</c:v>
                </c:pt>
                <c:pt idx="34">
                  <c:v>10735.844000920955</c:v>
                </c:pt>
                <c:pt idx="35">
                  <c:v>11511.321536236797</c:v>
                </c:pt>
                <c:pt idx="36">
                  <c:v>12279.010665423908</c:v>
                </c:pt>
                <c:pt idx="37">
                  <c:v>13035.209826297079</c:v>
                </c:pt>
                <c:pt idx="38">
                  <c:v>13776.660746633459</c:v>
                </c:pt>
                <c:pt idx="39">
                  <c:v>14500.551283581302</c:v>
                </c:pt>
                <c:pt idx="40">
                  <c:v>15204.507215717409</c:v>
                </c:pt>
                <c:pt idx="41">
                  <c:v>15886.575273662003</c:v>
                </c:pt>
                <c:pt idx="42">
                  <c:v>16545.199538882207</c:v>
                </c:pt>
                <c:pt idx="43">
                  <c:v>17179.193125504724</c:v>
                </c:pt>
                <c:pt idx="44">
                  <c:v>17787.706813521057</c:v>
                </c:pt>
                <c:pt idx="45">
                  <c:v>18370.19604468971</c:v>
                </c:pt>
                <c:pt idx="46">
                  <c:v>18926.387440217117</c:v>
                </c:pt>
                <c:pt idx="47">
                  <c:v>19456.245762645667</c:v>
                </c:pt>
                <c:pt idx="48">
                  <c:v>19959.942030039896</c:v>
                </c:pt>
                <c:pt idx="49">
                  <c:v>20437.823302145818</c:v>
                </c:pt>
                <c:pt idx="50">
                  <c:v>20890.384496934177</c:v>
                </c:pt>
                <c:pt idx="51">
                  <c:v>21318.242461350426</c:v>
                </c:pt>
                <c:pt idx="52">
                  <c:v>21722.112410559021</c:v>
                </c:pt>
                <c:pt idx="53">
                  <c:v>22102.786763159158</c:v>
                </c:pt>
                <c:pt idx="54">
                  <c:v>22461.116333073842</c:v>
                </c:pt>
                <c:pt idx="55">
                  <c:v>22797.993789270407</c:v>
                </c:pt>
                <c:pt idx="56">
                  <c:v>23114.339259418161</c:v>
                </c:pt>
                <c:pt idx="57">
                  <c:v>23411.087930462876</c:v>
                </c:pt>
                <c:pt idx="58">
                  <c:v>23689.17948557717</c:v>
                </c:pt>
                <c:pt idx="59">
                  <c:v>23949.549210986082</c:v>
                </c:pt>
                <c:pt idx="60">
                  <c:v>24193.120606007993</c:v>
                </c:pt>
                <c:pt idx="61">
                  <c:v>24420.799333807565</c:v>
                </c:pt>
                <c:pt idx="62">
                  <c:v>24633.468357600854</c:v>
                </c:pt>
                <c:pt idx="63">
                  <c:v>24831.984116384876</c:v>
                </c:pt>
                <c:pt idx="64">
                  <c:v>25017.173604888954</c:v>
                </c:pt>
                <c:pt idx="65">
                  <c:v>25189.832233741436</c:v>
                </c:pt>
                <c:pt idx="66">
                  <c:v>25350.722357337723</c:v>
                </c:pt>
                <c:pt idx="67">
                  <c:v>25500.572368231587</c:v>
                </c:pt>
                <c:pt idx="68">
                  <c:v>25640.076267796991</c:v>
                </c:pt>
                <c:pt idx="69">
                  <c:v>25769.893633249296</c:v>
                </c:pt>
                <c:pt idx="70">
                  <c:v>25890.649910761415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6480-4003-A92A-241054E60060}"/>
            </c:ext>
          </c:extLst>
        </c:ser>
        <c:ser>
          <c:idx val="19"/>
          <c:order val="19"/>
          <c:tx>
            <c:strRef>
              <c:f>'Cumul_confirmed - Gompertz'!$R$7</c:f>
              <c:strCache>
                <c:ptCount val="1"/>
                <c:pt idx="0">
                  <c:v>Cum_R_fit</c:v>
                </c:pt>
              </c:strCache>
            </c:strRef>
          </c:tx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Gompertz'!$C$8:$C$78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'Cumul_confirmed - Gompertz'!$R$8:$R$78</c:f>
              <c:numCache>
                <c:formatCode>0</c:formatCode>
                <c:ptCount val="71"/>
                <c:pt idx="0">
                  <c:v>57.7342575424545</c:v>
                </c:pt>
                <c:pt idx="1">
                  <c:v>74.929685882937449</c:v>
                </c:pt>
                <c:pt idx="2">
                  <c:v>96.425725067859375</c:v>
                </c:pt>
                <c:pt idx="3">
                  <c:v>123.07512516356167</c:v>
                </c:pt>
                <c:pt idx="4">
                  <c:v>155.84821626021267</c:v>
                </c:pt>
                <c:pt idx="5">
                  <c:v>195.83918933994372</c:v>
                </c:pt>
                <c:pt idx="6">
                  <c:v>244.2710410789542</c:v>
                </c:pt>
                <c:pt idx="7">
                  <c:v>302.4989352439822</c:v>
                </c:pt>
                <c:pt idx="8">
                  <c:v>372.01175764171796</c:v>
                </c:pt>
                <c:pt idx="9">
                  <c:v>454.43167441678514</c:v>
                </c:pt>
                <c:pt idx="10">
                  <c:v>551.51154386980943</c:v>
                </c:pt>
                <c:pt idx="11">
                  <c:v>665.13007854939519</c:v>
                </c:pt>
                <c:pt idx="12">
                  <c:v>797.28470556597097</c:v>
                </c:pt>
                <c:pt idx="13">
                  <c:v>950.08212710664395</c:v>
                </c:pt>
                <c:pt idx="14">
                  <c:v>1125.7266381314669</c:v>
                </c:pt>
                <c:pt idx="15">
                  <c:v>1326.5063123321288</c:v>
                </c:pt>
                <c:pt idx="16">
                  <c:v>1554.7772188436115</c:v>
                </c:pt>
                <c:pt idx="17">
                  <c:v>1812.9458792824801</c:v>
                </c:pt>
                <c:pt idx="18">
                  <c:v>2103.4502160246079</c:v>
                </c:pt>
                <c:pt idx="19">
                  <c:v>2428.7392770781707</c:v>
                </c:pt>
                <c:pt idx="20">
                  <c:v>2791.2520495999206</c:v>
                </c:pt>
                <c:pt idx="21">
                  <c:v>3193.3956925023044</c:v>
                </c:pt>
                <c:pt idx="22">
                  <c:v>3637.5235284773339</c:v>
                </c:pt>
                <c:pt idx="23">
                  <c:v>4125.9131371915228</c:v>
                </c:pt>
                <c:pt idx="24">
                  <c:v>4660.7448847297737</c:v>
                </c:pt>
                <c:pt idx="25">
                  <c:v>5244.0812101703596</c:v>
                </c:pt>
                <c:pt idx="26">
                  <c:v>5877.8469692408817</c:v>
                </c:pt>
                <c:pt idx="27">
                  <c:v>6563.8111082734995</c:v>
                </c:pt>
                <c:pt idx="28">
                  <c:v>7303.5699101892878</c:v>
                </c:pt>
                <c:pt idx="29">
                  <c:v>8098.5320191003802</c:v>
                </c:pt>
                <c:pt idx="30">
                  <c:v>8949.9054124453323</c:v>
                </c:pt>
                <c:pt idx="31">
                  <c:v>9858.6864504676596</c:v>
                </c:pt>
                <c:pt idx="32">
                  <c:v>10825.651093354003</c:v>
                </c:pt>
                <c:pt idx="33">
                  <c:v>11851.348337428435</c:v>
                </c:pt>
                <c:pt idx="34">
                  <c:v>12936.095884310156</c:v>
                </c:pt>
                <c:pt idx="35">
                  <c:v>14079.978021621182</c:v>
                </c:pt>
                <c:pt idx="36">
                  <c:v>15282.845661288422</c:v>
                </c:pt>
                <c:pt idx="37">
                  <c:v>16544.318452197669</c:v>
                </c:pt>
                <c:pt idx="38">
                  <c:v>17863.788858273234</c:v>
                </c:pt>
                <c:pt idx="39">
                  <c:v>19240.42807119749</c:v>
                </c:pt>
                <c:pt idx="40">
                  <c:v>20673.193609054561</c:v>
                </c:pt>
                <c:pt idx="41">
                  <c:v>22160.838438182087</c:v>
                </c:pt>
                <c:pt idx="42">
                  <c:v>23701.921445351676</c:v>
                </c:pt>
                <c:pt idx="43">
                  <c:v>25294.81908090198</c:v>
                </c:pt>
                <c:pt idx="44">
                  <c:v>26937.737990382542</c:v>
                </c:pt>
                <c:pt idx="45">
                  <c:v>28628.728452349293</c:v>
                </c:pt>
                <c:pt idx="46">
                  <c:v>30365.698442860434</c:v>
                </c:pt>
                <c:pt idx="47">
                  <c:v>32146.428152613498</c:v>
                </c:pt>
                <c:pt idx="48">
                  <c:v>33968.584790182693</c:v>
                </c:pt>
                <c:pt idx="49">
                  <c:v>35829.737514103632</c:v>
                </c:pt>
                <c:pt idx="50">
                  <c:v>37727.372347260163</c:v>
                </c:pt>
                <c:pt idx="51">
                  <c:v>39658.906938817883</c:v>
                </c:pt>
                <c:pt idx="52">
                  <c:v>41621.705051505742</c:v>
                </c:pt>
                <c:pt idx="53">
                  <c:v>43613.090665078642</c:v>
                </c:pt>
                <c:pt idx="54">
                  <c:v>45630.36160003546</c:v>
                </c:pt>
                <c:pt idx="55">
                  <c:v>47670.802578883755</c:v>
                </c:pt>
                <c:pt idx="56">
                  <c:v>49731.697655229145</c:v>
                </c:pt>
                <c:pt idx="57">
                  <c:v>51810.341953550953</c:v>
                </c:pt>
                <c:pt idx="58">
                  <c:v>53904.052674558865</c:v>
                </c:pt>
                <c:pt idx="59">
                  <c:v>56010.17933239539</c:v>
                </c:pt>
                <c:pt idx="60">
                  <c:v>58126.113200561864</c:v>
                </c:pt>
                <c:pt idx="61">
                  <c:v>60249.295953240879</c:v>
                </c:pt>
                <c:pt idx="62">
                  <c:v>62377.227497618558</c:v>
                </c:pt>
                <c:pt idx="63">
                  <c:v>64507.473000856487</c:v>
                </c:pt>
                <c:pt idx="64">
                  <c:v>66637.6691225182</c:v>
                </c:pt>
                <c:pt idx="65">
                  <c:v>68765.529469527959</c:v>
                </c:pt>
                <c:pt idx="66">
                  <c:v>70888.849296154949</c:v>
                </c:pt>
                <c:pt idx="67">
                  <c:v>73005.509476102845</c:v>
                </c:pt>
                <c:pt idx="68">
                  <c:v>75113.479777587505</c:v>
                </c:pt>
                <c:pt idx="69">
                  <c:v>77210.821475348333</c:v>
                </c:pt>
                <c:pt idx="70">
                  <c:v>79295.689335915697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0A-43B7-AE34-095837C50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'Cumul_confirmed - Gompertz'!$H$7</c15:sqref>
                        </c15:formulaRef>
                      </c:ext>
                    </c:extLst>
                    <c:strCache>
                      <c:ptCount val="1"/>
                      <c:pt idx="0">
                        <c:v>New_cases_fit</c:v>
                      </c:pt>
                    </c:strCache>
                  </c:strRef>
                </c:tx>
                <c:spPr>
                  <a:ln w="9525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'Cumul_confirmed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'Cumul_confirmed - Gompertz'!$H$8:$H$78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16.76619387781767</c:v>
                      </c:pt>
                      <c:pt idx="1">
                        <c:v>29.326746300774978</c:v>
                      </c:pt>
                      <c:pt idx="2">
                        <c:v>49.063847120651957</c:v>
                      </c:pt>
                      <c:pt idx="3">
                        <c:v>78.756946272744955</c:v>
                      </c:pt>
                      <c:pt idx="4">
                        <c:v>121.64970969740814</c:v>
                      </c:pt>
                      <c:pt idx="5">
                        <c:v>181.30279810807014</c:v>
                      </c:pt>
                      <c:pt idx="6">
                        <c:v>261.37413789411426</c:v>
                      </c:pt>
                      <c:pt idx="7">
                        <c:v>365.34389670050433</c:v>
                      </c:pt>
                      <c:pt idx="8">
                        <c:v>496.21183980892084</c:v>
                      </c:pt>
                      <c:pt idx="9">
                        <c:v>656.20081174505128</c:v>
                      </c:pt>
                      <c:pt idx="10">
                        <c:v>846.50062318094228</c:v>
                      </c:pt>
                      <c:pt idx="11">
                        <c:v>1067.0817404258862</c:v>
                      </c:pt>
                      <c:pt idx="12">
                        <c:v>1316.5990761749904</c:v>
                      </c:pt>
                      <c:pt idx="13">
                        <c:v>1592.3947483089371</c:v>
                      </c:pt>
                      <c:pt idx="14">
                        <c:v>1890.5969730845879</c:v>
                      </c:pt>
                      <c:pt idx="15">
                        <c:v>2206.3020937589085</c:v>
                      </c:pt>
                      <c:pt idx="16">
                        <c:v>2533.8193642527394</c:v>
                      </c:pt>
                      <c:pt idx="17">
                        <c:v>2866.9540895321479</c:v>
                      </c:pt>
                      <c:pt idx="18">
                        <c:v>3199.3040250723498</c:v>
                      </c:pt>
                      <c:pt idx="19">
                        <c:v>3524.5460383569366</c:v>
                      </c:pt>
                      <c:pt idx="20">
                        <c:v>3836.6941398404656</c:v>
                      </c:pt>
                      <c:pt idx="21">
                        <c:v>4130.3152167953949</c:v>
                      </c:pt>
                      <c:pt idx="22">
                        <c:v>4400.6943338460978</c:v>
                      </c:pt>
                      <c:pt idx="23">
                        <c:v>4643.9466442858147</c:v>
                      </c:pt>
                      <c:pt idx="24">
                        <c:v>4857.0773383495443</c:v>
                      </c:pt>
                      <c:pt idx="25">
                        <c:v>5037.9943968491807</c:v>
                      </c:pt>
                      <c:pt idx="26">
                        <c:v>5185.4811567458501</c:v>
                      </c:pt>
                      <c:pt idx="27">
                        <c:v>5299.1368984068476</c:v>
                      </c:pt>
                      <c:pt idx="28">
                        <c:v>5379.2939872692614</c:v>
                      </c:pt>
                      <c:pt idx="29">
                        <c:v>5426.9197428674006</c:v>
                      </c:pt>
                      <c:pt idx="30">
                        <c:v>5443.5103715552286</c:v>
                      </c:pt>
                      <c:pt idx="31">
                        <c:v>5430.9831761005362</c:v>
                      </c:pt>
                      <c:pt idx="32">
                        <c:v>5391.5720061783841</c:v>
                      </c:pt>
                      <c:pt idx="33">
                        <c:v>5327.7296631617346</c:v>
                      </c:pt>
                      <c:pt idx="34">
                        <c:v>5242.0398086824134</c:v>
                      </c:pt>
                      <c:pt idx="35">
                        <c:v>5137.1399045945191</c:v>
                      </c:pt>
                      <c:pt idx="36">
                        <c:v>5015.6558603730027</c:v>
                      </c:pt>
                      <c:pt idx="37">
                        <c:v>4880.1483898601018</c:v>
                      </c:pt>
                      <c:pt idx="38">
                        <c:v>4733.0705750495772</c:v>
                      </c:pt>
                      <c:pt idx="39">
                        <c:v>4576.7357832233738</c:v>
                      </c:pt>
                      <c:pt idx="40">
                        <c:v>4413.2948630595956</c:v>
                      </c:pt>
                      <c:pt idx="41">
                        <c:v>4244.7214313242521</c:v>
                      </c:pt>
                      <c:pt idx="42">
                        <c:v>4072.8040309470907</c:v>
                      </c:pt>
                      <c:pt idx="43">
                        <c:v>3899.1439721506463</c:v>
                      </c:pt>
                      <c:pt idx="44">
                        <c:v>3725.1577421452093</c:v>
                      </c:pt>
                      <c:pt idx="45">
                        <c:v>3552.0829701551588</c:v>
                      </c:pt>
                      <c:pt idx="46">
                        <c:v>3380.9870507698779</c:v>
                      </c:pt>
                      <c:pt idx="47">
                        <c:v>3212.7776502856364</c:v>
                      </c:pt>
                      <c:pt idx="48">
                        <c:v>3048.2144408472295</c:v>
                      </c:pt>
                      <c:pt idx="49">
                        <c:v>2887.9215209857275</c:v>
                      </c:pt>
                      <c:pt idx="50">
                        <c:v>2732.4000855014697</c:v>
                      </c:pt>
                      <c:pt idx="51">
                        <c:v>2582.0410008444023</c:v>
                      </c:pt>
                      <c:pt idx="52">
                        <c:v>2437.1370235086715</c:v>
                      </c:pt>
                      <c:pt idx="53">
                        <c:v>2297.8944685383267</c:v>
                      </c:pt>
                      <c:pt idx="54">
                        <c:v>2164.4441935958857</c:v>
                      </c:pt>
                      <c:pt idx="55">
                        <c:v>2036.8518120564111</c:v>
                      </c:pt>
                      <c:pt idx="56">
                        <c:v>1915.1270873170238</c:v>
                      </c:pt>
                      <c:pt idx="57">
                        <c:v>1799.2324910890638</c:v>
                      </c:pt>
                      <c:pt idx="58">
                        <c:v>1689.0909320005703</c:v>
                      </c:pt>
                      <c:pt idx="59">
                        <c:v>1584.5926784616647</c:v>
                      </c:pt>
                      <c:pt idx="60">
                        <c:v>1485.6015124332632</c:v>
                      </c:pt>
                      <c:pt idx="61">
                        <c:v>1391.9601593882323</c:v>
                      </c:pt>
                      <c:pt idx="62">
                        <c:v>1303.495045154061</c:v>
                      </c:pt>
                      <c:pt idx="63">
                        <c:v>1220.0204331604361</c:v>
                      </c:pt>
                      <c:pt idx="64">
                        <c:v>1141.3419964644249</c:v>
                      </c:pt>
                      <c:pt idx="65">
                        <c:v>1067.2598782764003</c:v>
                      </c:pt>
                      <c:pt idx="66">
                        <c:v>997.5712929626111</c:v>
                      </c:pt>
                      <c:pt idx="67">
                        <c:v>932.07271698161742</c:v>
                      </c:pt>
                      <c:pt idx="68">
                        <c:v>870.56171618315818</c:v>
                      </c:pt>
                      <c:pt idx="69">
                        <c:v>812.83845256563768</c:v>
                      </c:pt>
                      <c:pt idx="70">
                        <c:v>758.70691011204985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6480-4003-A92A-241054E60060}"/>
                  </c:ext>
                </c:extLst>
              </c15:ser>
            </c15:filteredScatterSeries>
            <c15:filteredScatterSeries>
              <c15:ser>
                <c:idx val="9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Gompertz'!$N$7</c15:sqref>
                        </c15:formulaRef>
                      </c:ext>
                    </c:extLst>
                    <c:strCache>
                      <c:ptCount val="1"/>
                      <c:pt idx="0">
                        <c:v>New_positive_fit</c:v>
                      </c:pt>
                    </c:strCache>
                  </c:strRef>
                </c:tx>
                <c:spPr>
                  <a:ln w="9525" cap="rnd">
                    <a:solidFill>
                      <a:schemeClr val="tx2"/>
                    </a:solidFill>
                    <a:prstDash val="lg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Gompertz'!$N$8:$N$78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1.4002139374440199</c:v>
                      </c:pt>
                      <c:pt idx="1">
                        <c:v>9.9571196474032462</c:v>
                      </c:pt>
                      <c:pt idx="2">
                        <c:v>24.789330899969336</c:v>
                      </c:pt>
                      <c:pt idx="3">
                        <c:v>48.470643757990722</c:v>
                      </c:pt>
                      <c:pt idx="4">
                        <c:v>83.976324477514808</c:v>
                      </c:pt>
                      <c:pt idx="5">
                        <c:v>134.51922180323419</c:v>
                      </c:pt>
                      <c:pt idx="6">
                        <c:v>203.31644006006985</c:v>
                      </c:pt>
                      <c:pt idx="7">
                        <c:v>293.30818856437679</c:v>
                      </c:pt>
                      <c:pt idx="8">
                        <c:v>406.86076084688767</c:v>
                      </c:pt>
                      <c:pt idx="9">
                        <c:v>545.49038228889799</c:v>
                      </c:pt>
                      <c:pt idx="10">
                        <c:v>709.64291174668108</c:v>
                      </c:pt>
                      <c:pt idx="11">
                        <c:v>898.5566861831104</c:v>
                      </c:pt>
                      <c:pt idx="12">
                        <c:v>1110.224023114281</c:v>
                      </c:pt>
                      <c:pt idx="13">
                        <c:v>1341.4535657472397</c:v>
                      </c:pt>
                      <c:pt idx="14">
                        <c:v>1588.0232630837438</c:v>
                      </c:pt>
                      <c:pt idx="15">
                        <c:v>1844.9042394276082</c:v>
                      </c:pt>
                      <c:pt idx="16">
                        <c:v>2106.5301745894994</c:v>
                      </c:pt>
                      <c:pt idx="17">
                        <c:v>2367.0852456219586</c:v>
                      </c:pt>
                      <c:pt idx="18">
                        <c:v>2620.7856171104049</c:v>
                      </c:pt>
                      <c:pt idx="19">
                        <c:v>2862.1339205726681</c:v>
                      </c:pt>
                      <c:pt idx="20">
                        <c:v>3086.1320006808023</c:v>
                      </c:pt>
                      <c:pt idx="21">
                        <c:v>3288.443380200154</c:v>
                      </c:pt>
                      <c:pt idx="22">
                        <c:v>3465.5025914260837</c:v>
                      </c:pt>
                      <c:pt idx="23">
                        <c:v>3614.5732127986757</c:v>
                      </c:pt>
                      <c:pt idx="24">
                        <c:v>3733.7598867018014</c:v>
                      </c:pt>
                      <c:pt idx="25">
                        <c:v>3821.9817553969929</c:v>
                      </c:pt>
                      <c:pt idx="26">
                        <c:v>3878.9157699406937</c:v>
                      </c:pt>
                      <c:pt idx="27">
                        <c:v>3904.9184226093826</c:v>
                      </c:pt>
                      <c:pt idx="28">
                        <c:v>3900.9338783298767</c:v>
                      </c:pt>
                      <c:pt idx="29">
                        <c:v>3868.3954765766775</c:v>
                      </c:pt>
                      <c:pt idx="30">
                        <c:v>3809.1263496134629</c:v>
                      </c:pt>
                      <c:pt idx="31">
                        <c:v>3725.2436179972733</c:v>
                      </c:pt>
                      <c:pt idx="32">
                        <c:v>3619.0693954129133</c:v>
                      </c:pt>
                      <c:pt idx="33">
                        <c:v>3493.0507355444229</c:v>
                      </c:pt>
                      <c:pt idx="34">
                        <c:v>3349.6897227123759</c:v>
                      </c:pt>
                      <c:pt idx="35">
                        <c:v>3191.4841582857148</c:v>
                      </c:pt>
                      <c:pt idx="36">
                        <c:v>3020.8787212525172</c:v>
                      </c:pt>
                      <c:pt idx="37">
                        <c:v>2840.2260673749824</c:v>
                      </c:pt>
                      <c:pt idx="38">
                        <c:v>2651.7570546611823</c:v>
                      </c:pt>
                      <c:pt idx="39">
                        <c:v>2457.5591189515935</c:v>
                      </c:pt>
                      <c:pt idx="40">
                        <c:v>2259.5617482256757</c:v>
                      </c:pt>
                      <c:pt idx="41">
                        <c:v>2059.5279958493779</c:v>
                      </c:pt>
                      <c:pt idx="42">
                        <c:v>1859.0510123896238</c:v>
                      </c:pt>
                      <c:pt idx="43">
                        <c:v>1659.5546470089298</c:v>
                      </c:pt>
                      <c:pt idx="44">
                        <c:v>1462.2972601717752</c:v>
                      </c:pt>
                      <c:pt idx="45">
                        <c:v>1268.3779896858541</c:v>
                      </c:pt>
                      <c:pt idx="46">
                        <c:v>1078.7448147277105</c:v>
                      </c:pt>
                      <c:pt idx="47">
                        <c:v>894.2038623354955</c:v>
                      </c:pt>
                      <c:pt idx="48">
                        <c:v>715.42949447064962</c:v>
                      </c:pt>
                      <c:pt idx="49">
                        <c:v>542.97479907228126</c:v>
                      </c:pt>
                      <c:pt idx="50">
                        <c:v>377.28218448459364</c:v>
                      </c:pt>
                      <c:pt idx="51">
                        <c:v>218.69384290451831</c:v>
                      </c:pt>
                      <c:pt idx="52">
                        <c:v>67.461905270856846</c:v>
                      </c:pt>
                      <c:pt idx="53">
                        <c:v>-76.241842158270288</c:v>
                      </c:pt>
                      <c:pt idx="54">
                        <c:v>-212.31676966090049</c:v>
                      </c:pt>
                      <c:pt idx="55">
                        <c:v>-340.72480215749044</c:v>
                      </c:pt>
                      <c:pt idx="56">
                        <c:v>-461.4824355090455</c:v>
                      </c:pt>
                      <c:pt idx="57">
                        <c:v>-574.65338261126556</c:v>
                      </c:pt>
                      <c:pt idx="58">
                        <c:v>-680.34184525247929</c:v>
                      </c:pt>
                      <c:pt idx="59">
                        <c:v>-778.68639599756807</c:v>
                      </c:pt>
                      <c:pt idx="60">
                        <c:v>-869.85444589445706</c:v>
                      </c:pt>
                      <c:pt idx="61">
                        <c:v>-954.03726796691603</c:v>
                      </c:pt>
                      <c:pt idx="62">
                        <c:v>-1031.4455427318758</c:v>
                      </c:pt>
                      <c:pt idx="63">
                        <c:v>-1102.3053899136517</c:v>
                      </c:pt>
                      <c:pt idx="64">
                        <c:v>-1166.854849745017</c:v>
                      </c:pt>
                      <c:pt idx="65">
                        <c:v>-1225.3407774338928</c:v>
                      </c:pt>
                      <c:pt idx="66">
                        <c:v>-1278.0161152786718</c:v>
                      </c:pt>
                      <c:pt idx="67">
                        <c:v>-1325.137508328118</c:v>
                      </c:pt>
                      <c:pt idx="68">
                        <c:v>-1366.9632312383419</c:v>
                      </c:pt>
                      <c:pt idx="69">
                        <c:v>-1403.7513959496862</c:v>
                      </c:pt>
                      <c:pt idx="70">
                        <c:v>-1435.7584118900629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480-4003-A92A-241054E60060}"/>
                  </c:ext>
                </c:extLst>
              </c15:ser>
            </c15:filteredScatterSeries>
            <c15:filteredScatterSeries>
              <c15:ser>
                <c:idx val="11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Gompertz'!$S$7</c15:sqref>
                        </c15:formulaRef>
                      </c:ext>
                    </c:extLst>
                    <c:strCache>
                      <c:ptCount val="1"/>
                      <c:pt idx="0">
                        <c:v>New_Recovered_fit</c:v>
                      </c:pt>
                    </c:strCache>
                  </c:strRef>
                </c:tx>
                <c:spPr>
                  <a:ln w="9525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Gompertz'!$S$8:$S$78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15.301419428165493</c:v>
                      </c:pt>
                      <c:pt idx="1">
                        <c:v>19.213054704702756</c:v>
                      </c:pt>
                      <c:pt idx="2">
                        <c:v>23.921025459629767</c:v>
                      </c:pt>
                      <c:pt idx="3">
                        <c:v>29.539391103629058</c:v>
                      </c:pt>
                      <c:pt idx="4">
                        <c:v>36.18907324742672</c:v>
                      </c:pt>
                      <c:pt idx="5">
                        <c:v>43.996649133659787</c:v>
                      </c:pt>
                      <c:pt idx="6">
                        <c:v>53.092888600443878</c:v>
                      </c:pt>
                      <c:pt idx="7">
                        <c:v>63.611054366544174</c:v>
                      </c:pt>
                      <c:pt idx="8">
                        <c:v>75.684994341728995</c:v>
                      </c:pt>
                      <c:pt idx="9">
                        <c:v>89.447062765244155</c:v>
                      </c:pt>
                      <c:pt idx="10">
                        <c:v>105.02591389800223</c:v>
                      </c:pt>
                      <c:pt idx="11">
                        <c:v>122.54421744035858</c:v>
                      </c:pt>
                      <c:pt idx="12">
                        <c:v>142.11634859459738</c:v>
                      </c:pt>
                      <c:pt idx="13">
                        <c:v>163.84610760272653</c:v>
                      </c:pt>
                      <c:pt idx="14">
                        <c:v>187.82452361828987</c:v>
                      </c:pt>
                      <c:pt idx="15">
                        <c:v>214.12779595506279</c:v>
                      </c:pt>
                      <c:pt idx="16">
                        <c:v>242.81542221521863</c:v>
                      </c:pt>
                      <c:pt idx="17">
                        <c:v>273.92855772356529</c:v>
                      </c:pt>
                      <c:pt idx="18">
                        <c:v>307.48864432696405</c:v>
                      </c:pt>
                      <c:pt idx="19">
                        <c:v>343.49633924317379</c:v>
                      </c:pt>
                      <c:pt idx="20">
                        <c:v>381.93076656893726</c:v>
                      </c:pt>
                      <c:pt idx="21">
                        <c:v>422.7491055987191</c:v>
                      </c:pt>
                      <c:pt idx="22">
                        <c:v>465.88652157172044</c:v>
                      </c:pt>
                      <c:pt idx="23">
                        <c:v>511.25643614436677</c:v>
                      </c:pt>
                      <c:pt idx="24">
                        <c:v>558.75112703665968</c:v>
                      </c:pt>
                      <c:pt idx="25">
                        <c:v>608.24263914352139</c:v>
                      </c:pt>
                      <c:pt idx="26">
                        <c:v>659.58398311269093</c:v>
                      </c:pt>
                      <c:pt idx="27">
                        <c:v>712.61059209876419</c:v>
                      </c:pt>
                      <c:pt idx="28">
                        <c:v>767.14200319179656</c:v>
                      </c:pt>
                      <c:pt idx="29">
                        <c:v>822.98372692697615</c:v>
                      </c:pt>
                      <c:pt idx="30">
                        <c:v>879.92926630634213</c:v>
                      </c:pt>
                      <c:pt idx="31">
                        <c:v>937.76224586508806</c:v>
                      </c:pt>
                      <c:pt idx="32">
                        <c:v>996.258611423552</c:v>
                      </c:pt>
                      <c:pt idx="33">
                        <c:v>1055.1888621869543</c:v>
                      </c:pt>
                      <c:pt idx="34">
                        <c:v>1114.3202786754844</c:v>
                      </c:pt>
                      <c:pt idx="35">
                        <c:v>1173.4191124626152</c:v>
                      </c:pt>
                      <c:pt idx="36">
                        <c:v>1232.2527067385474</c:v>
                      </c:pt>
                      <c:pt idx="37">
                        <c:v>1290.5915201663477</c:v>
                      </c:pt>
                      <c:pt idx="38">
                        <c:v>1348.2110302321601</c:v>
                      </c:pt>
                      <c:pt idx="39">
                        <c:v>1404.8934961864347</c:v>
                      </c:pt>
                      <c:pt idx="40">
                        <c:v>1460.4295656191953</c:v>
                      </c:pt>
                      <c:pt idx="41">
                        <c:v>1514.6197126099355</c:v>
                      </c:pt>
                      <c:pt idx="42">
                        <c:v>1567.2754991563213</c:v>
                      </c:pt>
                      <c:pt idx="43">
                        <c:v>1618.2206551443589</c:v>
                      </c:pt>
                      <c:pt idx="44">
                        <c:v>1667.2919754192176</c:v>
                      </c:pt>
                      <c:pt idx="45">
                        <c:v>1714.3400355078033</c:v>
                      </c:pt>
                      <c:pt idx="46">
                        <c:v>1759.2297302018012</c:v>
                      </c:pt>
                      <c:pt idx="47">
                        <c:v>1801.8406415159473</c:v>
                      </c:pt>
                      <c:pt idx="48">
                        <c:v>1842.067244484115</c:v>
                      </c:pt>
                      <c:pt idx="49">
                        <c:v>1879.8189608483726</c:v>
                      </c:pt>
                      <c:pt idx="50">
                        <c:v>1915.020071944263</c:v>
                      </c:pt>
                      <c:pt idx="51">
                        <c:v>1947.6095030065785</c:v>
                      </c:pt>
                      <c:pt idx="52">
                        <c:v>1977.5404917361514</c:v>
                      </c:pt>
                      <c:pt idx="53">
                        <c:v>2004.7801543058672</c:v>
                      </c:pt>
                      <c:pt idx="54">
                        <c:v>2029.308962071723</c:v>
                      </c:pt>
                      <c:pt idx="55">
                        <c:v>2051.1201421224105</c:v>
                      </c:pt>
                      <c:pt idx="56">
                        <c:v>2070.2190144789765</c:v>
                      </c:pt>
                      <c:pt idx="57">
                        <c:v>2086.6222782748159</c:v>
                      </c:pt>
                      <c:pt idx="58">
                        <c:v>2100.3572586346017</c:v>
                      </c:pt>
                      <c:pt idx="59">
                        <c:v>2111.46112525649</c:v>
                      </c:pt>
                      <c:pt idx="60">
                        <c:v>2119.9800929105668</c:v>
                      </c:pt>
                      <c:pt idx="61">
                        <c:v>2125.9686132217125</c:v>
                      </c:pt>
                      <c:pt idx="62">
                        <c:v>2129.4885662278011</c:v>
                      </c:pt>
                      <c:pt idx="63">
                        <c:v>2130.6084593132273</c:v>
                      </c:pt>
                      <c:pt idx="64">
                        <c:v>2129.402640229287</c:v>
                      </c:pt>
                      <c:pt idx="65">
                        <c:v>2125.9505300407623</c:v>
                      </c:pt>
                      <c:pt idx="66">
                        <c:v>2120.3358809936235</c:v>
                      </c:pt>
                      <c:pt idx="67">
                        <c:v>2112.6460634913506</c:v>
                      </c:pt>
                      <c:pt idx="68">
                        <c:v>2102.9713856042727</c:v>
                      </c:pt>
                      <c:pt idx="69">
                        <c:v>2091.404447822908</c:v>
                      </c:pt>
                      <c:pt idx="70">
                        <c:v>2078.0395351063789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480-4003-A92A-241054E60060}"/>
                  </c:ext>
                </c:extLst>
              </c15:ser>
            </c15:filteredScatterSeries>
            <c15:filteredScatterSeries>
              <c15:ser>
                <c:idx val="12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Gompertz'!$U$7</c15:sqref>
                        </c15:formulaRef>
                      </c:ext>
                    </c:extLst>
                    <c:strCache>
                      <c:ptCount val="1"/>
                      <c:pt idx="0">
                        <c:v>R_Upper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Gompertz'!$U$8:$U$78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849.44457020293976</c:v>
                      </c:pt>
                      <c:pt idx="1">
                        <c:v>866.63999854342262</c:v>
                      </c:pt>
                      <c:pt idx="2">
                        <c:v>888.1360377283446</c:v>
                      </c:pt>
                      <c:pt idx="3">
                        <c:v>914.78543782404688</c:v>
                      </c:pt>
                      <c:pt idx="4">
                        <c:v>947.55852892069788</c:v>
                      </c:pt>
                      <c:pt idx="5">
                        <c:v>987.5495020004289</c:v>
                      </c:pt>
                      <c:pt idx="6">
                        <c:v>1035.9813537394393</c:v>
                      </c:pt>
                      <c:pt idx="7">
                        <c:v>1094.2092479044675</c:v>
                      </c:pt>
                      <c:pt idx="8">
                        <c:v>1163.7220703022031</c:v>
                      </c:pt>
                      <c:pt idx="9">
                        <c:v>1246.1419870772704</c:v>
                      </c:pt>
                      <c:pt idx="10">
                        <c:v>1343.2218565302946</c:v>
                      </c:pt>
                      <c:pt idx="11">
                        <c:v>1456.8403912098804</c:v>
                      </c:pt>
                      <c:pt idx="12">
                        <c:v>1588.9950182264561</c:v>
                      </c:pt>
                      <c:pt idx="13">
                        <c:v>1741.7924397671291</c:v>
                      </c:pt>
                      <c:pt idx="14">
                        <c:v>1917.4369507919521</c:v>
                      </c:pt>
                      <c:pt idx="15">
                        <c:v>2118.216624992614</c:v>
                      </c:pt>
                      <c:pt idx="16">
                        <c:v>2346.4875315040968</c:v>
                      </c:pt>
                      <c:pt idx="17">
                        <c:v>2604.6561919429651</c:v>
                      </c:pt>
                      <c:pt idx="18">
                        <c:v>2895.1605286850931</c:v>
                      </c:pt>
                      <c:pt idx="19">
                        <c:v>3220.449589738656</c:v>
                      </c:pt>
                      <c:pt idx="20">
                        <c:v>3582.9623622604058</c:v>
                      </c:pt>
                      <c:pt idx="21">
                        <c:v>3985.1060051627896</c:v>
                      </c:pt>
                      <c:pt idx="22">
                        <c:v>4429.2338411378187</c:v>
                      </c:pt>
                      <c:pt idx="23">
                        <c:v>4917.623449852008</c:v>
                      </c:pt>
                      <c:pt idx="24">
                        <c:v>5452.4551973902589</c:v>
                      </c:pt>
                      <c:pt idx="25">
                        <c:v>6035.7915228308448</c:v>
                      </c:pt>
                      <c:pt idx="26">
                        <c:v>6669.5572819013669</c:v>
                      </c:pt>
                      <c:pt idx="27">
                        <c:v>7355.5214209339847</c:v>
                      </c:pt>
                      <c:pt idx="28">
                        <c:v>8095.2802228497731</c:v>
                      </c:pt>
                      <c:pt idx="29">
                        <c:v>8890.2423317608664</c:v>
                      </c:pt>
                      <c:pt idx="30">
                        <c:v>9741.6157251058175</c:v>
                      </c:pt>
                      <c:pt idx="31">
                        <c:v>10650.396763128145</c:v>
                      </c:pt>
                      <c:pt idx="32">
                        <c:v>11617.361406014488</c:v>
                      </c:pt>
                      <c:pt idx="33">
                        <c:v>12643.05865008892</c:v>
                      </c:pt>
                      <c:pt idx="34">
                        <c:v>13727.806196970641</c:v>
                      </c:pt>
                      <c:pt idx="35">
                        <c:v>14871.688334281667</c:v>
                      </c:pt>
                      <c:pt idx="36">
                        <c:v>16074.555973948907</c:v>
                      </c:pt>
                      <c:pt idx="37">
                        <c:v>17336.028764858154</c:v>
                      </c:pt>
                      <c:pt idx="38">
                        <c:v>18655.499170933719</c:v>
                      </c:pt>
                      <c:pt idx="39">
                        <c:v>20032.138383857975</c:v>
                      </c:pt>
                      <c:pt idx="40">
                        <c:v>21464.903921715046</c:v>
                      </c:pt>
                      <c:pt idx="41">
                        <c:v>22952.548750842572</c:v>
                      </c:pt>
                      <c:pt idx="42">
                        <c:v>24493.631758012161</c:v>
                      </c:pt>
                      <c:pt idx="43">
                        <c:v>26086.529393562465</c:v>
                      </c:pt>
                      <c:pt idx="44">
                        <c:v>27729.448303043027</c:v>
                      </c:pt>
                      <c:pt idx="45">
                        <c:v>29420.438765009778</c:v>
                      </c:pt>
                      <c:pt idx="46">
                        <c:v>31157.408755520919</c:v>
                      </c:pt>
                      <c:pt idx="47">
                        <c:v>32938.13846527398</c:v>
                      </c:pt>
                      <c:pt idx="48">
                        <c:v>34760.295102843178</c:v>
                      </c:pt>
                      <c:pt idx="49">
                        <c:v>36621.447826764117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480-4003-A92A-241054E60060}"/>
                  </c:ext>
                </c:extLst>
              </c15:ser>
            </c15:filteredScatterSeries>
            <c15:filteredScatterSeries>
              <c15:ser>
                <c:idx val="13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Gompertz'!$V$7</c15:sqref>
                        </c15:formulaRef>
                      </c:ext>
                    </c:extLst>
                    <c:strCache>
                      <c:ptCount val="1"/>
                      <c:pt idx="0">
                        <c:v>R_Lower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Gompertz'!$V$8:$V$78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5.5743929054857517</c:v>
                      </c:pt>
                      <c:pt idx="13">
                        <c:v>158.37181444615874</c:v>
                      </c:pt>
                      <c:pt idx="14">
                        <c:v>334.01632547098166</c:v>
                      </c:pt>
                      <c:pt idx="15">
                        <c:v>534.79599967164359</c:v>
                      </c:pt>
                      <c:pt idx="16">
                        <c:v>763.06690618312632</c:v>
                      </c:pt>
                      <c:pt idx="17">
                        <c:v>1021.2355666219948</c:v>
                      </c:pt>
                      <c:pt idx="18">
                        <c:v>1311.7399033641227</c:v>
                      </c:pt>
                      <c:pt idx="19">
                        <c:v>1637.0289644176855</c:v>
                      </c:pt>
                      <c:pt idx="20">
                        <c:v>1999.5417369394354</c:v>
                      </c:pt>
                      <c:pt idx="21">
                        <c:v>2401.6853798418192</c:v>
                      </c:pt>
                      <c:pt idx="22">
                        <c:v>2845.8132158168487</c:v>
                      </c:pt>
                      <c:pt idx="23">
                        <c:v>3334.2028245310375</c:v>
                      </c:pt>
                      <c:pt idx="24">
                        <c:v>3869.0345720692885</c:v>
                      </c:pt>
                      <c:pt idx="25">
                        <c:v>4452.3708975098743</c:v>
                      </c:pt>
                      <c:pt idx="26">
                        <c:v>5086.1366565803964</c:v>
                      </c:pt>
                      <c:pt idx="27">
                        <c:v>5772.1007956130143</c:v>
                      </c:pt>
                      <c:pt idx="28">
                        <c:v>6511.8595975288026</c:v>
                      </c:pt>
                      <c:pt idx="29">
                        <c:v>7306.821706439895</c:v>
                      </c:pt>
                      <c:pt idx="30">
                        <c:v>8158.1950997848471</c:v>
                      </c:pt>
                      <c:pt idx="31">
                        <c:v>9066.9761378071744</c:v>
                      </c:pt>
                      <c:pt idx="32">
                        <c:v>10033.940780693518</c:v>
                      </c:pt>
                      <c:pt idx="33">
                        <c:v>11059.63802476795</c:v>
                      </c:pt>
                      <c:pt idx="34">
                        <c:v>12144.385571649671</c:v>
                      </c:pt>
                      <c:pt idx="35">
                        <c:v>13288.267708960697</c:v>
                      </c:pt>
                      <c:pt idx="36">
                        <c:v>14491.135348627937</c:v>
                      </c:pt>
                      <c:pt idx="37">
                        <c:v>15752.608139537184</c:v>
                      </c:pt>
                      <c:pt idx="38">
                        <c:v>17072.078545612749</c:v>
                      </c:pt>
                      <c:pt idx="39">
                        <c:v>18448.717758537005</c:v>
                      </c:pt>
                      <c:pt idx="40">
                        <c:v>19881.483296394075</c:v>
                      </c:pt>
                      <c:pt idx="41">
                        <c:v>21369.128125521602</c:v>
                      </c:pt>
                      <c:pt idx="42">
                        <c:v>22910.211132691191</c:v>
                      </c:pt>
                      <c:pt idx="43">
                        <c:v>24503.108768241495</c:v>
                      </c:pt>
                      <c:pt idx="44">
                        <c:v>26146.027677722057</c:v>
                      </c:pt>
                      <c:pt idx="45">
                        <c:v>27837.018139688807</c:v>
                      </c:pt>
                      <c:pt idx="46">
                        <c:v>29573.988130199949</c:v>
                      </c:pt>
                      <c:pt idx="47">
                        <c:v>31354.717839953013</c:v>
                      </c:pt>
                      <c:pt idx="48">
                        <c:v>33176.874477522208</c:v>
                      </c:pt>
                      <c:pt idx="49">
                        <c:v>35038.027201443147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6480-4003-A92A-241054E60060}"/>
                  </c:ext>
                </c:extLst>
              </c15:ser>
            </c15:filteredScatterSeries>
            <c15:filteredScatterSeries>
              <c15:ser>
                <c:idx val="5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Gompertz'!$AA$7</c15:sqref>
                        </c15:formulaRef>
                      </c:ext>
                    </c:extLst>
                    <c:strCache>
                      <c:ptCount val="1"/>
                      <c:pt idx="0">
                        <c:v>New_Deaths_fit</c:v>
                      </c:pt>
                    </c:strCache>
                  </c:strRef>
                </c:tx>
                <c:spPr>
                  <a:ln w="952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Gompertz'!$AA$8:$AA$78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6.4560512208157089E-2</c:v>
                      </c:pt>
                      <c:pt idx="1">
                        <c:v>0.15657194866897581</c:v>
                      </c:pt>
                      <c:pt idx="2">
                        <c:v>0.35349076105285243</c:v>
                      </c:pt>
                      <c:pt idx="3">
                        <c:v>0.74691141112517245</c:v>
                      </c:pt>
                      <c:pt idx="4">
                        <c:v>1.4843119724666145</c:v>
                      </c:pt>
                      <c:pt idx="5">
                        <c:v>2.7869271711761572</c:v>
                      </c:pt>
                      <c:pt idx="6">
                        <c:v>4.9648092336005343</c:v>
                      </c:pt>
                      <c:pt idx="7">
                        <c:v>8.4246537695833492</c:v>
                      </c:pt>
                      <c:pt idx="8">
                        <c:v>13.666084620304167</c:v>
                      </c:pt>
                      <c:pt idx="9">
                        <c:v>21.263366690909152</c:v>
                      </c:pt>
                      <c:pt idx="10">
                        <c:v>31.831797536258907</c:v>
                      </c:pt>
                      <c:pt idx="11">
                        <c:v>45.98083680241723</c:v>
                      </c:pt>
                      <c:pt idx="12">
                        <c:v>64.25870446611205</c:v>
                      </c:pt>
                      <c:pt idx="13">
                        <c:v>87.095074958970727</c:v>
                      </c:pt>
                      <c:pt idx="14">
                        <c:v>114.74918638255416</c:v>
                      </c:pt>
                      <c:pt idx="15">
                        <c:v>147.2700583762375</c:v>
                      </c:pt>
                      <c:pt idx="16">
                        <c:v>184.47376744802105</c:v>
                      </c:pt>
                      <c:pt idx="17">
                        <c:v>225.94028618662404</c:v>
                      </c:pt>
                      <c:pt idx="18">
                        <c:v>271.02976363498044</c:v>
                      </c:pt>
                      <c:pt idx="19">
                        <c:v>318.91577854109494</c:v>
                      </c:pt>
                      <c:pt idx="20">
                        <c:v>368.63137259072624</c:v>
                      </c:pt>
                      <c:pt idx="21">
                        <c:v>419.12273099652163</c:v>
                      </c:pt>
                      <c:pt idx="22">
                        <c:v>469.30522084829374</c:v>
                      </c:pt>
                      <c:pt idx="23">
                        <c:v>518.1169953427725</c:v>
                      </c:pt>
                      <c:pt idx="24">
                        <c:v>564.56632461108359</c:v>
                      </c:pt>
                      <c:pt idx="25">
                        <c:v>607.77000230866679</c:v>
                      </c:pt>
                      <c:pt idx="26">
                        <c:v>646.98140369246482</c:v>
                      </c:pt>
                      <c:pt idx="27">
                        <c:v>681.60788369870136</c:v>
                      </c:pt>
                      <c:pt idx="28">
                        <c:v>711.21810574758774</c:v>
                      </c:pt>
                      <c:pt idx="29">
                        <c:v>735.54053936374669</c:v>
                      </c:pt>
                      <c:pt idx="30">
                        <c:v>754.45475563542323</c:v>
                      </c:pt>
                      <c:pt idx="31">
                        <c:v>767.97731223817448</c:v>
                      </c:pt>
                      <c:pt idx="32">
                        <c:v>776.24399934191888</c:v>
                      </c:pt>
                      <c:pt idx="33">
                        <c:v>779.49006543035796</c:v>
                      </c:pt>
                      <c:pt idx="34">
                        <c:v>778.02980729455305</c:v>
                      </c:pt>
                      <c:pt idx="35">
                        <c:v>772.23663384618942</c:v>
                      </c:pt>
                      <c:pt idx="36">
                        <c:v>762.52443238193848</c:v>
                      </c:pt>
                      <c:pt idx="37">
                        <c:v>749.3308023187717</c:v>
                      </c:pt>
                      <c:pt idx="38">
                        <c:v>733.10249015623492</c:v>
                      </c:pt>
                      <c:pt idx="39">
                        <c:v>714.28316808534566</c:v>
                      </c:pt>
                      <c:pt idx="40">
                        <c:v>693.30354921472474</c:v>
                      </c:pt>
                      <c:pt idx="41">
                        <c:v>670.57372286493876</c:v>
                      </c:pt>
                      <c:pt idx="42">
                        <c:v>646.4775194011454</c:v>
                      </c:pt>
                      <c:pt idx="43">
                        <c:v>621.3686699973573</c:v>
                      </c:pt>
                      <c:pt idx="44">
                        <c:v>595.56850655421658</c:v>
                      </c:pt>
                      <c:pt idx="45">
                        <c:v>569.36494496150124</c:v>
                      </c:pt>
                      <c:pt idx="46">
                        <c:v>543.01250584036609</c:v>
                      </c:pt>
                      <c:pt idx="47">
                        <c:v>516.7331464341936</c:v>
                      </c:pt>
                      <c:pt idx="48">
                        <c:v>490.71770189246485</c:v>
                      </c:pt>
                      <c:pt idx="49">
                        <c:v>465.12776106507363</c:v>
                      </c:pt>
                      <c:pt idx="50">
                        <c:v>440.09782907261302</c:v>
                      </c:pt>
                      <c:pt idx="51">
                        <c:v>415.73765493330552</c:v>
                      </c:pt>
                      <c:pt idx="52">
                        <c:v>392.13462650166332</c:v>
                      </c:pt>
                      <c:pt idx="53">
                        <c:v>369.35615639072978</c:v>
                      </c:pt>
                      <c:pt idx="54">
                        <c:v>347.45200118506318</c:v>
                      </c:pt>
                      <c:pt idx="55">
                        <c:v>326.45647209149104</c:v>
                      </c:pt>
                      <c:pt idx="56">
                        <c:v>306.39050834709275</c:v>
                      </c:pt>
                      <c:pt idx="57">
                        <c:v>287.26359542551347</c:v>
                      </c:pt>
                      <c:pt idx="58">
                        <c:v>269.0755186184478</c:v>
                      </c:pt>
                      <c:pt idx="59">
                        <c:v>251.8179492027428</c:v>
                      </c:pt>
                      <c:pt idx="60">
                        <c:v>235.47586541715353</c:v>
                      </c:pt>
                      <c:pt idx="61">
                        <c:v>220.02881413343582</c:v>
                      </c:pt>
                      <c:pt idx="62">
                        <c:v>205.45202165813569</c:v>
                      </c:pt>
                      <c:pt idx="63">
                        <c:v>191.71736376086059</c:v>
                      </c:pt>
                      <c:pt idx="64">
                        <c:v>178.79420598015491</c:v>
                      </c:pt>
                      <c:pt idx="65">
                        <c:v>166.65012566953072</c:v>
                      </c:pt>
                      <c:pt idx="66">
                        <c:v>155.25152724765945</c:v>
                      </c:pt>
                      <c:pt idx="67">
                        <c:v>144.56416181838475</c:v>
                      </c:pt>
                      <c:pt idx="68">
                        <c:v>134.55356181722763</c:v>
                      </c:pt>
                      <c:pt idx="69">
                        <c:v>125.185400692416</c:v>
                      </c:pt>
                      <c:pt idx="70">
                        <c:v>116.42578689573374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480-4003-A92A-241054E60060}"/>
                  </c:ext>
                </c:extLst>
              </c15:ser>
            </c15:filteredScatterSeries>
            <c15:filteredScatterSeries>
              <c15:ser>
                <c:idx val="6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Gompertz'!$AC$7</c15:sqref>
                        </c15:formulaRef>
                      </c:ext>
                    </c:extLst>
                    <c:strCache>
                      <c:ptCount val="1"/>
                      <c:pt idx="0">
                        <c:v>D_Upper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Gompertz'!$AC$8:$AC$78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213.70403863913805</c:v>
                      </c:pt>
                      <c:pt idx="1">
                        <c:v>213.80853623190779</c:v>
                      </c:pt>
                      <c:pt idx="2">
                        <c:v>214.05172503680956</c:v>
                      </c:pt>
                      <c:pt idx="3">
                        <c:v>214.58039874788452</c:v>
                      </c:pt>
                      <c:pt idx="4">
                        <c:v>215.65938477908131</c:v>
                      </c:pt>
                      <c:pt idx="5">
                        <c:v>217.73643112487096</c:v>
                      </c:pt>
                      <c:pt idx="6">
                        <c:v>221.52390539727418</c:v>
                      </c:pt>
                      <c:pt idx="7">
                        <c:v>228.09231812483662</c:v>
                      </c:pt>
                      <c:pt idx="8">
                        <c:v>238.96622483563667</c:v>
                      </c:pt>
                      <c:pt idx="9">
                        <c:v>256.20929707887672</c:v>
                      </c:pt>
                      <c:pt idx="10">
                        <c:v>282.48339432302549</c:v>
                      </c:pt>
                      <c:pt idx="11">
                        <c:v>321.06710606943295</c:v>
                      </c:pt>
                      <c:pt idx="12">
                        <c:v>375.82266853043745</c:v>
                      </c:pt>
                      <c:pt idx="13">
                        <c:v>451.10592606807165</c:v>
                      </c:pt>
                      <c:pt idx="14">
                        <c:v>551.62109092964624</c:v>
                      </c:pt>
                      <c:pt idx="15">
                        <c:v>682.22916704210729</c:v>
                      </c:pt>
                      <c:pt idx="16">
                        <c:v>847.7248029553698</c:v>
                      </c:pt>
                      <c:pt idx="17">
                        <c:v>1052.6001037839737</c:v>
                      </c:pt>
                      <c:pt idx="18">
                        <c:v>1300.8151183301188</c:v>
                      </c:pt>
                      <c:pt idx="19">
                        <c:v>1595.593381871945</c:v>
                      </c:pt>
                      <c:pt idx="20">
                        <c:v>1939.2575032091449</c:v>
                      </c:pt>
                      <c:pt idx="21">
                        <c:v>2333.1150541747943</c:v>
                      </c:pt>
                      <c:pt idx="22">
                        <c:v>2777.399747292246</c:v>
                      </c:pt>
                      <c:pt idx="23">
                        <c:v>3271.2677996165226</c:v>
                      </c:pt>
                      <c:pt idx="24">
                        <c:v>3812.8450365012136</c:v>
                      </c:pt>
                      <c:pt idx="25">
                        <c:v>4399.3170331234278</c:v>
                      </c:pt>
                      <c:pt idx="26">
                        <c:v>5027.0525580115491</c:v>
                      </c:pt>
                      <c:pt idx="27">
                        <c:v>5691.7497293063407</c:v>
                      </c:pt>
                      <c:pt idx="28">
                        <c:v>6388.5944542417765</c:v>
                      </c:pt>
                      <c:pt idx="29">
                        <c:v>7112.4216586003431</c:v>
                      </c:pt>
                      <c:pt idx="30">
                        <c:v>7857.8712670002587</c:v>
                      </c:pt>
                      <c:pt idx="31">
                        <c:v>8619.532622553108</c:v>
                      </c:pt>
                      <c:pt idx="32">
                        <c:v>9392.0728291003998</c:v>
                      </c:pt>
                      <c:pt idx="33">
                        <c:v>10170.346203268557</c:v>
                      </c:pt>
                      <c:pt idx="34">
                        <c:v>10949.483530195161</c:v>
                      </c:pt>
                      <c:pt idx="35">
                        <c:v>11724.961065511003</c:v>
                      </c:pt>
                      <c:pt idx="36">
                        <c:v>12492.650194698113</c:v>
                      </c:pt>
                      <c:pt idx="37">
                        <c:v>13248.849355571285</c:v>
                      </c:pt>
                      <c:pt idx="38">
                        <c:v>13990.300275907664</c:v>
                      </c:pt>
                      <c:pt idx="39">
                        <c:v>14714.190812855508</c:v>
                      </c:pt>
                      <c:pt idx="40">
                        <c:v>15418.146744991614</c:v>
                      </c:pt>
                      <c:pt idx="41">
                        <c:v>16100.214802936209</c:v>
                      </c:pt>
                      <c:pt idx="42">
                        <c:v>16758.839068156412</c:v>
                      </c:pt>
                      <c:pt idx="43">
                        <c:v>17392.832654778929</c:v>
                      </c:pt>
                      <c:pt idx="44">
                        <c:v>18001.346342795263</c:v>
                      </c:pt>
                      <c:pt idx="45">
                        <c:v>18583.835573963916</c:v>
                      </c:pt>
                      <c:pt idx="46">
                        <c:v>19140.026969491322</c:v>
                      </c:pt>
                      <c:pt idx="47">
                        <c:v>19669.885291919873</c:v>
                      </c:pt>
                      <c:pt idx="48">
                        <c:v>20173.581559314101</c:v>
                      </c:pt>
                      <c:pt idx="49">
                        <c:v>20651.462831420024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6480-4003-A92A-241054E60060}"/>
                  </c:ext>
                </c:extLst>
              </c15:ser>
            </c15:filteredScatterSeries>
            <c15:filteredScatterSeries>
              <c15:ser>
                <c:idx val="7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Gompertz'!$AD$7</c15:sqref>
                        </c15:formulaRef>
                      </c:ext>
                    </c:extLst>
                    <c:strCache>
                      <c:ptCount val="1"/>
                      <c:pt idx="0">
                        <c:v>D_Lower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Gompertz'!$AD$8:$AD$78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23.826867519661022</c:v>
                      </c:pt>
                      <c:pt idx="14">
                        <c:v>124.34203238123564</c:v>
                      </c:pt>
                      <c:pt idx="15">
                        <c:v>254.95010849369675</c:v>
                      </c:pt>
                      <c:pt idx="16">
                        <c:v>420.44574440695919</c:v>
                      </c:pt>
                      <c:pt idx="17">
                        <c:v>625.32104523556313</c:v>
                      </c:pt>
                      <c:pt idx="18">
                        <c:v>873.5360597817081</c:v>
                      </c:pt>
                      <c:pt idx="19">
                        <c:v>1168.3143233235342</c:v>
                      </c:pt>
                      <c:pt idx="20">
                        <c:v>1511.9784446607346</c:v>
                      </c:pt>
                      <c:pt idx="21">
                        <c:v>1905.8359956263835</c:v>
                      </c:pt>
                      <c:pt idx="22">
                        <c:v>2350.1206887438352</c:v>
                      </c:pt>
                      <c:pt idx="23">
                        <c:v>2843.9887410681117</c:v>
                      </c:pt>
                      <c:pt idx="24">
                        <c:v>3385.5659779528028</c:v>
                      </c:pt>
                      <c:pt idx="25">
                        <c:v>3972.037974575017</c:v>
                      </c:pt>
                      <c:pt idx="26">
                        <c:v>4599.7734994631383</c:v>
                      </c:pt>
                      <c:pt idx="27">
                        <c:v>5264.4706707579298</c:v>
                      </c:pt>
                      <c:pt idx="28">
                        <c:v>5961.3153956933656</c:v>
                      </c:pt>
                      <c:pt idx="29">
                        <c:v>6685.1426000519323</c:v>
                      </c:pt>
                      <c:pt idx="30">
                        <c:v>7430.5922084518479</c:v>
                      </c:pt>
                      <c:pt idx="31">
                        <c:v>8192.2535640046972</c:v>
                      </c:pt>
                      <c:pt idx="32">
                        <c:v>8964.7937705519889</c:v>
                      </c:pt>
                      <c:pt idx="33">
                        <c:v>9743.0671447201457</c:v>
                      </c:pt>
                      <c:pt idx="34">
                        <c:v>10522.20447164675</c:v>
                      </c:pt>
                      <c:pt idx="35">
                        <c:v>11297.682006962592</c:v>
                      </c:pt>
                      <c:pt idx="36">
                        <c:v>12065.371136149703</c:v>
                      </c:pt>
                      <c:pt idx="37">
                        <c:v>12821.570297022874</c:v>
                      </c:pt>
                      <c:pt idx="38">
                        <c:v>13563.021217359254</c:v>
                      </c:pt>
                      <c:pt idx="39">
                        <c:v>14286.911754307097</c:v>
                      </c:pt>
                      <c:pt idx="40">
                        <c:v>14990.867686443204</c:v>
                      </c:pt>
                      <c:pt idx="41">
                        <c:v>15672.935744387798</c:v>
                      </c:pt>
                      <c:pt idx="42">
                        <c:v>16331.560009608002</c:v>
                      </c:pt>
                      <c:pt idx="43">
                        <c:v>16965.553596230518</c:v>
                      </c:pt>
                      <c:pt idx="44">
                        <c:v>17574.067284246852</c:v>
                      </c:pt>
                      <c:pt idx="45">
                        <c:v>18156.556515415505</c:v>
                      </c:pt>
                      <c:pt idx="46">
                        <c:v>18712.747910942911</c:v>
                      </c:pt>
                      <c:pt idx="47">
                        <c:v>19242.606233371462</c:v>
                      </c:pt>
                      <c:pt idx="48">
                        <c:v>19746.302500765691</c:v>
                      </c:pt>
                      <c:pt idx="49">
                        <c:v>20224.183772871613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6480-4003-A92A-241054E60060}"/>
                  </c:ext>
                </c:extLst>
              </c15:ser>
            </c15:filteredScatterSeries>
            <c15:filteredScatterSeries>
              <c15:ser>
                <c:idx val="2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Gompertz'!$J$7</c15:sqref>
                        </c15:formulaRef>
                      </c:ext>
                    </c:extLst>
                    <c:strCache>
                      <c:ptCount val="1"/>
                      <c:pt idx="0">
                        <c:v>C_Upper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Gompertz'!$J$8:$J$78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2240.9243332863507</c:v>
                      </c:pt>
                      <c:pt idx="1">
                        <c:v>2263.4746695991203</c:v>
                      </c:pt>
                      <c:pt idx="2">
                        <c:v>2301.9639773691461</c:v>
                      </c:pt>
                      <c:pt idx="3">
                        <c:v>2364.915767508623</c:v>
                      </c:pt>
                      <c:pt idx="4">
                        <c:v>2463.8741372631166</c:v>
                      </c:pt>
                      <c:pt idx="5">
                        <c:v>2613.8008058237865</c:v>
                      </c:pt>
                      <c:pt idx="6">
                        <c:v>2833.2877545629053</c:v>
                      </c:pt>
                      <c:pt idx="7">
                        <c:v>3144.5205670882469</c:v>
                      </c:pt>
                      <c:pt idx="8">
                        <c:v>3572.9502963324057</c:v>
                      </c:pt>
                      <c:pt idx="9">
                        <c:v>4146.6628287157318</c:v>
                      </c:pt>
                      <c:pt idx="10">
                        <c:v>4895.4692028355603</c:v>
                      </c:pt>
                      <c:pt idx="11">
                        <c:v>5849.7725942915895</c:v>
                      </c:pt>
                      <c:pt idx="12">
                        <c:v>7039.2928057326644</c:v>
                      </c:pt>
                      <c:pt idx="13">
                        <c:v>8491.7437913836293</c:v>
                      </c:pt>
                      <c:pt idx="14">
                        <c:v>10231.562702308251</c:v>
                      </c:pt>
                      <c:pt idx="15">
                        <c:v>12278.78083248141</c:v>
                      </c:pt>
                      <c:pt idx="16">
                        <c:v>14648.109889615222</c:v>
                      </c:pt>
                      <c:pt idx="17">
                        <c:v>17348.294338275471</c:v>
                      </c:pt>
                      <c:pt idx="18">
                        <c:v>20381.755554117095</c:v>
                      </c:pt>
                      <c:pt idx="19">
                        <c:v>23744.529277875103</c:v>
                      </c:pt>
                      <c:pt idx="20">
                        <c:v>27426.476782711055</c:v>
                      </c:pt>
                      <c:pt idx="21">
                        <c:v>31411.733831447094</c:v>
                      </c:pt>
                      <c:pt idx="22">
                        <c:v>35679.350603712322</c:v>
                      </c:pt>
                      <c:pt idx="23">
                        <c:v>40204.07027809164</c:v>
                      </c:pt>
                      <c:pt idx="24">
                        <c:v>44957.193269088442</c:v>
                      </c:pt>
                      <c:pt idx="25">
                        <c:v>49907.477307732239</c:v>
                      </c:pt>
                      <c:pt idx="26">
                        <c:v>55022.029532948967</c:v>
                      </c:pt>
                      <c:pt idx="27">
                        <c:v>60267.154449730275</c:v>
                      </c:pt>
                      <c:pt idx="28">
                        <c:v>65609.13004685333</c:v>
                      </c:pt>
                      <c:pt idx="29">
                        <c:v>71014.892767972284</c:v>
                      </c:pt>
                      <c:pt idx="30">
                        <c:v>76452.619815979284</c:v>
                      </c:pt>
                      <c:pt idx="31">
                        <c:v>81892.204061950819</c:v>
                      </c:pt>
                      <c:pt idx="32">
                        <c:v>87305.622423340552</c:v>
                      </c:pt>
                      <c:pt idx="33">
                        <c:v>92667.202910704611</c:v>
                      </c:pt>
                      <c:pt idx="34">
                        <c:v>97953.798663685331</c:v>
                      </c:pt>
                      <c:pt idx="35">
                        <c:v>103144.87932214988</c:v>
                      </c:pt>
                      <c:pt idx="36">
                        <c:v>108222.55116545365</c:v>
                      </c:pt>
                      <c:pt idx="37">
                        <c:v>113171.51777711367</c:v>
                      </c:pt>
                      <c:pt idx="38">
                        <c:v>117978.99272842308</c:v>
                      </c:pt>
                      <c:pt idx="39">
                        <c:v>122634.57508467717</c:v>
                      </c:pt>
                      <c:pt idx="40">
                        <c:v>127130.09756374963</c:v>
                      </c:pt>
                      <c:pt idx="41">
                        <c:v>131459.45603748356</c:v>
                      </c:pt>
                      <c:pt idx="42">
                        <c:v>135618.42785656973</c:v>
                      </c:pt>
                      <c:pt idx="43">
                        <c:v>139604.48527150592</c:v>
                      </c:pt>
                      <c:pt idx="44">
                        <c:v>143416.60906793704</c:v>
                      </c:pt>
                      <c:pt idx="45">
                        <c:v>147055.10646909694</c:v>
                      </c:pt>
                      <c:pt idx="46">
                        <c:v>150521.43640214196</c:v>
                      </c:pt>
                      <c:pt idx="47">
                        <c:v>153818.04438886989</c:v>
                      </c:pt>
                      <c:pt idx="48">
                        <c:v>156948.2086064129</c:v>
                      </c:pt>
                      <c:pt idx="49">
                        <c:v>159915.89806587881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480-4003-A92A-241054E60060}"/>
                  </c:ext>
                </c:extLst>
              </c15:ser>
            </c15:filteredScatterSeries>
            <c15:filteredScatterSeries>
              <c15:ser>
                <c:idx val="3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Gompertz'!$K$7</c15:sqref>
                        </c15:formulaRef>
                      </c:ext>
                    </c:extLst>
                    <c:strCache>
                      <c:ptCount val="1"/>
                      <c:pt idx="0">
                        <c:v>C_Lower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Gompertz'!$K$8:$K$78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464.77504937915683</c:v>
                      </c:pt>
                      <c:pt idx="11">
                        <c:v>1419.078440835186</c:v>
                      </c:pt>
                      <c:pt idx="12">
                        <c:v>2608.598652276261</c:v>
                      </c:pt>
                      <c:pt idx="13">
                        <c:v>4061.0496379272258</c:v>
                      </c:pt>
                      <c:pt idx="14">
                        <c:v>5800.8685488518477</c:v>
                      </c:pt>
                      <c:pt idx="15">
                        <c:v>7848.0866790250075</c:v>
                      </c:pt>
                      <c:pt idx="16">
                        <c:v>10217.415736158819</c:v>
                      </c:pt>
                      <c:pt idx="17">
                        <c:v>12917.600184819068</c:v>
                      </c:pt>
                      <c:pt idx="18">
                        <c:v>15951.061400660692</c:v>
                      </c:pt>
                      <c:pt idx="19">
                        <c:v>19313.8351244187</c:v>
                      </c:pt>
                      <c:pt idx="20">
                        <c:v>22995.782629254652</c:v>
                      </c:pt>
                      <c:pt idx="21">
                        <c:v>26981.039677990691</c:v>
                      </c:pt>
                      <c:pt idx="22">
                        <c:v>31248.656450255916</c:v>
                      </c:pt>
                      <c:pt idx="23">
                        <c:v>35773.37612463523</c:v>
                      </c:pt>
                      <c:pt idx="24">
                        <c:v>40526.499115632032</c:v>
                      </c:pt>
                      <c:pt idx="25">
                        <c:v>45476.783154275829</c:v>
                      </c:pt>
                      <c:pt idx="26">
                        <c:v>50591.335379492557</c:v>
                      </c:pt>
                      <c:pt idx="27">
                        <c:v>55836.460296273865</c:v>
                      </c:pt>
                      <c:pt idx="28">
                        <c:v>61178.43589339692</c:v>
                      </c:pt>
                      <c:pt idx="29">
                        <c:v>66584.198614515888</c:v>
                      </c:pt>
                      <c:pt idx="30">
                        <c:v>72021.925662522888</c:v>
                      </c:pt>
                      <c:pt idx="31">
                        <c:v>77461.509908494423</c:v>
                      </c:pt>
                      <c:pt idx="32">
                        <c:v>82874.928269884156</c:v>
                      </c:pt>
                      <c:pt idx="33">
                        <c:v>88236.508757248215</c:v>
                      </c:pt>
                      <c:pt idx="34">
                        <c:v>93523.104510228935</c:v>
                      </c:pt>
                      <c:pt idx="35">
                        <c:v>98714.185168693482</c:v>
                      </c:pt>
                      <c:pt idx="36">
                        <c:v>103791.85701199726</c:v>
                      </c:pt>
                      <c:pt idx="37">
                        <c:v>108740.82362365727</c:v>
                      </c:pt>
                      <c:pt idx="38">
                        <c:v>113548.29857496668</c:v>
                      </c:pt>
                      <c:pt idx="39">
                        <c:v>118203.88093122077</c:v>
                      </c:pt>
                      <c:pt idx="40">
                        <c:v>122699.40341029323</c:v>
                      </c:pt>
                      <c:pt idx="41">
                        <c:v>127028.76188402716</c:v>
                      </c:pt>
                      <c:pt idx="42">
                        <c:v>131187.73370311331</c:v>
                      </c:pt>
                      <c:pt idx="43">
                        <c:v>135173.7911180495</c:v>
                      </c:pt>
                      <c:pt idx="44">
                        <c:v>138985.91491448061</c:v>
                      </c:pt>
                      <c:pt idx="45">
                        <c:v>142624.41231564051</c:v>
                      </c:pt>
                      <c:pt idx="46">
                        <c:v>146090.74224868554</c:v>
                      </c:pt>
                      <c:pt idx="47">
                        <c:v>149387.35023541347</c:v>
                      </c:pt>
                      <c:pt idx="48">
                        <c:v>152517.51445295647</c:v>
                      </c:pt>
                      <c:pt idx="49">
                        <c:v>155485.20391242238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480-4003-A92A-241054E60060}"/>
                  </c:ext>
                </c:extLst>
              </c15:ser>
            </c15:filteredScatterSeries>
          </c:ext>
        </c:extLst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Days from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Daily 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'Cumul_confirmed - Gompertz'!$AF$38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'Cumul_confirmed - Gompertz'!$AF$31</c:f>
              <c:strCache>
                <c:ptCount val="1"/>
                <c:pt idx="0">
                  <c:v>Deaths</c:v>
                </c:pt>
              </c:strCache>
            </c:strRef>
          </c:cat>
          <c:val>
            <c:numRef>
              <c:f>'Cumul_confirmed - Gompertz'!$AG$38</c:f>
              <c:numCache>
                <c:formatCode>0.0000</c:formatCode>
                <c:ptCount val="1"/>
                <c:pt idx="0">
                  <c:v>0.99984471102097194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C5-45B8-B127-BD941090783B}"/>
            </c:ext>
          </c:extLst>
        </c:ser>
        <c:ser>
          <c:idx val="1"/>
          <c:order val="1"/>
          <c:tx>
            <c:strRef>
              <c:f>'Cumul_confirmed - Gompertz'!$AF$40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'Cumul_confirmed - Gompertz'!$AG$40</c:f>
              <c:numCache>
                <c:formatCode>0</c:formatCode>
                <c:ptCount val="1"/>
                <c:pt idx="0">
                  <c:v>213.6395292742053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4-4ED5-A028-64FF1F9E9F9D}"/>
            </c:ext>
          </c:extLst>
        </c:ser>
        <c:ser>
          <c:idx val="2"/>
          <c:order val="2"/>
          <c:tx>
            <c:strRef>
              <c:f>'Cumul_confirmed - Gompertz'!$AF$41</c:f>
              <c:strCache>
                <c:ptCount val="1"/>
                <c:pt idx="0">
                  <c:v>Saturation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'Cumul_confirmed - Gompertz'!$AG$41</c:f>
              <c:numCache>
                <c:formatCode>0</c:formatCode>
                <c:ptCount val="1"/>
                <c:pt idx="0">
                  <c:v>27443.196525992516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F4-4ED5-A028-64FF1F9E9F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'Cumul_confirmed - Gompertz'!$AF$26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'Cumul_confirmed - Gompertz'!$AF$19</c:f>
              <c:strCache>
                <c:ptCount val="1"/>
                <c:pt idx="0">
                  <c:v>Recovered</c:v>
                </c:pt>
              </c:strCache>
            </c:strRef>
          </c:cat>
          <c:val>
            <c:numRef>
              <c:f>'Cumul_confirmed - Gompertz'!$AG$26</c:f>
              <c:numCache>
                <c:formatCode>0.0000</c:formatCode>
                <c:ptCount val="1"/>
                <c:pt idx="0">
                  <c:v>0.99905469366792921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24-46E1-B41A-8365D5B6ADB2}"/>
            </c:ext>
          </c:extLst>
        </c:ser>
        <c:ser>
          <c:idx val="1"/>
          <c:order val="1"/>
          <c:tx>
            <c:strRef>
              <c:f>'Cumul_confirmed - Gompertz'!$AF$28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'Cumul_confirmed - Gompertz'!$AG$28</c:f>
              <c:numCache>
                <c:formatCode>0</c:formatCode>
                <c:ptCount val="1"/>
                <c:pt idx="0">
                  <c:v>791.71031266048522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AF-49DE-A4D6-700CB0C04F71}"/>
            </c:ext>
          </c:extLst>
        </c:ser>
        <c:ser>
          <c:idx val="2"/>
          <c:order val="2"/>
          <c:tx>
            <c:strRef>
              <c:f>'Cumul_confirmed - Gompertz'!$AF$29</c:f>
              <c:strCache>
                <c:ptCount val="1"/>
                <c:pt idx="0">
                  <c:v>Saturation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'Cumul_confirmed - Gompertz'!$AG$29</c:f>
              <c:numCache>
                <c:formatCode>0</c:formatCode>
                <c:ptCount val="1"/>
                <c:pt idx="0">
                  <c:v>175210.61070304521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AF-49DE-A4D6-700CB0C04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ln>
                  <a:gradFill>
                    <a:gsLst>
                      <a:gs pos="0">
                        <a:schemeClr val="accent1">
                          <a:lumMod val="5000"/>
                          <a:lumOff val="95000"/>
                        </a:schemeClr>
                      </a:gs>
                      <a:gs pos="74000">
                        <a:schemeClr val="accent1">
                          <a:lumMod val="45000"/>
                          <a:lumOff val="55000"/>
                        </a:schemeClr>
                      </a:gs>
                      <a:gs pos="83000">
                        <a:schemeClr val="accent1">
                          <a:lumMod val="45000"/>
                          <a:lumOff val="55000"/>
                        </a:schemeClr>
                      </a:gs>
                      <a:gs pos="100000">
                        <a:schemeClr val="accent1">
                          <a:lumMod val="30000"/>
                          <a:lumOff val="70000"/>
                        </a:schemeClr>
                      </a:gs>
                    </a:gsLst>
                    <a:lin ang="5400000" scaled="1"/>
                  </a:gradFill>
                </a:ln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'Cumul_confirmed - Gompertz'!$AF$14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'Cumul_confirmed - Gompertz'!$AF$7</c:f>
              <c:strCache>
                <c:ptCount val="1"/>
                <c:pt idx="0">
                  <c:v>Confirmed</c:v>
                </c:pt>
              </c:strCache>
            </c:strRef>
          </c:cat>
          <c:val>
            <c:numRef>
              <c:f>'Cumul_confirmed - Gompertz'!$AG$14</c:f>
              <c:numCache>
                <c:formatCode>0.0000</c:formatCode>
                <c:ptCount val="1"/>
                <c:pt idx="0">
                  <c:v>0.99974481484665689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D8-4A43-A86B-11A7BEE81EBD}"/>
            </c:ext>
          </c:extLst>
        </c:ser>
        <c:ser>
          <c:idx val="1"/>
          <c:order val="1"/>
          <c:tx>
            <c:strRef>
              <c:f>'Cumul_confirmed - Gompertz'!$AF$16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'Cumul_confirmed - Gompertz'!$AG$16</c:f>
              <c:numCache>
                <c:formatCode>0</c:formatCode>
                <c:ptCount val="1"/>
                <c:pt idx="0">
                  <c:v>2215.347076728202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CA-4902-BFCA-FD5EB3CA0030}"/>
            </c:ext>
          </c:extLst>
        </c:ser>
        <c:ser>
          <c:idx val="2"/>
          <c:order val="2"/>
          <c:tx>
            <c:strRef>
              <c:f>'Cumul_confirmed - Gompertz'!$AF$17</c:f>
              <c:strCache>
                <c:ptCount val="1"/>
                <c:pt idx="0">
                  <c:v>Saturation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'Cumul_confirmed - Gompertz'!$AG$17</c:f>
              <c:numCache>
                <c:formatCode>0</c:formatCode>
                <c:ptCount val="1"/>
                <c:pt idx="0">
                  <c:v>202653.80722903772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CA-4902-BFCA-FD5EB3CA0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ln>
                  <a:noFill/>
                </a:ln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a:ln>
          <a:solidFill>
            <a:srgbClr val="0070C0"/>
          </a:solidFill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effectLst/>
              </a:rPr>
              <a:t>COVID-19 Italy Confirmed Cases</a:t>
            </a:r>
            <a:endParaRPr lang="it-IT">
              <a:effectLst/>
            </a:endParaRPr>
          </a:p>
          <a:p>
            <a:pPr>
              <a:defRPr/>
            </a:pPr>
            <a:r>
              <a:rPr lang="it-IT" sz="1800" b="1" i="0" baseline="0">
                <a:effectLst/>
              </a:rPr>
              <a:t>Daily New Cases, Recovered and Deaths - Gompertz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'New_confirmed - Gompertz'!$H$7</c:f>
              <c:strCache>
                <c:ptCount val="1"/>
                <c:pt idx="0">
                  <c:v>New_cases_fit</c:v>
                </c:pt>
              </c:strCache>
            </c:strRef>
          </c:tx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Gompertz'!$C$8:$C$78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'New_confirmed - Gompertz'!$H$8:$H$78</c:f>
              <c:numCache>
                <c:formatCode>0</c:formatCode>
                <c:ptCount val="71"/>
                <c:pt idx="0">
                  <c:v>16.76619387781767</c:v>
                </c:pt>
                <c:pt idx="1">
                  <c:v>29.326746300774978</c:v>
                </c:pt>
                <c:pt idx="2">
                  <c:v>49.063847120651957</c:v>
                </c:pt>
                <c:pt idx="3">
                  <c:v>78.756946272744955</c:v>
                </c:pt>
                <c:pt idx="4">
                  <c:v>121.64970969740814</c:v>
                </c:pt>
                <c:pt idx="5">
                  <c:v>181.30279810807014</c:v>
                </c:pt>
                <c:pt idx="6">
                  <c:v>261.37413789411426</c:v>
                </c:pt>
                <c:pt idx="7">
                  <c:v>365.34389670050433</c:v>
                </c:pt>
                <c:pt idx="8">
                  <c:v>496.21183980892084</c:v>
                </c:pt>
                <c:pt idx="9">
                  <c:v>656.20081174505128</c:v>
                </c:pt>
                <c:pt idx="10">
                  <c:v>846.50062318094228</c:v>
                </c:pt>
                <c:pt idx="11">
                  <c:v>1067.0817404258862</c:v>
                </c:pt>
                <c:pt idx="12">
                  <c:v>1316.5990761749904</c:v>
                </c:pt>
                <c:pt idx="13">
                  <c:v>1592.3947483089371</c:v>
                </c:pt>
                <c:pt idx="14">
                  <c:v>1890.5969730845879</c:v>
                </c:pt>
                <c:pt idx="15">
                  <c:v>2206.3020937589085</c:v>
                </c:pt>
                <c:pt idx="16">
                  <c:v>2533.8193642527394</c:v>
                </c:pt>
                <c:pt idx="17">
                  <c:v>2866.9540895321479</c:v>
                </c:pt>
                <c:pt idx="18">
                  <c:v>3199.3040250723498</c:v>
                </c:pt>
                <c:pt idx="19">
                  <c:v>3524.5460383569366</c:v>
                </c:pt>
                <c:pt idx="20">
                  <c:v>3836.6941398404656</c:v>
                </c:pt>
                <c:pt idx="21">
                  <c:v>4130.3152167953949</c:v>
                </c:pt>
                <c:pt idx="22">
                  <c:v>4400.6943338460978</c:v>
                </c:pt>
                <c:pt idx="23">
                  <c:v>4643.9466442858147</c:v>
                </c:pt>
                <c:pt idx="24">
                  <c:v>4857.0773383495443</c:v>
                </c:pt>
                <c:pt idx="25">
                  <c:v>5037.9943968491807</c:v>
                </c:pt>
                <c:pt idx="26">
                  <c:v>5185.4811567458501</c:v>
                </c:pt>
                <c:pt idx="27">
                  <c:v>5299.1368984068476</c:v>
                </c:pt>
                <c:pt idx="28">
                  <c:v>5379.2939872692614</c:v>
                </c:pt>
                <c:pt idx="29">
                  <c:v>5426.9197428674006</c:v>
                </c:pt>
                <c:pt idx="30">
                  <c:v>5443.5103715552286</c:v>
                </c:pt>
                <c:pt idx="31">
                  <c:v>5430.9831761005362</c:v>
                </c:pt>
                <c:pt idx="32">
                  <c:v>5391.5720061783841</c:v>
                </c:pt>
                <c:pt idx="33">
                  <c:v>5327.7296631617346</c:v>
                </c:pt>
                <c:pt idx="34">
                  <c:v>5242.0398086824134</c:v>
                </c:pt>
                <c:pt idx="35">
                  <c:v>5137.1399045945191</c:v>
                </c:pt>
                <c:pt idx="36">
                  <c:v>5015.6558603730027</c:v>
                </c:pt>
                <c:pt idx="37">
                  <c:v>4880.1483898601018</c:v>
                </c:pt>
                <c:pt idx="38">
                  <c:v>4733.0705750495772</c:v>
                </c:pt>
                <c:pt idx="39">
                  <c:v>4576.7357832233738</c:v>
                </c:pt>
                <c:pt idx="40">
                  <c:v>4413.2948630595956</c:v>
                </c:pt>
                <c:pt idx="41">
                  <c:v>4244.7214313242521</c:v>
                </c:pt>
                <c:pt idx="42">
                  <c:v>4072.8040309470907</c:v>
                </c:pt>
                <c:pt idx="43">
                  <c:v>3899.1439721506463</c:v>
                </c:pt>
                <c:pt idx="44">
                  <c:v>3725.1577421452093</c:v>
                </c:pt>
                <c:pt idx="45">
                  <c:v>3552.0829701551588</c:v>
                </c:pt>
                <c:pt idx="46">
                  <c:v>3380.9870507698779</c:v>
                </c:pt>
                <c:pt idx="47">
                  <c:v>3212.7776502856364</c:v>
                </c:pt>
                <c:pt idx="48">
                  <c:v>3048.2144408472295</c:v>
                </c:pt>
                <c:pt idx="49">
                  <c:v>2887.9215209857275</c:v>
                </c:pt>
                <c:pt idx="50">
                  <c:v>2732.4000855014697</c:v>
                </c:pt>
                <c:pt idx="51">
                  <c:v>2582.0410008444023</c:v>
                </c:pt>
                <c:pt idx="52">
                  <c:v>2437.1370235086715</c:v>
                </c:pt>
                <c:pt idx="53">
                  <c:v>2297.8944685383267</c:v>
                </c:pt>
                <c:pt idx="54">
                  <c:v>2164.4441935958857</c:v>
                </c:pt>
                <c:pt idx="55">
                  <c:v>2036.8518120564111</c:v>
                </c:pt>
                <c:pt idx="56">
                  <c:v>1915.1270873170238</c:v>
                </c:pt>
                <c:pt idx="57">
                  <c:v>1799.2324910890638</c:v>
                </c:pt>
                <c:pt idx="58">
                  <c:v>1689.0909320005703</c:v>
                </c:pt>
                <c:pt idx="59">
                  <c:v>1584.5926784616647</c:v>
                </c:pt>
                <c:pt idx="60">
                  <c:v>1485.6015124332632</c:v>
                </c:pt>
                <c:pt idx="61">
                  <c:v>1391.9601593882323</c:v>
                </c:pt>
                <c:pt idx="62">
                  <c:v>1303.495045154061</c:v>
                </c:pt>
                <c:pt idx="63">
                  <c:v>1220.0204331604361</c:v>
                </c:pt>
                <c:pt idx="64">
                  <c:v>1141.3419964644249</c:v>
                </c:pt>
                <c:pt idx="65">
                  <c:v>1067.2598782764003</c:v>
                </c:pt>
                <c:pt idx="66">
                  <c:v>997.5712929626111</c:v>
                </c:pt>
                <c:pt idx="67">
                  <c:v>932.07271698161742</c:v>
                </c:pt>
                <c:pt idx="68">
                  <c:v>870.56171618315818</c:v>
                </c:pt>
                <c:pt idx="69">
                  <c:v>812.83845256563768</c:v>
                </c:pt>
                <c:pt idx="70">
                  <c:v>758.70691011204985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FAC-474A-ABEF-27282C118849}"/>
            </c:ext>
          </c:extLst>
        </c:ser>
        <c:ser>
          <c:idx val="9"/>
          <c:order val="5"/>
          <c:tx>
            <c:strRef>
              <c:f>'New_confirmed - Gompertz'!$N$7</c:f>
              <c:strCache>
                <c:ptCount val="1"/>
                <c:pt idx="0">
                  <c:v>New_positive_fit</c:v>
                </c:pt>
              </c:strCache>
            </c:strRef>
          </c:tx>
          <c:spPr>
            <a:ln w="9525" cap="rnd">
              <a:solidFill>
                <a:schemeClr val="tx2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'New_confirmed - Gompertz'!$C$8:$C$78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'New_confirmed - Gompertz'!$N$8:$N$78</c:f>
              <c:numCache>
                <c:formatCode>0</c:formatCode>
                <c:ptCount val="71"/>
                <c:pt idx="0">
                  <c:v>1.4002139374440199</c:v>
                </c:pt>
                <c:pt idx="1">
                  <c:v>9.9571196474032462</c:v>
                </c:pt>
                <c:pt idx="2">
                  <c:v>24.789330899969336</c:v>
                </c:pt>
                <c:pt idx="3">
                  <c:v>48.470643757990722</c:v>
                </c:pt>
                <c:pt idx="4">
                  <c:v>83.976324477514808</c:v>
                </c:pt>
                <c:pt idx="5">
                  <c:v>134.51922180323419</c:v>
                </c:pt>
                <c:pt idx="6">
                  <c:v>203.31644006006985</c:v>
                </c:pt>
                <c:pt idx="7">
                  <c:v>293.30818856437679</c:v>
                </c:pt>
                <c:pt idx="8">
                  <c:v>406.86076084688767</c:v>
                </c:pt>
                <c:pt idx="9">
                  <c:v>545.49038228889799</c:v>
                </c:pt>
                <c:pt idx="10">
                  <c:v>709.64291174668108</c:v>
                </c:pt>
                <c:pt idx="11">
                  <c:v>898.5566861831104</c:v>
                </c:pt>
                <c:pt idx="12">
                  <c:v>1110.224023114281</c:v>
                </c:pt>
                <c:pt idx="13">
                  <c:v>1341.4535657472397</c:v>
                </c:pt>
                <c:pt idx="14">
                  <c:v>1588.0232630837438</c:v>
                </c:pt>
                <c:pt idx="15">
                  <c:v>1844.9042394276082</c:v>
                </c:pt>
                <c:pt idx="16">
                  <c:v>2106.5301745894994</c:v>
                </c:pt>
                <c:pt idx="17">
                  <c:v>2367.0852456219586</c:v>
                </c:pt>
                <c:pt idx="18">
                  <c:v>2620.7856171104049</c:v>
                </c:pt>
                <c:pt idx="19">
                  <c:v>2862.1339205726681</c:v>
                </c:pt>
                <c:pt idx="20">
                  <c:v>3086.1320006808023</c:v>
                </c:pt>
                <c:pt idx="21">
                  <c:v>3288.443380200154</c:v>
                </c:pt>
                <c:pt idx="22">
                  <c:v>3465.5025914260837</c:v>
                </c:pt>
                <c:pt idx="23">
                  <c:v>3614.5732127986757</c:v>
                </c:pt>
                <c:pt idx="24">
                  <c:v>3733.7598867018014</c:v>
                </c:pt>
                <c:pt idx="25">
                  <c:v>3821.9817553969929</c:v>
                </c:pt>
                <c:pt idx="26">
                  <c:v>3878.9157699406937</c:v>
                </c:pt>
                <c:pt idx="27">
                  <c:v>3904.9184226093826</c:v>
                </c:pt>
                <c:pt idx="28">
                  <c:v>3900.9338783298767</c:v>
                </c:pt>
                <c:pt idx="29">
                  <c:v>3868.3954765766775</c:v>
                </c:pt>
                <c:pt idx="30">
                  <c:v>3809.1263496134629</c:v>
                </c:pt>
                <c:pt idx="31">
                  <c:v>3725.2436179972733</c:v>
                </c:pt>
                <c:pt idx="32">
                  <c:v>3619.0693954129133</c:v>
                </c:pt>
                <c:pt idx="33">
                  <c:v>3493.0507355444229</c:v>
                </c:pt>
                <c:pt idx="34">
                  <c:v>3349.6897227123759</c:v>
                </c:pt>
                <c:pt idx="35">
                  <c:v>3191.4841582857148</c:v>
                </c:pt>
                <c:pt idx="36">
                  <c:v>3020.8787212525172</c:v>
                </c:pt>
                <c:pt idx="37">
                  <c:v>2840.2260673749824</c:v>
                </c:pt>
                <c:pt idx="38">
                  <c:v>2651.7570546611823</c:v>
                </c:pt>
                <c:pt idx="39">
                  <c:v>2457.5591189515935</c:v>
                </c:pt>
                <c:pt idx="40">
                  <c:v>2259.5617482256757</c:v>
                </c:pt>
                <c:pt idx="41">
                  <c:v>2059.5279958493779</c:v>
                </c:pt>
                <c:pt idx="42">
                  <c:v>1859.0510123896238</c:v>
                </c:pt>
                <c:pt idx="43">
                  <c:v>1659.5546470089298</c:v>
                </c:pt>
                <c:pt idx="44">
                  <c:v>1462.2972601717752</c:v>
                </c:pt>
                <c:pt idx="45">
                  <c:v>1268.3779896858541</c:v>
                </c:pt>
                <c:pt idx="46">
                  <c:v>1078.7448147277105</c:v>
                </c:pt>
                <c:pt idx="47">
                  <c:v>894.2038623354955</c:v>
                </c:pt>
                <c:pt idx="48">
                  <c:v>715.42949447064962</c:v>
                </c:pt>
                <c:pt idx="49">
                  <c:v>542.97479907228126</c:v>
                </c:pt>
                <c:pt idx="50">
                  <c:v>377.28218448459364</c:v>
                </c:pt>
                <c:pt idx="51">
                  <c:v>218.69384290451831</c:v>
                </c:pt>
                <c:pt idx="52">
                  <c:v>67.461905270856846</c:v>
                </c:pt>
                <c:pt idx="53">
                  <c:v>-76.241842158270288</c:v>
                </c:pt>
                <c:pt idx="54">
                  <c:v>-212.31676966090049</c:v>
                </c:pt>
                <c:pt idx="55">
                  <c:v>-340.72480215749044</c:v>
                </c:pt>
                <c:pt idx="56">
                  <c:v>-461.4824355090455</c:v>
                </c:pt>
                <c:pt idx="57">
                  <c:v>-574.65338261126556</c:v>
                </c:pt>
                <c:pt idx="58">
                  <c:v>-680.34184525247929</c:v>
                </c:pt>
                <c:pt idx="59">
                  <c:v>-778.68639599756807</c:v>
                </c:pt>
                <c:pt idx="60">
                  <c:v>-869.85444589445706</c:v>
                </c:pt>
                <c:pt idx="61">
                  <c:v>-954.03726796691603</c:v>
                </c:pt>
                <c:pt idx="62">
                  <c:v>-1031.4455427318758</c:v>
                </c:pt>
                <c:pt idx="63">
                  <c:v>-1102.3053899136517</c:v>
                </c:pt>
                <c:pt idx="64">
                  <c:v>-1166.854849745017</c:v>
                </c:pt>
                <c:pt idx="65">
                  <c:v>-1225.3407774338928</c:v>
                </c:pt>
                <c:pt idx="66">
                  <c:v>-1278.0161152786718</c:v>
                </c:pt>
                <c:pt idx="67">
                  <c:v>-1325.137508328118</c:v>
                </c:pt>
                <c:pt idx="68">
                  <c:v>-1366.9632312383419</c:v>
                </c:pt>
                <c:pt idx="69">
                  <c:v>-1403.7513959496862</c:v>
                </c:pt>
                <c:pt idx="70">
                  <c:v>-1435.7584118900629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F5B-4E09-90F1-E61A18B2A20F}"/>
            </c:ext>
          </c:extLst>
        </c:ser>
        <c:ser>
          <c:idx val="11"/>
          <c:order val="7"/>
          <c:tx>
            <c:strRef>
              <c:f>'New_confirmed - Gompertz'!$S$7</c:f>
              <c:strCache>
                <c:ptCount val="1"/>
                <c:pt idx="0">
                  <c:v>New_Recovered_fit</c:v>
                </c:pt>
              </c:strCache>
            </c:strRef>
          </c:tx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Gompertz'!$C$8:$C$78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'New_confirmed - Gompertz'!$S$8:$S$78</c:f>
              <c:numCache>
                <c:formatCode>0</c:formatCode>
                <c:ptCount val="71"/>
                <c:pt idx="0">
                  <c:v>15.301419428165493</c:v>
                </c:pt>
                <c:pt idx="1">
                  <c:v>19.213054704702756</c:v>
                </c:pt>
                <c:pt idx="2">
                  <c:v>23.921025459629767</c:v>
                </c:pt>
                <c:pt idx="3">
                  <c:v>29.539391103629058</c:v>
                </c:pt>
                <c:pt idx="4">
                  <c:v>36.18907324742672</c:v>
                </c:pt>
                <c:pt idx="5">
                  <c:v>43.996649133659787</c:v>
                </c:pt>
                <c:pt idx="6">
                  <c:v>53.092888600443878</c:v>
                </c:pt>
                <c:pt idx="7">
                  <c:v>63.611054366544174</c:v>
                </c:pt>
                <c:pt idx="8">
                  <c:v>75.684994341728995</c:v>
                </c:pt>
                <c:pt idx="9">
                  <c:v>89.447062765244155</c:v>
                </c:pt>
                <c:pt idx="10">
                  <c:v>105.02591389800223</c:v>
                </c:pt>
                <c:pt idx="11">
                  <c:v>122.54421744035858</c:v>
                </c:pt>
                <c:pt idx="12">
                  <c:v>142.11634859459738</c:v>
                </c:pt>
                <c:pt idx="13">
                  <c:v>163.84610760272653</c:v>
                </c:pt>
                <c:pt idx="14">
                  <c:v>187.82452361828987</c:v>
                </c:pt>
                <c:pt idx="15">
                  <c:v>214.12779595506279</c:v>
                </c:pt>
                <c:pt idx="16">
                  <c:v>242.81542221521863</c:v>
                </c:pt>
                <c:pt idx="17">
                  <c:v>273.92855772356529</c:v>
                </c:pt>
                <c:pt idx="18">
                  <c:v>307.48864432696405</c:v>
                </c:pt>
                <c:pt idx="19">
                  <c:v>343.49633924317379</c:v>
                </c:pt>
                <c:pt idx="20">
                  <c:v>381.93076656893726</c:v>
                </c:pt>
                <c:pt idx="21">
                  <c:v>422.7491055987191</c:v>
                </c:pt>
                <c:pt idx="22">
                  <c:v>465.88652157172044</c:v>
                </c:pt>
                <c:pt idx="23">
                  <c:v>511.25643614436677</c:v>
                </c:pt>
                <c:pt idx="24">
                  <c:v>558.75112703665968</c:v>
                </c:pt>
                <c:pt idx="25">
                  <c:v>608.24263914352139</c:v>
                </c:pt>
                <c:pt idx="26">
                  <c:v>659.58398311269093</c:v>
                </c:pt>
                <c:pt idx="27">
                  <c:v>712.61059209876419</c:v>
                </c:pt>
                <c:pt idx="28">
                  <c:v>767.14200319179656</c:v>
                </c:pt>
                <c:pt idx="29">
                  <c:v>822.98372692697615</c:v>
                </c:pt>
                <c:pt idx="30">
                  <c:v>879.92926630634213</c:v>
                </c:pt>
                <c:pt idx="31">
                  <c:v>937.76224586508806</c:v>
                </c:pt>
                <c:pt idx="32">
                  <c:v>996.258611423552</c:v>
                </c:pt>
                <c:pt idx="33">
                  <c:v>1055.1888621869543</c:v>
                </c:pt>
                <c:pt idx="34">
                  <c:v>1114.3202786754844</c:v>
                </c:pt>
                <c:pt idx="35">
                  <c:v>1173.4191124626152</c:v>
                </c:pt>
                <c:pt idx="36">
                  <c:v>1232.2527067385474</c:v>
                </c:pt>
                <c:pt idx="37">
                  <c:v>1290.5915201663477</c:v>
                </c:pt>
                <c:pt idx="38">
                  <c:v>1348.2110302321601</c:v>
                </c:pt>
                <c:pt idx="39">
                  <c:v>1404.8934961864347</c:v>
                </c:pt>
                <c:pt idx="40">
                  <c:v>1460.4295656191953</c:v>
                </c:pt>
                <c:pt idx="41">
                  <c:v>1514.6197126099355</c:v>
                </c:pt>
                <c:pt idx="42">
                  <c:v>1567.2754991563213</c:v>
                </c:pt>
                <c:pt idx="43">
                  <c:v>1618.2206551443589</c:v>
                </c:pt>
                <c:pt idx="44">
                  <c:v>1667.2919754192176</c:v>
                </c:pt>
                <c:pt idx="45">
                  <c:v>1714.3400355078033</c:v>
                </c:pt>
                <c:pt idx="46">
                  <c:v>1759.2297302018012</c:v>
                </c:pt>
                <c:pt idx="47">
                  <c:v>1801.8406415159473</c:v>
                </c:pt>
                <c:pt idx="48">
                  <c:v>1842.067244484115</c:v>
                </c:pt>
                <c:pt idx="49">
                  <c:v>1879.8189608483726</c:v>
                </c:pt>
                <c:pt idx="50">
                  <c:v>1915.020071944263</c:v>
                </c:pt>
                <c:pt idx="51">
                  <c:v>1947.6095030065785</c:v>
                </c:pt>
                <c:pt idx="52">
                  <c:v>1977.5404917361514</c:v>
                </c:pt>
                <c:pt idx="53">
                  <c:v>2004.7801543058672</c:v>
                </c:pt>
                <c:pt idx="54">
                  <c:v>2029.308962071723</c:v>
                </c:pt>
                <c:pt idx="55">
                  <c:v>2051.1201421224105</c:v>
                </c:pt>
                <c:pt idx="56">
                  <c:v>2070.2190144789765</c:v>
                </c:pt>
                <c:pt idx="57">
                  <c:v>2086.6222782748159</c:v>
                </c:pt>
                <c:pt idx="58">
                  <c:v>2100.3572586346017</c:v>
                </c:pt>
                <c:pt idx="59">
                  <c:v>2111.46112525649</c:v>
                </c:pt>
                <c:pt idx="60">
                  <c:v>2119.9800929105668</c:v>
                </c:pt>
                <c:pt idx="61">
                  <c:v>2125.9686132217125</c:v>
                </c:pt>
                <c:pt idx="62">
                  <c:v>2129.4885662278011</c:v>
                </c:pt>
                <c:pt idx="63">
                  <c:v>2130.6084593132273</c:v>
                </c:pt>
                <c:pt idx="64">
                  <c:v>2129.402640229287</c:v>
                </c:pt>
                <c:pt idx="65">
                  <c:v>2125.9505300407623</c:v>
                </c:pt>
                <c:pt idx="66">
                  <c:v>2120.3358809936235</c:v>
                </c:pt>
                <c:pt idx="67">
                  <c:v>2112.6460634913506</c:v>
                </c:pt>
                <c:pt idx="68">
                  <c:v>2102.9713856042727</c:v>
                </c:pt>
                <c:pt idx="69">
                  <c:v>2091.404447822908</c:v>
                </c:pt>
                <c:pt idx="70">
                  <c:v>2078.0395351063789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F5B-4E09-90F1-E61A18B2A20F}"/>
            </c:ext>
          </c:extLst>
        </c:ser>
        <c:ser>
          <c:idx val="5"/>
          <c:order val="11"/>
          <c:tx>
            <c:strRef>
              <c:f>'New_confirmed - Gompertz'!$AA$7</c:f>
              <c:strCache>
                <c:ptCount val="1"/>
                <c:pt idx="0">
                  <c:v>New_Deaths_fit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Gompertz'!$C$8:$C$78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'New_confirmed - Gompertz'!$AA$8:$AA$78</c:f>
              <c:numCache>
                <c:formatCode>0</c:formatCode>
                <c:ptCount val="71"/>
                <c:pt idx="0">
                  <c:v>6.4560512208157089E-2</c:v>
                </c:pt>
                <c:pt idx="1">
                  <c:v>0.15657194866897581</c:v>
                </c:pt>
                <c:pt idx="2">
                  <c:v>0.35349076105285243</c:v>
                </c:pt>
                <c:pt idx="3">
                  <c:v>0.74691141112517245</c:v>
                </c:pt>
                <c:pt idx="4">
                  <c:v>1.4843119724666145</c:v>
                </c:pt>
                <c:pt idx="5">
                  <c:v>2.7869271711761572</c:v>
                </c:pt>
                <c:pt idx="6">
                  <c:v>4.9648092336005343</c:v>
                </c:pt>
                <c:pt idx="7">
                  <c:v>8.4246537695833492</c:v>
                </c:pt>
                <c:pt idx="8">
                  <c:v>13.666084620304167</c:v>
                </c:pt>
                <c:pt idx="9">
                  <c:v>21.263366690909152</c:v>
                </c:pt>
                <c:pt idx="10">
                  <c:v>31.831797536258907</c:v>
                </c:pt>
                <c:pt idx="11">
                  <c:v>45.98083680241723</c:v>
                </c:pt>
                <c:pt idx="12">
                  <c:v>64.25870446611205</c:v>
                </c:pt>
                <c:pt idx="13">
                  <c:v>87.095074958970727</c:v>
                </c:pt>
                <c:pt idx="14">
                  <c:v>114.74918638255416</c:v>
                </c:pt>
                <c:pt idx="15">
                  <c:v>147.2700583762375</c:v>
                </c:pt>
                <c:pt idx="16">
                  <c:v>184.47376744802105</c:v>
                </c:pt>
                <c:pt idx="17">
                  <c:v>225.94028618662404</c:v>
                </c:pt>
                <c:pt idx="18">
                  <c:v>271.02976363498044</c:v>
                </c:pt>
                <c:pt idx="19">
                  <c:v>318.91577854109494</c:v>
                </c:pt>
                <c:pt idx="20">
                  <c:v>368.63137259072624</c:v>
                </c:pt>
                <c:pt idx="21">
                  <c:v>419.12273099652163</c:v>
                </c:pt>
                <c:pt idx="22">
                  <c:v>469.30522084829374</c:v>
                </c:pt>
                <c:pt idx="23">
                  <c:v>518.1169953427725</c:v>
                </c:pt>
                <c:pt idx="24">
                  <c:v>564.56632461108359</c:v>
                </c:pt>
                <c:pt idx="25">
                  <c:v>607.77000230866679</c:v>
                </c:pt>
                <c:pt idx="26">
                  <c:v>646.98140369246482</c:v>
                </c:pt>
                <c:pt idx="27">
                  <c:v>681.60788369870136</c:v>
                </c:pt>
                <c:pt idx="28">
                  <c:v>711.21810574758774</c:v>
                </c:pt>
                <c:pt idx="29">
                  <c:v>735.54053936374669</c:v>
                </c:pt>
                <c:pt idx="30">
                  <c:v>754.45475563542323</c:v>
                </c:pt>
                <c:pt idx="31">
                  <c:v>767.97731223817448</c:v>
                </c:pt>
                <c:pt idx="32">
                  <c:v>776.24399934191888</c:v>
                </c:pt>
                <c:pt idx="33">
                  <c:v>779.49006543035796</c:v>
                </c:pt>
                <c:pt idx="34">
                  <c:v>778.02980729455305</c:v>
                </c:pt>
                <c:pt idx="35">
                  <c:v>772.23663384618942</c:v>
                </c:pt>
                <c:pt idx="36">
                  <c:v>762.52443238193848</c:v>
                </c:pt>
                <c:pt idx="37">
                  <c:v>749.3308023187717</c:v>
                </c:pt>
                <c:pt idx="38">
                  <c:v>733.10249015623492</c:v>
                </c:pt>
                <c:pt idx="39">
                  <c:v>714.28316808534566</c:v>
                </c:pt>
                <c:pt idx="40">
                  <c:v>693.30354921472474</c:v>
                </c:pt>
                <c:pt idx="41">
                  <c:v>670.57372286493876</c:v>
                </c:pt>
                <c:pt idx="42">
                  <c:v>646.4775194011454</c:v>
                </c:pt>
                <c:pt idx="43">
                  <c:v>621.3686699973573</c:v>
                </c:pt>
                <c:pt idx="44">
                  <c:v>595.56850655421658</c:v>
                </c:pt>
                <c:pt idx="45">
                  <c:v>569.36494496150124</c:v>
                </c:pt>
                <c:pt idx="46">
                  <c:v>543.01250584036609</c:v>
                </c:pt>
                <c:pt idx="47">
                  <c:v>516.7331464341936</c:v>
                </c:pt>
                <c:pt idx="48">
                  <c:v>490.71770189246485</c:v>
                </c:pt>
                <c:pt idx="49">
                  <c:v>465.12776106507363</c:v>
                </c:pt>
                <c:pt idx="50">
                  <c:v>440.09782907261302</c:v>
                </c:pt>
                <c:pt idx="51">
                  <c:v>415.73765493330552</c:v>
                </c:pt>
                <c:pt idx="52">
                  <c:v>392.13462650166332</c:v>
                </c:pt>
                <c:pt idx="53">
                  <c:v>369.35615639072978</c:v>
                </c:pt>
                <c:pt idx="54">
                  <c:v>347.45200118506318</c:v>
                </c:pt>
                <c:pt idx="55">
                  <c:v>326.45647209149104</c:v>
                </c:pt>
                <c:pt idx="56">
                  <c:v>306.39050834709275</c:v>
                </c:pt>
                <c:pt idx="57">
                  <c:v>287.26359542551347</c:v>
                </c:pt>
                <c:pt idx="58">
                  <c:v>269.0755186184478</c:v>
                </c:pt>
                <c:pt idx="59">
                  <c:v>251.8179492027428</c:v>
                </c:pt>
                <c:pt idx="60">
                  <c:v>235.47586541715353</c:v>
                </c:pt>
                <c:pt idx="61">
                  <c:v>220.02881413343582</c:v>
                </c:pt>
                <c:pt idx="62">
                  <c:v>205.45202165813569</c:v>
                </c:pt>
                <c:pt idx="63">
                  <c:v>191.71736376086059</c:v>
                </c:pt>
                <c:pt idx="64">
                  <c:v>178.79420598015491</c:v>
                </c:pt>
                <c:pt idx="65">
                  <c:v>166.65012566953072</c:v>
                </c:pt>
                <c:pt idx="66">
                  <c:v>155.25152724765945</c:v>
                </c:pt>
                <c:pt idx="67">
                  <c:v>144.56416181838475</c:v>
                </c:pt>
                <c:pt idx="68">
                  <c:v>134.55356181722763</c:v>
                </c:pt>
                <c:pt idx="69">
                  <c:v>125.185400692416</c:v>
                </c:pt>
                <c:pt idx="70">
                  <c:v>116.42578689573374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9A-42E0-ADE0-2A064B8C1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'New_confirmed - Gompertz'!$J$7</c15:sqref>
                        </c15:formulaRef>
                      </c:ext>
                    </c:extLst>
                    <c:strCache>
                      <c:ptCount val="1"/>
                      <c:pt idx="0">
                        <c:v>C_Upper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'New_confirmed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'New_confirmed - Gompertz'!$J$8:$J$78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1200.8211130656782</c:v>
                      </c:pt>
                      <c:pt idx="1">
                        <c:v>1213.3816654886357</c:v>
                      </c:pt>
                      <c:pt idx="2">
                        <c:v>1233.1187663085125</c:v>
                      </c:pt>
                      <c:pt idx="3">
                        <c:v>1262.8118654606055</c:v>
                      </c:pt>
                      <c:pt idx="4">
                        <c:v>1305.7046288852687</c:v>
                      </c:pt>
                      <c:pt idx="5">
                        <c:v>1365.3577172959308</c:v>
                      </c:pt>
                      <c:pt idx="6">
                        <c:v>1445.4290570819749</c:v>
                      </c:pt>
                      <c:pt idx="7">
                        <c:v>1549.3988158883649</c:v>
                      </c:pt>
                      <c:pt idx="8">
                        <c:v>1680.2667589967814</c:v>
                      </c:pt>
                      <c:pt idx="9">
                        <c:v>1840.2557309329118</c:v>
                      </c:pt>
                      <c:pt idx="10">
                        <c:v>2030.5555423688029</c:v>
                      </c:pt>
                      <c:pt idx="11">
                        <c:v>2251.1366596137468</c:v>
                      </c:pt>
                      <c:pt idx="12">
                        <c:v>2500.6539953628508</c:v>
                      </c:pt>
                      <c:pt idx="13">
                        <c:v>2776.4496674967977</c:v>
                      </c:pt>
                      <c:pt idx="14">
                        <c:v>3074.6518922724485</c:v>
                      </c:pt>
                      <c:pt idx="15">
                        <c:v>3390.3570129467689</c:v>
                      </c:pt>
                      <c:pt idx="16">
                        <c:v>3717.8742834406003</c:v>
                      </c:pt>
                      <c:pt idx="17">
                        <c:v>4051.0090087200088</c:v>
                      </c:pt>
                      <c:pt idx="18">
                        <c:v>4383.3589442602106</c:v>
                      </c:pt>
                      <c:pt idx="19">
                        <c:v>4708.600957544797</c:v>
                      </c:pt>
                      <c:pt idx="20">
                        <c:v>5020.749059028326</c:v>
                      </c:pt>
                      <c:pt idx="21">
                        <c:v>5314.3701359832558</c:v>
                      </c:pt>
                      <c:pt idx="22">
                        <c:v>5584.7492530339587</c:v>
                      </c:pt>
                      <c:pt idx="23">
                        <c:v>5828.0015634736756</c:v>
                      </c:pt>
                      <c:pt idx="24">
                        <c:v>6041.1322575374052</c:v>
                      </c:pt>
                      <c:pt idx="25">
                        <c:v>6222.0493160370415</c:v>
                      </c:pt>
                      <c:pt idx="26">
                        <c:v>6369.5360759337109</c:v>
                      </c:pt>
                      <c:pt idx="27">
                        <c:v>6483.1918175947085</c:v>
                      </c:pt>
                      <c:pt idx="28">
                        <c:v>6563.3489064571222</c:v>
                      </c:pt>
                      <c:pt idx="29">
                        <c:v>6610.9746620552614</c:v>
                      </c:pt>
                      <c:pt idx="30">
                        <c:v>6627.5652907430895</c:v>
                      </c:pt>
                      <c:pt idx="31">
                        <c:v>6615.038095288397</c:v>
                      </c:pt>
                      <c:pt idx="32">
                        <c:v>6575.6269253662449</c:v>
                      </c:pt>
                      <c:pt idx="33">
                        <c:v>6511.7845823495954</c:v>
                      </c:pt>
                      <c:pt idx="34">
                        <c:v>6426.0947278702743</c:v>
                      </c:pt>
                      <c:pt idx="35">
                        <c:v>6321.1948237823799</c:v>
                      </c:pt>
                      <c:pt idx="36">
                        <c:v>6199.7107795608636</c:v>
                      </c:pt>
                      <c:pt idx="37">
                        <c:v>6064.2033090479626</c:v>
                      </c:pt>
                      <c:pt idx="38">
                        <c:v>5917.125494237438</c:v>
                      </c:pt>
                      <c:pt idx="39">
                        <c:v>5760.7907024112346</c:v>
                      </c:pt>
                      <c:pt idx="40">
                        <c:v>5597.3497822474565</c:v>
                      </c:pt>
                      <c:pt idx="41">
                        <c:v>5428.7763505121129</c:v>
                      </c:pt>
                      <c:pt idx="42">
                        <c:v>5256.8589501349516</c:v>
                      </c:pt>
                      <c:pt idx="43">
                        <c:v>5083.1988913385067</c:v>
                      </c:pt>
                      <c:pt idx="44">
                        <c:v>4909.2126613330702</c:v>
                      </c:pt>
                      <c:pt idx="45">
                        <c:v>4736.1378893430192</c:v>
                      </c:pt>
                      <c:pt idx="46">
                        <c:v>4565.0419699577387</c:v>
                      </c:pt>
                      <c:pt idx="47">
                        <c:v>4396.8325694734967</c:v>
                      </c:pt>
                      <c:pt idx="48">
                        <c:v>4232.2693600350904</c:v>
                      </c:pt>
                      <c:pt idx="49">
                        <c:v>4071.9764401735883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9FAC-474A-ABEF-27282C118849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Gompertz'!$K$7</c15:sqref>
                        </c15:formulaRef>
                      </c:ext>
                    </c:extLst>
                    <c:strCache>
                      <c:ptCount val="1"/>
                      <c:pt idx="0">
                        <c:v>C_Lower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Gompertz'!$K$8:$K$78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132.54415698712978</c:v>
                      </c:pt>
                      <c:pt idx="13">
                        <c:v>408.33982912107649</c:v>
                      </c:pt>
                      <c:pt idx="14">
                        <c:v>706.54205389672734</c:v>
                      </c:pt>
                      <c:pt idx="15">
                        <c:v>1022.2471745710479</c:v>
                      </c:pt>
                      <c:pt idx="16">
                        <c:v>1349.7644450648788</c:v>
                      </c:pt>
                      <c:pt idx="17">
                        <c:v>1682.8991703442873</c:v>
                      </c:pt>
                      <c:pt idx="18">
                        <c:v>2015.2491058844892</c:v>
                      </c:pt>
                      <c:pt idx="19">
                        <c:v>2340.4911191690762</c:v>
                      </c:pt>
                      <c:pt idx="20">
                        <c:v>2652.6392206526052</c:v>
                      </c:pt>
                      <c:pt idx="21">
                        <c:v>2946.2602976075341</c:v>
                      </c:pt>
                      <c:pt idx="22">
                        <c:v>3216.639414658237</c:v>
                      </c:pt>
                      <c:pt idx="23">
                        <c:v>3459.8917250979539</c:v>
                      </c:pt>
                      <c:pt idx="24">
                        <c:v>3673.0224191616835</c:v>
                      </c:pt>
                      <c:pt idx="25">
                        <c:v>3853.9394776613199</c:v>
                      </c:pt>
                      <c:pt idx="26">
                        <c:v>4001.4262375579892</c:v>
                      </c:pt>
                      <c:pt idx="27">
                        <c:v>4115.0819792189868</c:v>
                      </c:pt>
                      <c:pt idx="28">
                        <c:v>4195.2390680814005</c:v>
                      </c:pt>
                      <c:pt idx="29">
                        <c:v>4242.8648236795398</c:v>
                      </c:pt>
                      <c:pt idx="30">
                        <c:v>4259.4554523673678</c:v>
                      </c:pt>
                      <c:pt idx="31">
                        <c:v>4246.9282569126754</c:v>
                      </c:pt>
                      <c:pt idx="32">
                        <c:v>4207.5170869905232</c:v>
                      </c:pt>
                      <c:pt idx="33">
                        <c:v>4143.6747439738738</c:v>
                      </c:pt>
                      <c:pt idx="34">
                        <c:v>4057.9848894945526</c:v>
                      </c:pt>
                      <c:pt idx="35">
                        <c:v>3953.0849854066582</c:v>
                      </c:pt>
                      <c:pt idx="36">
                        <c:v>3831.6009411851419</c:v>
                      </c:pt>
                      <c:pt idx="37">
                        <c:v>3696.093470672241</c:v>
                      </c:pt>
                      <c:pt idx="38">
                        <c:v>3549.0156558617164</c:v>
                      </c:pt>
                      <c:pt idx="39">
                        <c:v>3392.680864035513</c:v>
                      </c:pt>
                      <c:pt idx="40">
                        <c:v>3229.2399438717348</c:v>
                      </c:pt>
                      <c:pt idx="41">
                        <c:v>3060.6665121363912</c:v>
                      </c:pt>
                      <c:pt idx="42">
                        <c:v>2888.7491117592299</c:v>
                      </c:pt>
                      <c:pt idx="43">
                        <c:v>2715.0890529627859</c:v>
                      </c:pt>
                      <c:pt idx="44">
                        <c:v>2541.1028229573485</c:v>
                      </c:pt>
                      <c:pt idx="45">
                        <c:v>2368.0280509672984</c:v>
                      </c:pt>
                      <c:pt idx="46">
                        <c:v>2196.9321315820171</c:v>
                      </c:pt>
                      <c:pt idx="47">
                        <c:v>2028.7227310977757</c:v>
                      </c:pt>
                      <c:pt idx="48">
                        <c:v>1864.1595216593689</c:v>
                      </c:pt>
                      <c:pt idx="49">
                        <c:v>1703.8666017978669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FAC-474A-ABEF-27282C118849}"/>
                  </c:ext>
                </c:extLst>
              </c15:ser>
            </c15:filteredScatterSeries>
            <c15:filteredScatterSeries>
              <c15:ser>
                <c:idx val="12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Gompertz'!$U$7</c15:sqref>
                        </c15:formulaRef>
                      </c:ext>
                    </c:extLst>
                    <c:strCache>
                      <c:ptCount val="1"/>
                      <c:pt idx="0">
                        <c:v>NR_Upper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Gompertz'!$U$8:$U$78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554.87324069104238</c:v>
                      </c:pt>
                      <c:pt idx="1">
                        <c:v>558.78487596757964</c:v>
                      </c:pt>
                      <c:pt idx="2">
                        <c:v>563.49284672250667</c:v>
                      </c:pt>
                      <c:pt idx="3">
                        <c:v>569.11121236650604</c:v>
                      </c:pt>
                      <c:pt idx="4">
                        <c:v>575.76089451030361</c:v>
                      </c:pt>
                      <c:pt idx="5">
                        <c:v>583.56847039653667</c:v>
                      </c:pt>
                      <c:pt idx="6">
                        <c:v>592.66470986332081</c:v>
                      </c:pt>
                      <c:pt idx="7">
                        <c:v>603.18287562942112</c:v>
                      </c:pt>
                      <c:pt idx="8">
                        <c:v>615.25681560460589</c:v>
                      </c:pt>
                      <c:pt idx="9">
                        <c:v>629.01888402812108</c:v>
                      </c:pt>
                      <c:pt idx="10">
                        <c:v>644.59773516087921</c:v>
                      </c:pt>
                      <c:pt idx="11">
                        <c:v>662.11603870323552</c:v>
                      </c:pt>
                      <c:pt idx="12">
                        <c:v>681.68816985747435</c:v>
                      </c:pt>
                      <c:pt idx="13">
                        <c:v>703.41792886560347</c:v>
                      </c:pt>
                      <c:pt idx="14">
                        <c:v>727.39634488116678</c:v>
                      </c:pt>
                      <c:pt idx="15">
                        <c:v>753.6996172179397</c:v>
                      </c:pt>
                      <c:pt idx="16">
                        <c:v>782.38724347809557</c:v>
                      </c:pt>
                      <c:pt idx="17">
                        <c:v>813.50037898644223</c:v>
                      </c:pt>
                      <c:pt idx="18">
                        <c:v>847.06046558984099</c:v>
                      </c:pt>
                      <c:pt idx="19">
                        <c:v>883.06816050605073</c:v>
                      </c:pt>
                      <c:pt idx="20">
                        <c:v>921.50258783181425</c:v>
                      </c:pt>
                      <c:pt idx="21">
                        <c:v>962.32092686159604</c:v>
                      </c:pt>
                      <c:pt idx="22">
                        <c:v>1005.4583428345974</c:v>
                      </c:pt>
                      <c:pt idx="23">
                        <c:v>1050.8282574072437</c:v>
                      </c:pt>
                      <c:pt idx="24">
                        <c:v>1098.3229482995366</c:v>
                      </c:pt>
                      <c:pt idx="25">
                        <c:v>1147.8144604063982</c:v>
                      </c:pt>
                      <c:pt idx="26">
                        <c:v>1199.1558043755679</c:v>
                      </c:pt>
                      <c:pt idx="27">
                        <c:v>1252.182413361641</c:v>
                      </c:pt>
                      <c:pt idx="28">
                        <c:v>1306.7138244546736</c:v>
                      </c:pt>
                      <c:pt idx="29">
                        <c:v>1362.5555481898532</c:v>
                      </c:pt>
                      <c:pt idx="30">
                        <c:v>1419.5010875692192</c:v>
                      </c:pt>
                      <c:pt idx="31">
                        <c:v>1477.334067127965</c:v>
                      </c:pt>
                      <c:pt idx="32">
                        <c:v>1535.830432686429</c:v>
                      </c:pt>
                      <c:pt idx="33">
                        <c:v>1594.7606834498313</c:v>
                      </c:pt>
                      <c:pt idx="34">
                        <c:v>1653.8920999383613</c:v>
                      </c:pt>
                      <c:pt idx="35">
                        <c:v>1712.9909337254921</c:v>
                      </c:pt>
                      <c:pt idx="36">
                        <c:v>1771.8245280014244</c:v>
                      </c:pt>
                      <c:pt idx="37">
                        <c:v>1830.1633414292246</c:v>
                      </c:pt>
                      <c:pt idx="38">
                        <c:v>1887.782851495037</c:v>
                      </c:pt>
                      <c:pt idx="39">
                        <c:v>1944.4653174493117</c:v>
                      </c:pt>
                      <c:pt idx="40">
                        <c:v>2000.0013868820722</c:v>
                      </c:pt>
                      <c:pt idx="41">
                        <c:v>2054.1915338728122</c:v>
                      </c:pt>
                      <c:pt idx="42">
                        <c:v>2106.8473204191982</c:v>
                      </c:pt>
                      <c:pt idx="43">
                        <c:v>2157.7924764072359</c:v>
                      </c:pt>
                      <c:pt idx="44">
                        <c:v>2206.8637966820943</c:v>
                      </c:pt>
                      <c:pt idx="45">
                        <c:v>2253.9118567706801</c:v>
                      </c:pt>
                      <c:pt idx="46">
                        <c:v>2298.8015514646781</c:v>
                      </c:pt>
                      <c:pt idx="47">
                        <c:v>2341.4124627788242</c:v>
                      </c:pt>
                      <c:pt idx="48">
                        <c:v>2381.6390657469919</c:v>
                      </c:pt>
                      <c:pt idx="49">
                        <c:v>2419.3907821112498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F5B-4E09-90F1-E61A18B2A20F}"/>
                  </c:ext>
                </c:extLst>
              </c15:ser>
            </c15:filteredScatterSeries>
            <c15:filteredScatterSeries>
              <c15:ser>
                <c:idx val="13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Gompertz'!$V$7</c15:sqref>
                        </c15:formulaRef>
                      </c:ext>
                    </c:extLst>
                    <c:strCache>
                      <c:ptCount val="1"/>
                      <c:pt idx="0">
                        <c:v>NR_Lower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Gompertz'!$V$8:$V$78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19.179305773782744</c:v>
                      </c:pt>
                      <c:pt idx="25">
                        <c:v>68.670817880644449</c:v>
                      </c:pt>
                      <c:pt idx="26">
                        <c:v>120.01216184981399</c:v>
                      </c:pt>
                      <c:pt idx="27">
                        <c:v>173.03877083588725</c:v>
                      </c:pt>
                      <c:pt idx="28">
                        <c:v>227.57018192891962</c:v>
                      </c:pt>
                      <c:pt idx="29">
                        <c:v>283.41190566409921</c:v>
                      </c:pt>
                      <c:pt idx="30">
                        <c:v>340.35744504346519</c:v>
                      </c:pt>
                      <c:pt idx="31">
                        <c:v>398.19042460221112</c:v>
                      </c:pt>
                      <c:pt idx="32">
                        <c:v>456.68679016067506</c:v>
                      </c:pt>
                      <c:pt idx="33">
                        <c:v>515.6170409240774</c:v>
                      </c:pt>
                      <c:pt idx="34">
                        <c:v>574.74845741260742</c:v>
                      </c:pt>
                      <c:pt idx="35">
                        <c:v>633.84729119973827</c:v>
                      </c:pt>
                      <c:pt idx="36">
                        <c:v>692.68088547567049</c:v>
                      </c:pt>
                      <c:pt idx="37">
                        <c:v>751.01969890347073</c:v>
                      </c:pt>
                      <c:pt idx="38">
                        <c:v>808.63920896928312</c:v>
                      </c:pt>
                      <c:pt idx="39">
                        <c:v>865.32167492355779</c:v>
                      </c:pt>
                      <c:pt idx="40">
                        <c:v>920.85774435631834</c:v>
                      </c:pt>
                      <c:pt idx="41">
                        <c:v>975.04789134705857</c:v>
                      </c:pt>
                      <c:pt idx="42">
                        <c:v>1027.7036778934444</c:v>
                      </c:pt>
                      <c:pt idx="43">
                        <c:v>1078.648833881482</c:v>
                      </c:pt>
                      <c:pt idx="44">
                        <c:v>1127.7201541563406</c:v>
                      </c:pt>
                      <c:pt idx="45">
                        <c:v>1174.7682142449264</c:v>
                      </c:pt>
                      <c:pt idx="46">
                        <c:v>1219.6579089389243</c:v>
                      </c:pt>
                      <c:pt idx="47">
                        <c:v>1262.2688202530703</c:v>
                      </c:pt>
                      <c:pt idx="48">
                        <c:v>1302.4954232212381</c:v>
                      </c:pt>
                      <c:pt idx="49">
                        <c:v>1340.2471395854957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F5B-4E09-90F1-E61A18B2A20F}"/>
                  </c:ext>
                </c:extLst>
              </c15:ser>
            </c15:filteredScatterSeries>
            <c15:filteredScatterSeries>
              <c15:ser>
                <c:idx val="6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Gompertz'!$AC$7</c15:sqref>
                        </c15:formulaRef>
                      </c:ext>
                    </c:extLst>
                    <c:strCache>
                      <c:ptCount val="1"/>
                      <c:pt idx="0">
                        <c:v>ND_Upper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Gompertz'!$AC$8:$AC$78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142.6929040226249</c:v>
                      </c:pt>
                      <c:pt idx="1">
                        <c:v>142.78491545908574</c:v>
                      </c:pt>
                      <c:pt idx="2">
                        <c:v>142.98183427146961</c:v>
                      </c:pt>
                      <c:pt idx="3">
                        <c:v>143.37525492154194</c:v>
                      </c:pt>
                      <c:pt idx="4">
                        <c:v>144.11265548288338</c:v>
                      </c:pt>
                      <c:pt idx="5">
                        <c:v>145.41527068159292</c:v>
                      </c:pt>
                      <c:pt idx="6">
                        <c:v>147.59315274401729</c:v>
                      </c:pt>
                      <c:pt idx="7">
                        <c:v>151.05299728000011</c:v>
                      </c:pt>
                      <c:pt idx="8">
                        <c:v>156.29442813072092</c:v>
                      </c:pt>
                      <c:pt idx="9">
                        <c:v>163.89171020132591</c:v>
                      </c:pt>
                      <c:pt idx="10">
                        <c:v>174.46014104667566</c:v>
                      </c:pt>
                      <c:pt idx="11">
                        <c:v>188.60918031283398</c:v>
                      </c:pt>
                      <c:pt idx="12">
                        <c:v>206.88704797652881</c:v>
                      </c:pt>
                      <c:pt idx="13">
                        <c:v>229.72341846938747</c:v>
                      </c:pt>
                      <c:pt idx="14">
                        <c:v>257.37752989297093</c:v>
                      </c:pt>
                      <c:pt idx="15">
                        <c:v>289.89840188665426</c:v>
                      </c:pt>
                      <c:pt idx="16">
                        <c:v>327.10211095843783</c:v>
                      </c:pt>
                      <c:pt idx="17">
                        <c:v>368.56862969704082</c:v>
                      </c:pt>
                      <c:pt idx="18">
                        <c:v>413.6581071453972</c:v>
                      </c:pt>
                      <c:pt idx="19">
                        <c:v>461.54412205151169</c:v>
                      </c:pt>
                      <c:pt idx="20">
                        <c:v>511.259716101143</c:v>
                      </c:pt>
                      <c:pt idx="21">
                        <c:v>561.75107450693838</c:v>
                      </c:pt>
                      <c:pt idx="22">
                        <c:v>611.93356435871056</c:v>
                      </c:pt>
                      <c:pt idx="23">
                        <c:v>660.7453388531892</c:v>
                      </c:pt>
                      <c:pt idx="24">
                        <c:v>707.1946681215004</c:v>
                      </c:pt>
                      <c:pt idx="25">
                        <c:v>750.39834581908349</c:v>
                      </c:pt>
                      <c:pt idx="26">
                        <c:v>789.60974720288164</c:v>
                      </c:pt>
                      <c:pt idx="27">
                        <c:v>824.23622720911817</c:v>
                      </c:pt>
                      <c:pt idx="28">
                        <c:v>853.84644925800444</c:v>
                      </c:pt>
                      <c:pt idx="29">
                        <c:v>878.1688828741635</c:v>
                      </c:pt>
                      <c:pt idx="30">
                        <c:v>897.08309914583992</c:v>
                      </c:pt>
                      <c:pt idx="31">
                        <c:v>910.60565574859129</c:v>
                      </c:pt>
                      <c:pt idx="32">
                        <c:v>918.87234285233558</c:v>
                      </c:pt>
                      <c:pt idx="33">
                        <c:v>922.11840894077477</c:v>
                      </c:pt>
                      <c:pt idx="34">
                        <c:v>920.65815080496986</c:v>
                      </c:pt>
                      <c:pt idx="35">
                        <c:v>914.86497735660623</c:v>
                      </c:pt>
                      <c:pt idx="36">
                        <c:v>905.15277589235529</c:v>
                      </c:pt>
                      <c:pt idx="37">
                        <c:v>891.9591458291884</c:v>
                      </c:pt>
                      <c:pt idx="38">
                        <c:v>875.73083366665173</c:v>
                      </c:pt>
                      <c:pt idx="39">
                        <c:v>856.91151159576248</c:v>
                      </c:pt>
                      <c:pt idx="40">
                        <c:v>835.93189272514155</c:v>
                      </c:pt>
                      <c:pt idx="41">
                        <c:v>813.20206637535557</c:v>
                      </c:pt>
                      <c:pt idx="42">
                        <c:v>789.1058629115621</c:v>
                      </c:pt>
                      <c:pt idx="43">
                        <c:v>763.997013507774</c:v>
                      </c:pt>
                      <c:pt idx="44">
                        <c:v>738.19685006463328</c:v>
                      </c:pt>
                      <c:pt idx="45">
                        <c:v>711.99328847191805</c:v>
                      </c:pt>
                      <c:pt idx="46">
                        <c:v>685.6408493507829</c:v>
                      </c:pt>
                      <c:pt idx="47">
                        <c:v>659.36148994461041</c:v>
                      </c:pt>
                      <c:pt idx="48">
                        <c:v>633.3460454028816</c:v>
                      </c:pt>
                      <c:pt idx="49">
                        <c:v>607.75610457549033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29A-42E0-ADE0-2A064B8C186A}"/>
                  </c:ext>
                </c:extLst>
              </c15:ser>
            </c15:filteredScatterSeries>
            <c15:filteredScatterSeries>
              <c15:ser>
                <c:idx val="7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Gompertz'!$AD$7</c15:sqref>
                        </c15:formulaRef>
                      </c:ext>
                    </c:extLst>
                    <c:strCache>
                      <c:ptCount val="1"/>
                      <c:pt idx="0">
                        <c:v>ND_Lower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Gompertz'!$AD$8:$AD$78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4.6417148658207452</c:v>
                      </c:pt>
                      <c:pt idx="16">
                        <c:v>41.845423937604295</c:v>
                      </c:pt>
                      <c:pt idx="17">
                        <c:v>83.311942676207281</c:v>
                      </c:pt>
                      <c:pt idx="18">
                        <c:v>128.40142012456369</c:v>
                      </c:pt>
                      <c:pt idx="19">
                        <c:v>176.28743503067818</c:v>
                      </c:pt>
                      <c:pt idx="20">
                        <c:v>226.00302908030949</c:v>
                      </c:pt>
                      <c:pt idx="21">
                        <c:v>276.49438748610487</c:v>
                      </c:pt>
                      <c:pt idx="22">
                        <c:v>326.67687733787699</c:v>
                      </c:pt>
                      <c:pt idx="23">
                        <c:v>375.48865183235574</c:v>
                      </c:pt>
                      <c:pt idx="24">
                        <c:v>421.93798110066683</c:v>
                      </c:pt>
                      <c:pt idx="25">
                        <c:v>465.14165879825003</c:v>
                      </c:pt>
                      <c:pt idx="26">
                        <c:v>504.35306018204807</c:v>
                      </c:pt>
                      <c:pt idx="27">
                        <c:v>538.97954018828455</c:v>
                      </c:pt>
                      <c:pt idx="28">
                        <c:v>568.58976223717104</c:v>
                      </c:pt>
                      <c:pt idx="29">
                        <c:v>592.91219585332988</c:v>
                      </c:pt>
                      <c:pt idx="30">
                        <c:v>611.82641212500653</c:v>
                      </c:pt>
                      <c:pt idx="31">
                        <c:v>625.34896872775766</c:v>
                      </c:pt>
                      <c:pt idx="32">
                        <c:v>633.61565583150218</c:v>
                      </c:pt>
                      <c:pt idx="33">
                        <c:v>636.86172191994115</c:v>
                      </c:pt>
                      <c:pt idx="34">
                        <c:v>635.40146378413624</c:v>
                      </c:pt>
                      <c:pt idx="35">
                        <c:v>629.60829033577261</c:v>
                      </c:pt>
                      <c:pt idx="36">
                        <c:v>619.89608887152167</c:v>
                      </c:pt>
                      <c:pt idx="37">
                        <c:v>606.702458808355</c:v>
                      </c:pt>
                      <c:pt idx="38">
                        <c:v>590.47414664581811</c:v>
                      </c:pt>
                      <c:pt idx="39">
                        <c:v>571.65482457492885</c:v>
                      </c:pt>
                      <c:pt idx="40">
                        <c:v>550.67520570430793</c:v>
                      </c:pt>
                      <c:pt idx="41">
                        <c:v>527.94537935452195</c:v>
                      </c:pt>
                      <c:pt idx="42">
                        <c:v>503.84917589072865</c:v>
                      </c:pt>
                      <c:pt idx="43">
                        <c:v>478.74032648694055</c:v>
                      </c:pt>
                      <c:pt idx="44">
                        <c:v>452.94016304379983</c:v>
                      </c:pt>
                      <c:pt idx="45">
                        <c:v>426.73660145108448</c:v>
                      </c:pt>
                      <c:pt idx="46">
                        <c:v>400.38416232994933</c:v>
                      </c:pt>
                      <c:pt idx="47">
                        <c:v>374.10480292377684</c:v>
                      </c:pt>
                      <c:pt idx="48">
                        <c:v>348.08935838204809</c:v>
                      </c:pt>
                      <c:pt idx="49">
                        <c:v>322.49941755465687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29A-42E0-ADE0-2A064B8C186A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0"/>
          <c:order val="0"/>
          <c:tx>
            <c:strRef>
              <c:f>'New_confirmed - Gompertz'!$E$7</c:f>
              <c:strCache>
                <c:ptCount val="1"/>
                <c:pt idx="0">
                  <c:v>New cases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noFill/>
                <a:round/>
              </a:ln>
              <a:effectLst/>
            </c:spPr>
          </c:marker>
          <c:xVal>
            <c:numRef>
              <c:f>'New_confirmed - Gompertz'!$C$8:$C$78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'New_confirmed - Gompertz'!$E$8:$E$78</c:f>
              <c:numCache>
                <c:formatCode>0</c:formatCode>
                <c:ptCount val="71"/>
                <c:pt idx="0">
                  <c:v>221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AC-474A-ABEF-27282C118849}"/>
            </c:ext>
          </c:extLst>
        </c:ser>
        <c:ser>
          <c:idx val="8"/>
          <c:order val="4"/>
          <c:tx>
            <c:strRef>
              <c:f>'New_confirmed - Gompertz'!$M$7</c:f>
              <c:strCache>
                <c:ptCount val="1"/>
                <c:pt idx="0">
                  <c:v>New_positive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noFill/>
                <a:round/>
              </a:ln>
              <a:effectLst/>
            </c:spPr>
          </c:marker>
          <c:xVal>
            <c:numRef>
              <c:f>'New_confirmed - Gompertz'!$C$8:$C$78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'New_confirmed - Gompertz'!$M$8:$M$78</c:f>
              <c:numCache>
                <c:formatCode>0</c:formatCode>
                <c:ptCount val="71"/>
                <c:pt idx="0">
                  <c:v>0</c:v>
                </c:pt>
                <c:pt idx="1">
                  <c:v>90</c:v>
                </c:pt>
                <c:pt idx="2">
                  <c:v>74</c:v>
                </c:pt>
                <c:pt idx="3">
                  <c:v>203</c:v>
                </c:pt>
                <c:pt idx="4">
                  <c:v>233</c:v>
                </c:pt>
                <c:pt idx="5">
                  <c:v>228</c:v>
                </c:pt>
                <c:pt idx="6">
                  <c:v>528</c:v>
                </c:pt>
                <c:pt idx="7">
                  <c:v>258</c:v>
                </c:pt>
                <c:pt idx="8">
                  <c:v>428</c:v>
                </c:pt>
                <c:pt idx="9">
                  <c:v>443</c:v>
                </c:pt>
                <c:pt idx="10">
                  <c:v>590</c:v>
                </c:pt>
                <c:pt idx="11">
                  <c:v>620</c:v>
                </c:pt>
                <c:pt idx="12">
                  <c:v>1145</c:v>
                </c:pt>
                <c:pt idx="13">
                  <c:v>1326</c:v>
                </c:pt>
                <c:pt idx="14">
                  <c:v>1598</c:v>
                </c:pt>
                <c:pt idx="15">
                  <c:v>529</c:v>
                </c:pt>
                <c:pt idx="16">
                  <c:v>2076</c:v>
                </c:pt>
                <c:pt idx="17">
                  <c:v>2249</c:v>
                </c:pt>
                <c:pt idx="18">
                  <c:v>2116</c:v>
                </c:pt>
                <c:pt idx="19">
                  <c:v>2795</c:v>
                </c:pt>
                <c:pt idx="20">
                  <c:v>2853</c:v>
                </c:pt>
                <c:pt idx="21">
                  <c:v>2470</c:v>
                </c:pt>
                <c:pt idx="22">
                  <c:v>2989</c:v>
                </c:pt>
                <c:pt idx="23">
                  <c:v>2648</c:v>
                </c:pt>
                <c:pt idx="24">
                  <c:v>4480</c:v>
                </c:pt>
                <c:pt idx="25">
                  <c:v>4670</c:v>
                </c:pt>
                <c:pt idx="26">
                  <c:v>4821</c:v>
                </c:pt>
                <c:pt idx="27">
                  <c:v>3957</c:v>
                </c:pt>
                <c:pt idx="28">
                  <c:v>3780</c:v>
                </c:pt>
                <c:pt idx="29">
                  <c:v>3612</c:v>
                </c:pt>
                <c:pt idx="30">
                  <c:v>3491</c:v>
                </c:pt>
                <c:pt idx="31">
                  <c:v>4492</c:v>
                </c:pt>
                <c:pt idx="32">
                  <c:v>4401</c:v>
                </c:pt>
                <c:pt idx="33">
                  <c:v>3651</c:v>
                </c:pt>
                <c:pt idx="34">
                  <c:v>3815</c:v>
                </c:pt>
                <c:pt idx="35">
                  <c:v>1648</c:v>
                </c:pt>
                <c:pt idx="36">
                  <c:v>2107</c:v>
                </c:pt>
                <c:pt idx="37">
                  <c:v>2937</c:v>
                </c:pt>
                <c:pt idx="38">
                  <c:v>2477</c:v>
                </c:pt>
                <c:pt idx="39">
                  <c:v>2339</c:v>
                </c:pt>
                <c:pt idx="40">
                  <c:v>2886</c:v>
                </c:pt>
                <c:pt idx="41">
                  <c:v>2972</c:v>
                </c:pt>
                <c:pt idx="42">
                  <c:v>1941</c:v>
                </c:pt>
                <c:pt idx="43">
                  <c:v>880</c:v>
                </c:pt>
                <c:pt idx="44">
                  <c:v>1195</c:v>
                </c:pt>
                <c:pt idx="45">
                  <c:v>1615</c:v>
                </c:pt>
                <c:pt idx="46">
                  <c:v>1396</c:v>
                </c:pt>
                <c:pt idx="47">
                  <c:v>1996</c:v>
                </c:pt>
                <c:pt idx="48">
                  <c:v>1984</c:v>
                </c:pt>
                <c:pt idx="49">
                  <c:v>1363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F5B-4E09-90F1-E61A18B2A20F}"/>
            </c:ext>
          </c:extLst>
        </c:ser>
        <c:ser>
          <c:idx val="10"/>
          <c:order val="6"/>
          <c:tx>
            <c:strRef>
              <c:f>'New_confirmed - Gompertz'!$P$7</c:f>
              <c:strCache>
                <c:ptCount val="1"/>
                <c:pt idx="0">
                  <c:v>New recovered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B050"/>
              </a:solidFill>
              <a:ln w="9525">
                <a:noFill/>
                <a:round/>
              </a:ln>
              <a:effectLst/>
            </c:spPr>
          </c:marker>
          <c:xVal>
            <c:numRef>
              <c:f>'New_confirmed - Gompertz'!$C$8:$C$78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'New_confirmed - Gompertz'!$P$8:$P$78</c:f>
              <c:numCache>
                <c:formatCode>0</c:formatCode>
                <c:ptCount val="71"/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F5B-4E09-90F1-E61A18B2A20F}"/>
            </c:ext>
          </c:extLst>
        </c:ser>
        <c:ser>
          <c:idx val="4"/>
          <c:order val="10"/>
          <c:tx>
            <c:strRef>
              <c:f>'New_confirmed - Gompertz'!$X$7</c:f>
              <c:strCache>
                <c:ptCount val="1"/>
                <c:pt idx="0">
                  <c:v>New 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xVal>
            <c:numRef>
              <c:f>'New_confirmed - Gompertz'!$C$8:$C$78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'New_confirmed - Gompertz'!$X$8:$X$78</c:f>
              <c:numCache>
                <c:formatCode>0</c:formatCode>
                <c:ptCount val="71"/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A-42E0-ADE0-2A064B8C1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Days from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Daily 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'New_confirmed - Gompertz'!$AF$38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'New_confirmed - Gompertz'!$AG$31</c:f>
              <c:strCache>
                <c:ptCount val="1"/>
                <c:pt idx="0">
                  <c:v>New deaths fit</c:v>
                </c:pt>
              </c:strCache>
            </c:strRef>
          </c:cat>
          <c:val>
            <c:numRef>
              <c:f>'New_confirmed - Gompertz'!$AG$38</c:f>
              <c:numCache>
                <c:formatCode>0.0000</c:formatCode>
                <c:ptCount val="1"/>
                <c:pt idx="0">
                  <c:v>0.97222019115045633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2A-4CDF-A252-08C3586154EF}"/>
            </c:ext>
          </c:extLst>
        </c:ser>
        <c:ser>
          <c:idx val="1"/>
          <c:order val="1"/>
          <c:tx>
            <c:strRef>
              <c:f>'New_confirmed - Gompertz'!$AF$40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'New_confirmed - Gompertz'!$AG$31</c:f>
              <c:strCache>
                <c:ptCount val="1"/>
                <c:pt idx="0">
                  <c:v>New deaths fit</c:v>
                </c:pt>
              </c:strCache>
            </c:strRef>
          </c:cat>
          <c:val>
            <c:numRef>
              <c:f>'New_confirmed - Gompertz'!$AG$40</c:f>
              <c:numCache>
                <c:formatCode>0</c:formatCode>
                <c:ptCount val="1"/>
                <c:pt idx="0">
                  <c:v>142.62834351041676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2A-4CDF-A252-08C3586154EF}"/>
            </c:ext>
          </c:extLst>
        </c:ser>
        <c:ser>
          <c:idx val="2"/>
          <c:order val="2"/>
          <c:tx>
            <c:strRef>
              <c:f>'New_confirmed - Gompertz'!$AF$41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'New_confirmed - Gompertz'!$AG$31</c:f>
              <c:strCache>
                <c:ptCount val="1"/>
                <c:pt idx="0">
                  <c:v>New deaths fit</c:v>
                </c:pt>
              </c:strCache>
            </c:strRef>
          </c:cat>
          <c:val>
            <c:numRef>
              <c:f>'New_confirmed - Gompertz'!$AG$41</c:f>
              <c:numCache>
                <c:formatCode>0</c:formatCode>
                <c:ptCount val="1"/>
                <c:pt idx="0">
                  <c:v>779.56438128872014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2A-4CDF-A252-08C3586154EF}"/>
            </c:ext>
          </c:extLst>
        </c:ser>
        <c:ser>
          <c:idx val="3"/>
          <c:order val="3"/>
          <c:tx>
            <c:strRef>
              <c:f>'New_confirmed - Gompertz'!$AF$42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'New_confirmed - Gompertz'!$AG$31</c:f>
              <c:strCache>
                <c:ptCount val="1"/>
                <c:pt idx="0">
                  <c:v>New deaths fit</c:v>
                </c:pt>
              </c:strCache>
            </c:strRef>
          </c:cat>
          <c:val>
            <c:numRef>
              <c:f>'New_confirmed - Gompertz'!$AG$42</c:f>
              <c:numCache>
                <c:formatCode>[$-409]mmmm\ d\,\ yyyy;@</c:formatCode>
                <c:ptCount val="1"/>
                <c:pt idx="0">
                  <c:v>43918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2A-4CDF-A252-08C358615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'New_confirmed - Gompertz'!$AF$26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'New_confirmed - Gompertz'!$AG$19</c:f>
              <c:strCache>
                <c:ptCount val="1"/>
                <c:pt idx="0">
                  <c:v>New recovered fit</c:v>
                </c:pt>
              </c:strCache>
            </c:strRef>
          </c:cat>
          <c:val>
            <c:numRef>
              <c:f>'New_confirmed - Gompertz'!$AG$26</c:f>
              <c:numCache>
                <c:formatCode>0.0000</c:formatCode>
                <c:ptCount val="1"/>
                <c:pt idx="0">
                  <c:v>0.89674422435729884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08-44CB-9A20-7F422326D3EE}"/>
            </c:ext>
          </c:extLst>
        </c:ser>
        <c:ser>
          <c:idx val="1"/>
          <c:order val="1"/>
          <c:tx>
            <c:strRef>
              <c:f>'New_confirmed - Gompertz'!$AF$28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'New_confirmed - Gompertz'!$AG$19</c:f>
              <c:strCache>
                <c:ptCount val="1"/>
                <c:pt idx="0">
                  <c:v>New recovered fit</c:v>
                </c:pt>
              </c:strCache>
            </c:strRef>
          </c:cat>
          <c:val>
            <c:numRef>
              <c:f>'New_confirmed - Gompertz'!$AG$28</c:f>
              <c:numCache>
                <c:formatCode>0</c:formatCode>
                <c:ptCount val="1"/>
                <c:pt idx="0">
                  <c:v>539.57182126287694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08-44CB-9A20-7F422326D3EE}"/>
            </c:ext>
          </c:extLst>
        </c:ser>
        <c:ser>
          <c:idx val="2"/>
          <c:order val="2"/>
          <c:tx>
            <c:strRef>
              <c:f>'New_confirmed - Gompertz'!$AF$29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'New_confirmed - Gompertz'!$AG$19</c:f>
              <c:strCache>
                <c:ptCount val="1"/>
                <c:pt idx="0">
                  <c:v>New recovered fit</c:v>
                </c:pt>
              </c:strCache>
            </c:strRef>
          </c:cat>
          <c:val>
            <c:numRef>
              <c:f>'New_confirmed - Gompertz'!$AG$29</c:f>
              <c:numCache>
                <c:formatCode>0</c:formatCode>
                <c:ptCount val="1"/>
                <c:pt idx="0">
                  <c:v>2130.6091284634881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08-44CB-9A20-7F422326D3EE}"/>
            </c:ext>
          </c:extLst>
        </c:ser>
        <c:ser>
          <c:idx val="3"/>
          <c:order val="3"/>
          <c:tx>
            <c:strRef>
              <c:f>'New_confirmed - Gompertz'!$AF$30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'New_confirmed - Gompertz'!$AG$19</c:f>
              <c:strCache>
                <c:ptCount val="1"/>
                <c:pt idx="0">
                  <c:v>New recovered fit</c:v>
                </c:pt>
              </c:strCache>
            </c:strRef>
          </c:cat>
          <c:val>
            <c:numRef>
              <c:f>'New_confirmed - Gompertz'!$AG$30</c:f>
              <c:numCache>
                <c:formatCode>[$-409]mmmm\ d\,\ yyyy;@</c:formatCode>
                <c:ptCount val="1"/>
                <c:pt idx="0">
                  <c:v>43948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08-44CB-9A20-7F422326D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ln>
                  <a:gradFill>
                    <a:gsLst>
                      <a:gs pos="0">
                        <a:schemeClr val="accent1">
                          <a:lumMod val="5000"/>
                          <a:lumOff val="95000"/>
                        </a:schemeClr>
                      </a:gs>
                      <a:gs pos="74000">
                        <a:schemeClr val="accent1">
                          <a:lumMod val="45000"/>
                          <a:lumOff val="55000"/>
                        </a:schemeClr>
                      </a:gs>
                      <a:gs pos="83000">
                        <a:schemeClr val="accent1">
                          <a:lumMod val="45000"/>
                          <a:lumOff val="55000"/>
                        </a:schemeClr>
                      </a:gs>
                      <a:gs pos="100000">
                        <a:schemeClr val="accent1">
                          <a:lumMod val="30000"/>
                          <a:lumOff val="70000"/>
                        </a:schemeClr>
                      </a:gs>
                    </a:gsLst>
                    <a:lin ang="5400000" scaled="1"/>
                  </a:gradFill>
                </a:ln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'New_confirmed - Gompertz'!$AF$14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'New_confirmed - Gompertz'!$AG$7</c:f>
              <c:strCache>
                <c:ptCount val="1"/>
                <c:pt idx="0">
                  <c:v>New cases fit</c:v>
                </c:pt>
              </c:strCache>
            </c:strRef>
          </c:cat>
          <c:val>
            <c:numRef>
              <c:f>'New_confirmed - Gompertz'!$AG$14</c:f>
              <c:numCache>
                <c:formatCode>0.0000</c:formatCode>
                <c:ptCount val="1"/>
                <c:pt idx="0">
                  <c:v>0.9603787317631004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31-4EF6-A2FB-C72F92593B72}"/>
            </c:ext>
          </c:extLst>
        </c:ser>
        <c:ser>
          <c:idx val="1"/>
          <c:order val="1"/>
          <c:tx>
            <c:strRef>
              <c:f>'New_confirmed - Gompertz'!$AF$16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'New_confirmed - Gompertz'!$AG$7</c:f>
              <c:strCache>
                <c:ptCount val="1"/>
                <c:pt idx="0">
                  <c:v>New cases fit</c:v>
                </c:pt>
              </c:strCache>
            </c:strRef>
          </c:cat>
          <c:val>
            <c:numRef>
              <c:f>'New_confirmed - Gompertz'!$AG$16</c:f>
              <c:numCache>
                <c:formatCode>0</c:formatCode>
                <c:ptCount val="1"/>
                <c:pt idx="0">
                  <c:v>1184.0549191878606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31-4EF6-A2FB-C72F92593B72}"/>
            </c:ext>
          </c:extLst>
        </c:ser>
        <c:ser>
          <c:idx val="2"/>
          <c:order val="2"/>
          <c:tx>
            <c:strRef>
              <c:f>'New_confirmed - Gompertz'!$AF$17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'New_confirmed - Gompertz'!$AG$7</c:f>
              <c:strCache>
                <c:ptCount val="1"/>
                <c:pt idx="0">
                  <c:v>New cases fit</c:v>
                </c:pt>
              </c:strCache>
            </c:strRef>
          </c:cat>
          <c:val>
            <c:numRef>
              <c:f>'New_confirmed - Gompertz'!$AG$17</c:f>
              <c:numCache>
                <c:formatCode>0</c:formatCode>
                <c:ptCount val="1"/>
                <c:pt idx="0">
                  <c:v>5443.5589989138907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31-4EF6-A2FB-C72F92593B72}"/>
            </c:ext>
          </c:extLst>
        </c:ser>
        <c:ser>
          <c:idx val="3"/>
          <c:order val="3"/>
          <c:tx>
            <c:strRef>
              <c:f>'New_confirmed - Gompertz'!$AF$18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'New_confirmed - Gompertz'!$AG$7</c:f>
              <c:strCache>
                <c:ptCount val="1"/>
                <c:pt idx="0">
                  <c:v>New cases fit</c:v>
                </c:pt>
              </c:strCache>
            </c:strRef>
          </c:cat>
          <c:val>
            <c:numRef>
              <c:f>'New_confirmed - Gompertz'!$AG$18</c:f>
              <c:numCache>
                <c:formatCode>[$-409]mmmm\ d\,\ yyyy;@</c:formatCode>
                <c:ptCount val="1"/>
                <c:pt idx="0">
                  <c:v>43915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31-4EF6-A2FB-C72F92593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ln>
                  <a:noFill/>
                </a:ln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609600</xdr:colOff>
      <xdr:row>94</xdr:row>
      <xdr:rowOff>114300</xdr:rowOff>
    </xdr:from>
    <xdr:ext cx="1785257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asellaDiTesto 19">
              <a:extLst>
                <a:ext uri="{FF2B5EF4-FFF2-40B4-BE49-F238E27FC236}">
                  <a16:creationId xmlns:a16="http://schemas.microsoft.com/office/drawing/2014/main" id="{ADC4C53C-759C-4D43-92D1-6804F156AAB3}"/>
                </a:ext>
              </a:extLst>
            </xdr:cNvPr>
            <xdr:cNvSpPr txBox="1"/>
          </xdr:nvSpPr>
          <xdr:spPr>
            <a:xfrm>
              <a:off x="4844143" y="691243"/>
              <a:ext cx="1785257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</m:t>
                    </m:r>
                    <m:d>
                      <m:d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;</m:t>
                        </m:r>
                        <m:sSub>
                          <m:sSubPr>
                            <m:ctrlP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e>
                          <m:sub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</m:d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0" name="CasellaDiTesto 19">
              <a:extLst>
                <a:ext uri="{FF2B5EF4-FFF2-40B4-BE49-F238E27FC236}">
                  <a16:creationId xmlns:a16="http://schemas.microsoft.com/office/drawing/2014/main" id="{ADC4C53C-759C-4D43-92D1-6804F156AAB3}"/>
                </a:ext>
              </a:extLst>
            </xdr:cNvPr>
            <xdr:cNvSpPr txBox="1"/>
          </xdr:nvSpPr>
          <xdr:spPr>
            <a:xfrm>
              <a:off x="4844143" y="691243"/>
              <a:ext cx="1785257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𝑃(𝑡;𝑡_0,𝑤)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(𝑡/𝑡_0 )^𝑤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14</xdr:col>
      <xdr:colOff>7620</xdr:colOff>
      <xdr:row>97</xdr:row>
      <xdr:rowOff>0</xdr:rowOff>
    </xdr:from>
    <xdr:to>
      <xdr:col>25</xdr:col>
      <xdr:colOff>99060</xdr:colOff>
      <xdr:row>129</xdr:row>
      <xdr:rowOff>144781</xdr:rowOff>
    </xdr:to>
    <xdr:grpSp>
      <xdr:nvGrpSpPr>
        <xdr:cNvPr id="21" name="Gruppo 20">
          <a:extLst>
            <a:ext uri="{FF2B5EF4-FFF2-40B4-BE49-F238E27FC236}">
              <a16:creationId xmlns:a16="http://schemas.microsoft.com/office/drawing/2014/main" id="{5770A6B3-15CD-428E-8F1C-342C7379080D}"/>
            </a:ext>
          </a:extLst>
        </xdr:cNvPr>
        <xdr:cNvGrpSpPr/>
      </xdr:nvGrpSpPr>
      <xdr:grpSpPr>
        <a:xfrm>
          <a:off x="11527267" y="21604941"/>
          <a:ext cx="6940475" cy="6186993"/>
          <a:chOff x="10022477" y="1284513"/>
          <a:chExt cx="6938554" cy="6131923"/>
        </a:xfrm>
      </xdr:grpSpPr>
      <xdr:grpSp>
        <xdr:nvGrpSpPr>
          <xdr:cNvPr id="22" name="Gruppo 21">
            <a:extLst>
              <a:ext uri="{FF2B5EF4-FFF2-40B4-BE49-F238E27FC236}">
                <a16:creationId xmlns:a16="http://schemas.microsoft.com/office/drawing/2014/main" id="{64ECC0A6-45B9-43C3-B1AC-B2BAE1D0FC29}"/>
              </a:ext>
            </a:extLst>
          </xdr:cNvPr>
          <xdr:cNvGrpSpPr/>
        </xdr:nvGrpSpPr>
        <xdr:grpSpPr>
          <a:xfrm>
            <a:off x="10022477" y="1284513"/>
            <a:ext cx="6938554" cy="6131923"/>
            <a:chOff x="10022477" y="1284513"/>
            <a:chExt cx="6938554" cy="6131923"/>
          </a:xfrm>
        </xdr:grpSpPr>
        <xdr:grpSp>
          <xdr:nvGrpSpPr>
            <xdr:cNvPr id="24" name="Gruppo 23">
              <a:extLst>
                <a:ext uri="{FF2B5EF4-FFF2-40B4-BE49-F238E27FC236}">
                  <a16:creationId xmlns:a16="http://schemas.microsoft.com/office/drawing/2014/main" id="{C45029CB-5366-409E-9899-17597D680053}"/>
                </a:ext>
              </a:extLst>
            </xdr:cNvPr>
            <xdr:cNvGrpSpPr/>
          </xdr:nvGrpSpPr>
          <xdr:grpSpPr>
            <a:xfrm>
              <a:off x="10022477" y="1284513"/>
              <a:ext cx="6938554" cy="6131923"/>
              <a:chOff x="6629400" y="1287779"/>
              <a:chExt cx="6941820" cy="5303520"/>
            </a:xfrm>
          </xdr:grpSpPr>
          <xdr:graphicFrame macro="">
            <xdr:nvGraphicFramePr>
              <xdr:cNvPr id="28" name="Grafico 27">
                <a:extLst>
                  <a:ext uri="{FF2B5EF4-FFF2-40B4-BE49-F238E27FC236}">
                    <a16:creationId xmlns:a16="http://schemas.microsoft.com/office/drawing/2014/main" id="{0B44271A-ADFF-4ADC-927B-8F92BA44ADCC}"/>
                  </a:ext>
                </a:extLst>
              </xdr:cNvPr>
              <xdr:cNvGraphicFramePr/>
            </xdr:nvGraphicFramePr>
            <xdr:xfrm>
              <a:off x="6629400" y="1287779"/>
              <a:ext cx="6941820" cy="530352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  <xdr:sp macro="" textlink="">
            <xdr:nvSpPr>
              <xdr:cNvPr id="29" name="CasellaDiTesto 28">
                <a:extLst>
                  <a:ext uri="{FF2B5EF4-FFF2-40B4-BE49-F238E27FC236}">
                    <a16:creationId xmlns:a16="http://schemas.microsoft.com/office/drawing/2014/main" id="{E5E40F1B-B0F1-4A3A-817D-EDB9D1B7B865}"/>
                  </a:ext>
                </a:extLst>
              </xdr:cNvPr>
              <xdr:cNvSpPr txBox="1"/>
            </xdr:nvSpPr>
            <xdr:spPr>
              <a:xfrm>
                <a:off x="7508828" y="3697344"/>
                <a:ext cx="1828800" cy="1168171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it-IT" sz="1400" b="1" i="1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Total cases detected</a:t>
                </a:r>
              </a:p>
              <a:p>
                <a:r>
                  <a:rPr lang="it-IT" sz="1100" b="1" i="1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K= 168279</a:t>
                </a:r>
              </a:p>
              <a:p>
                <a:r>
                  <a:rPr lang="it-IT" sz="1100" b="1" i="1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t</a:t>
                </a:r>
                <a:r>
                  <a:rPr lang="it-IT" sz="1100" b="1" i="1" u="none" strike="noStrike" baseline="-25000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0</a:t>
                </a:r>
                <a:r>
                  <a:rPr lang="it-IT" sz="1100" b="1" i="1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=</a:t>
                </a:r>
                <a:r>
                  <a:rPr lang="it-IT" b="1">
                    <a:solidFill>
                      <a:srgbClr val="0070C0"/>
                    </a:solidFill>
                  </a:rPr>
                  <a:t> </a:t>
                </a:r>
                <a:r>
                  <a:rPr lang="it-IT" sz="1100" b="1" i="0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4.23</a:t>
                </a:r>
                <a:r>
                  <a:rPr lang="it-IT" b="1">
                    <a:solidFill>
                      <a:srgbClr val="0070C0"/>
                    </a:solidFill>
                  </a:rPr>
                  <a:t> </a:t>
                </a:r>
              </a:p>
              <a:p>
                <a:r>
                  <a:rPr lang="it-IT" sz="1100" b="1" i="1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w=</a:t>
                </a:r>
                <a:r>
                  <a:rPr lang="it-IT" b="1">
                    <a:solidFill>
                      <a:srgbClr val="0070C0"/>
                    </a:solidFill>
                  </a:rPr>
                  <a:t> </a:t>
                </a:r>
                <a:r>
                  <a:rPr lang="it-IT" sz="1100" b="1" i="0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7.99</a:t>
                </a:r>
                <a:r>
                  <a:rPr lang="it-IT" b="1">
                    <a:solidFill>
                      <a:srgbClr val="0070C0"/>
                    </a:solidFill>
                  </a:rPr>
                  <a:t> </a:t>
                </a:r>
              </a:p>
              <a:p>
                <a:r>
                  <a:rPr lang="it-IT" sz="1100" b="1" i="1">
                    <a:solidFill>
                      <a:srgbClr val="0070C0"/>
                    </a:solidFill>
                  </a:rPr>
                  <a:t>R</a:t>
                </a:r>
                <a:r>
                  <a:rPr lang="it-IT" sz="1100" b="1" i="1" baseline="30000">
                    <a:solidFill>
                      <a:srgbClr val="0070C0"/>
                    </a:solidFill>
                  </a:rPr>
                  <a:t>2</a:t>
                </a:r>
                <a:r>
                  <a:rPr lang="it-IT" sz="1100" b="1" baseline="0">
                    <a:solidFill>
                      <a:srgbClr val="0070C0"/>
                    </a:solidFill>
                  </a:rPr>
                  <a:t>= 0.9992</a:t>
                </a:r>
              </a:p>
              <a:p>
                <a:r>
                  <a:rPr lang="it-IT" sz="1100" b="1" i="1" baseline="0">
                    <a:solidFill>
                      <a:srgbClr val="0070C0"/>
                    </a:solidFill>
                  </a:rPr>
                  <a:t>CI</a:t>
                </a:r>
                <a:r>
                  <a:rPr lang="it-IT" sz="1100" b="1" baseline="0">
                    <a:solidFill>
                      <a:srgbClr val="0070C0"/>
                    </a:solidFill>
                  </a:rPr>
                  <a:t>= 2351</a:t>
                </a:r>
              </a:p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it-IT" sz="1100" b="1" i="0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(day</a:t>
                </a:r>
                <a:r>
                  <a:rPr lang="it-IT" sz="1100" b="1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 1</a:t>
                </a:r>
                <a:r>
                  <a:rPr lang="it-IT" sz="1100" b="1" baseline="0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 = Feb 20th)</a:t>
                </a:r>
                <a:endParaRPr lang="it-IT" b="1">
                  <a:solidFill>
                    <a:srgbClr val="0070C0"/>
                  </a:solidFill>
                  <a:effectLst/>
                </a:endParaRPr>
              </a:p>
              <a:p>
                <a:endParaRPr lang="it-IT" sz="1100" baseline="30000"/>
              </a:p>
            </xdr:txBody>
          </xdr:sp>
        </xdr:grpSp>
        <xdr:grpSp>
          <xdr:nvGrpSpPr>
            <xdr:cNvPr id="25" name="Gruppo 24">
              <a:extLst>
                <a:ext uri="{FF2B5EF4-FFF2-40B4-BE49-F238E27FC236}">
                  <a16:creationId xmlns:a16="http://schemas.microsoft.com/office/drawing/2014/main" id="{5A608BE6-C591-4A01-A8DF-CD3872509963}"/>
                </a:ext>
              </a:extLst>
            </xdr:cNvPr>
            <xdr:cNvGrpSpPr/>
          </xdr:nvGrpSpPr>
          <xdr:grpSpPr>
            <a:xfrm>
              <a:off x="10809514" y="2775861"/>
              <a:ext cx="3135086" cy="838201"/>
              <a:chOff x="10809514" y="2775861"/>
              <a:chExt cx="3135086" cy="838201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26" name="CasellaDiTesto 25">
                    <a:extLst>
                      <a:ext uri="{FF2B5EF4-FFF2-40B4-BE49-F238E27FC236}">
                        <a16:creationId xmlns:a16="http://schemas.microsoft.com/office/drawing/2014/main" id="{F2976CD3-5315-4819-ABD3-A28971BF55D9}"/>
                      </a:ext>
                    </a:extLst>
                  </xdr:cNvPr>
                  <xdr:cNvSpPr txBox="1"/>
                </xdr:nvSpPr>
                <xdr:spPr>
                  <a:xfrm>
                    <a:off x="10809514" y="3303819"/>
                    <a:ext cx="3135086" cy="31024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it-IT" sz="1100"/>
                      <a:t>y=</a:t>
                    </a:r>
                    <a14:m>
                      <m:oMath xmlns:m="http://schemas.openxmlformats.org/officeDocument/2006/math">
                        <m:nary>
                          <m:naryPr>
                            <m:chr m:val="∑"/>
                            <m:ctrlPr>
                              <a:rPr lang="it-IT" sz="11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it-I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  <m:sup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p>
                          <m:e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  <m:d>
                              <m:dPr>
                                <m:ctrlP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  <m:t>;</m:t>
                                </m:r>
                                <m:sSub>
                                  <m:sSubPr>
                                    <m:ctrlPr>
                                      <a:rPr lang="it-I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latin typeface="Cambria Math" panose="02040503050406030204" pitchFamily="18" charset="0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  <m:t>,</m:t>
                                </m:r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</m:d>
                          </m:e>
                        </m:nary>
                        <m:r>
                          <a:rPr lang="it-I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≈</m:t>
                        </m:r>
                        <m:sSub>
                          <m:sSubPr>
                            <m:ctrlPr>
                              <a:rPr lang="it-IT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b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  <m:d>
                          <m:dPr>
                            <m:begChr m:val="["/>
                            <m:endChr m:val="]"/>
                            <m:ctrlPr>
                              <a:rPr lang="it-IT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el-G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Γ</m:t>
                            </m:r>
                            <m:d>
                              <m:dPr>
                                <m:ctrlPr>
                                  <a:rPr lang="el-G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𝑤</m:t>
                                </m:r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+1</m:t>
                                </m:r>
                              </m:e>
                            </m:d>
                            <m:r>
                              <a:rPr lang="it-I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</m:t>
                            </m:r>
                            <m:r>
                              <m:rPr>
                                <m:sty m:val="p"/>
                              </m:rPr>
                              <a:rPr lang="el-G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Γ</m:t>
                            </m:r>
                            <m:d>
                              <m:dPr>
                                <m:ctrlPr>
                                  <a:rPr lang="el-G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𝑤</m:t>
                                </m:r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+1,</m:t>
                                </m:r>
                                <m:f>
                                  <m:fPr>
                                    <m:ctrlPr>
                                      <a:rPr lang="it-I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𝑡</m:t>
                                    </m:r>
                                  </m:num>
                                  <m:den>
                                    <m:sSub>
                                      <m:sSubPr>
                                        <m:ctrlPr>
                                          <a:rPr lang="it-IT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den>
                                </m:f>
                              </m:e>
                            </m:d>
                          </m:e>
                        </m:d>
                      </m:oMath>
                    </a14:m>
                    <a:endParaRPr lang="it-IT" sz="1100"/>
                  </a:p>
                </xdr:txBody>
              </xdr:sp>
            </mc:Choice>
            <mc:Fallback xmlns="">
              <xdr:sp macro="" textlink="">
                <xdr:nvSpPr>
                  <xdr:cNvPr id="26" name="CasellaDiTesto 25">
                    <a:extLst>
                      <a:ext uri="{FF2B5EF4-FFF2-40B4-BE49-F238E27FC236}">
                        <a16:creationId xmlns:a16="http://schemas.microsoft.com/office/drawing/2014/main" id="{F2976CD3-5315-4819-ABD3-A28971BF55D9}"/>
                      </a:ext>
                    </a:extLst>
                  </xdr:cNvPr>
                  <xdr:cNvSpPr txBox="1"/>
                </xdr:nvSpPr>
                <xdr:spPr>
                  <a:xfrm>
                    <a:off x="10809514" y="3303819"/>
                    <a:ext cx="3135086" cy="31024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it-IT" sz="1100"/>
                      <a:t>y=</a:t>
                    </a:r>
                    <a:r>
                      <a:rPr lang="it-IT" sz="1100" i="0">
                        <a:latin typeface="Cambria Math" panose="02040503050406030204" pitchFamily="18" charset="0"/>
                      </a:rPr>
                      <a:t>∑</a:t>
                    </a:r>
                    <a:r>
                      <a:rPr lang="it-IT" sz="1100" b="0" i="0">
                        <a:latin typeface="Cambria Math" panose="02040503050406030204" pitchFamily="18" charset="0"/>
                      </a:rPr>
                      <a:t>_1^𝑡▒𝑃(𝑡;𝑡_0,𝑤) </a:t>
                    </a:r>
                    <a:r>
                      <a:rPr lang="it-IT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≈</a:t>
                    </a:r>
                    <a:r>
                      <a:rPr lang="it-IT" sz="1100" b="0" i="0">
                        <a:latin typeface="Cambria Math" panose="02040503050406030204" pitchFamily="18" charset="0"/>
                      </a:rPr>
                      <a:t>𝑡_0 [</a:t>
                    </a:r>
                    <a:r>
                      <a:rPr lang="el-GR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Γ(</a:t>
                    </a:r>
                    <a:r>
                      <a:rPr lang="it-IT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𝑤+1)−</a:t>
                    </a:r>
                    <a:r>
                      <a:rPr lang="el-GR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Γ(</a:t>
                    </a:r>
                    <a:r>
                      <a:rPr lang="it-IT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𝑤+1,𝑡/𝑡_0 )]</a:t>
                    </a:r>
                    <a:endParaRPr lang="it-IT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27" name="CasellaDiTesto 26">
                    <a:extLst>
                      <a:ext uri="{FF2B5EF4-FFF2-40B4-BE49-F238E27FC236}">
                        <a16:creationId xmlns:a16="http://schemas.microsoft.com/office/drawing/2014/main" id="{4159B6F8-D471-44E7-B876-EF7EB01FEF67}"/>
                      </a:ext>
                    </a:extLst>
                  </xdr:cNvPr>
                  <xdr:cNvSpPr txBox="1"/>
                </xdr:nvSpPr>
                <xdr:spPr>
                  <a:xfrm>
                    <a:off x="11056621" y="2775861"/>
                    <a:ext cx="1940922" cy="41365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it-IT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𝑃</m:t>
                          </m:r>
                          <m:d>
                            <m:dPr>
                              <m:ctrlP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𝑡</m:t>
                              </m:r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;</m:t>
                              </m:r>
                              <m:sSub>
                                <m:sSubPr>
                                  <m:ctrlPr>
                                    <a:rPr lang="it-IT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it-IT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</m:e>
                                <m:sub>
                                  <m:r>
                                    <a:rPr lang="it-IT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0</m:t>
                                  </m:r>
                                </m:sub>
                              </m:sSub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,</m:t>
                              </m:r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𝑤</m:t>
                              </m:r>
                            </m:e>
                          </m:d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=</m:t>
                          </m:r>
                          <m:sSup>
                            <m:sSupPr>
                              <m:ctrlP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d>
                                <m:dPr>
                                  <m:ctrlP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dPr>
                                <m:e>
                                  <m:f>
                                    <m:fPr>
                                      <m:ctrlP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𝑡</m:t>
                                      </m:r>
                                    </m:num>
                                    <m:den>
                                      <m:sSub>
                                        <m:sSubPr>
                                          <m:ctrlP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𝑡</m:t>
                                          </m:r>
                                        </m:e>
                                        <m:sub>
                                          <m: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0</m:t>
                                          </m:r>
                                        </m:sub>
                                      </m:sSub>
                                    </m:den>
                                  </m:f>
                                </m:e>
                              </m:d>
                            </m:e>
                            <m:sup>
                              <m: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𝑤</m:t>
                              </m:r>
                            </m:sup>
                          </m:sSup>
                          <m:sSup>
                            <m:sSupPr>
                              <m:ctrlP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𝑒</m:t>
                              </m:r>
                            </m:e>
                            <m:sup>
                              <m: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 </m:t>
                              </m:r>
                              <m:box>
                                <m:boxPr>
                                  <m:ctrlP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boxPr>
                                <m:e>
                                  <m:argPr>
                                    <m:argSz m:val="-1"/>
                                  </m:argPr>
                                  <m:f>
                                    <m:fPr>
                                      <m:ctrlP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𝑡</m:t>
                                      </m:r>
                                    </m:num>
                                    <m:den>
                                      <m:sSub>
                                        <m:sSubPr>
                                          <m:ctrlP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𝑡</m:t>
                                          </m:r>
                                        </m:e>
                                        <m:sub>
                                          <m: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0</m:t>
                                          </m:r>
                                        </m:sub>
                                      </m:sSub>
                                    </m:den>
                                  </m:f>
                                </m:e>
                              </m:box>
                            </m:sup>
                          </m:sSup>
                        </m:oMath>
                      </m:oMathPara>
                    </a14:m>
                    <a:endParaRPr lang="it-IT" sz="1600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27" name="CasellaDiTesto 26">
                    <a:extLst>
                      <a:ext uri="{FF2B5EF4-FFF2-40B4-BE49-F238E27FC236}">
                        <a16:creationId xmlns:a16="http://schemas.microsoft.com/office/drawing/2014/main" id="{4159B6F8-D471-44E7-B876-EF7EB01FEF67}"/>
                      </a:ext>
                    </a:extLst>
                  </xdr:cNvPr>
                  <xdr:cNvSpPr txBox="1"/>
                </xdr:nvSpPr>
                <xdr:spPr>
                  <a:xfrm>
                    <a:off x="11056621" y="2775861"/>
                    <a:ext cx="1940922" cy="41365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:r>
                      <a:rPr lang="it-IT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𝑃(𝑡;𝑡_0,𝑤)</a:t>
                    </a:r>
                    <a:r>
                      <a:rPr lang="it-IT" sz="14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=</a:t>
                    </a:r>
                    <a:r>
                      <a:rPr lang="it-IT" sz="1100" b="0" i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(𝑡/𝑡_0 )^𝑤 𝑒^(− □(64&amp;𝑡/𝑡_0 ))</a:t>
                    </a:r>
                    <a:endParaRPr lang="it-IT" sz="1600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endParaRPr>
                  </a:p>
                </xdr:txBody>
              </xdr:sp>
            </mc:Fallback>
          </mc:AlternateContent>
        </xdr:grpSp>
      </xdr:grp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23" name="CasellaDiTesto 22">
                <a:extLst>
                  <a:ext uri="{FF2B5EF4-FFF2-40B4-BE49-F238E27FC236}">
                    <a16:creationId xmlns:a16="http://schemas.microsoft.com/office/drawing/2014/main" id="{9806FA23-79A1-4AB9-9C24-4B5583DDCB91}"/>
                  </a:ext>
                </a:extLst>
              </xdr:cNvPr>
              <xdr:cNvSpPr txBox="1"/>
            </xdr:nvSpPr>
            <xdr:spPr>
              <a:xfrm>
                <a:off x="11734799" y="3733800"/>
                <a:ext cx="1153885" cy="17961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it-IT" sz="1100"/>
                  <a:t>K</a:t>
                </a:r>
                <a14:m>
                  <m:oMath xmlns:m="http://schemas.openxmlformats.org/officeDocument/2006/math">
                    <m:r>
                      <a:rPr lang="it-I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≈</m:t>
                    </m:r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m:rPr>
                        <m:sty m:val="p"/>
                      </m:rPr>
                      <a:rPr lang="el-G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Γ</m:t>
                    </m:r>
                    <m:d>
                      <m:dPr>
                        <m:ctrl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+1</m:t>
                        </m:r>
                      </m:e>
                    </m:d>
                  </m:oMath>
                </a14:m>
                <a:endParaRPr lang="it-IT" sz="1100"/>
              </a:p>
            </xdr:txBody>
          </xdr:sp>
        </mc:Choice>
        <mc:Fallback xmlns="">
          <xdr:sp macro="" textlink="">
            <xdr:nvSpPr>
              <xdr:cNvPr id="23" name="CasellaDiTesto 22">
                <a:extLst>
                  <a:ext uri="{FF2B5EF4-FFF2-40B4-BE49-F238E27FC236}">
                    <a16:creationId xmlns:a16="http://schemas.microsoft.com/office/drawing/2014/main" id="{9806FA23-79A1-4AB9-9C24-4B5583DDCB91}"/>
                  </a:ext>
                </a:extLst>
              </xdr:cNvPr>
              <xdr:cNvSpPr txBox="1"/>
            </xdr:nvSpPr>
            <xdr:spPr>
              <a:xfrm>
                <a:off x="11734799" y="3733800"/>
                <a:ext cx="1153885" cy="17961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it-IT" sz="1100"/>
                  <a:t>K</a:t>
                </a:r>
                <a:r>
                  <a:rPr lang="it-IT" sz="11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≈</a:t>
                </a:r>
                <a:r>
                  <a:rPr lang="it-IT" sz="1100" b="0" i="0">
                    <a:latin typeface="Cambria Math" panose="02040503050406030204" pitchFamily="18" charset="0"/>
                  </a:rPr>
                  <a:t>𝑡_0</a:t>
                </a:r>
                <a:r>
                  <a:rPr lang="el-GR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 Γ(</a:t>
                </a:r>
                <a:r>
                  <a:rPr lang="it-IT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𝑤+1)</a:t>
                </a:r>
                <a:endParaRPr lang="it-IT" sz="1100"/>
              </a:p>
            </xdr:txBody>
          </xdr:sp>
        </mc:Fallback>
      </mc:AlternateContent>
    </xdr:grpSp>
    <xdr:clientData/>
  </xdr:twoCellAnchor>
  <xdr:twoCellAnchor>
    <xdr:from>
      <xdr:col>33</xdr:col>
      <xdr:colOff>7620</xdr:colOff>
      <xdr:row>6</xdr:row>
      <xdr:rowOff>0</xdr:rowOff>
    </xdr:from>
    <xdr:to>
      <xdr:col>44</xdr:col>
      <xdr:colOff>99060</xdr:colOff>
      <xdr:row>38</xdr:row>
      <xdr:rowOff>144780</xdr:rowOff>
    </xdr:to>
    <xdr:grpSp>
      <xdr:nvGrpSpPr>
        <xdr:cNvPr id="31" name="Gruppo 30">
          <a:extLst>
            <a:ext uri="{FF2B5EF4-FFF2-40B4-BE49-F238E27FC236}">
              <a16:creationId xmlns:a16="http://schemas.microsoft.com/office/drawing/2014/main" id="{B57A70EB-05F2-43B2-A20E-677507A1A2BC}"/>
            </a:ext>
          </a:extLst>
        </xdr:cNvPr>
        <xdr:cNvGrpSpPr/>
      </xdr:nvGrpSpPr>
      <xdr:grpSpPr>
        <a:xfrm>
          <a:off x="23539973" y="1434353"/>
          <a:ext cx="6797040" cy="6330427"/>
          <a:chOff x="29739475" y="1440873"/>
          <a:chExt cx="6935585" cy="6296198"/>
        </a:xfrm>
      </xdr:grpSpPr>
      <xdr:graphicFrame macro="">
        <xdr:nvGraphicFramePr>
          <xdr:cNvPr id="32" name="Grafico 31">
            <a:extLst>
              <a:ext uri="{FF2B5EF4-FFF2-40B4-BE49-F238E27FC236}">
                <a16:creationId xmlns:a16="http://schemas.microsoft.com/office/drawing/2014/main" id="{BBD4254D-3BE4-4697-819B-C838F05A34E9}"/>
              </a:ext>
            </a:extLst>
          </xdr:cNvPr>
          <xdr:cNvGraphicFramePr>
            <a:graphicFrameLocks/>
          </xdr:cNvGraphicFramePr>
        </xdr:nvGraphicFramePr>
        <xdr:xfrm>
          <a:off x="29739475" y="1440873"/>
          <a:ext cx="6935585" cy="62961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B8">
        <xdr:nvSpPr>
          <xdr:cNvPr id="33" name="CasellaDiTesto 32">
            <a:extLst>
              <a:ext uri="{FF2B5EF4-FFF2-40B4-BE49-F238E27FC236}">
                <a16:creationId xmlns:a16="http://schemas.microsoft.com/office/drawing/2014/main" id="{CD5A74C9-CD9C-4528-B079-1488F676FCE7}"/>
              </a:ext>
            </a:extLst>
          </xdr:cNvPr>
          <xdr:cNvSpPr txBox="1"/>
        </xdr:nvSpPr>
        <xdr:spPr>
          <a:xfrm>
            <a:off x="33049029" y="7384473"/>
            <a:ext cx="587829" cy="2404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D45D5262-0BAC-46B5-80DC-680C0C6DA885}" type="TxLink">
              <a:rPr lang="en-US" sz="1100" b="0" i="0" u="none" strike="noStrike">
                <a:ln>
                  <a:noFill/>
                </a:ln>
                <a:solidFill>
                  <a:srgbClr val="000000"/>
                </a:solidFill>
                <a:latin typeface="Calibri"/>
                <a:cs typeface="Calibri"/>
              </a:rPr>
              <a:pPr/>
              <a:t>24-feb</a:t>
            </a:fld>
            <a:endParaRPr lang="it-IT" sz="1100">
              <a:ln>
                <a:noFill/>
              </a:ln>
            </a:endParaRPr>
          </a:p>
        </xdr:txBody>
      </xdr:sp>
      <xdr:graphicFrame macro="">
        <xdr:nvGraphicFramePr>
          <xdr:cNvPr id="35" name="Grafico 34">
            <a:extLst>
              <a:ext uri="{FF2B5EF4-FFF2-40B4-BE49-F238E27FC236}">
                <a16:creationId xmlns:a16="http://schemas.microsoft.com/office/drawing/2014/main" id="{13BD03EE-302E-450A-8189-549E378AC614}"/>
              </a:ext>
            </a:extLst>
          </xdr:cNvPr>
          <xdr:cNvGraphicFramePr>
            <a:graphicFrameLocks/>
          </xdr:cNvGraphicFramePr>
        </xdr:nvGraphicFramePr>
        <xdr:xfrm>
          <a:off x="34762790" y="6052575"/>
          <a:ext cx="1628242" cy="102355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36" name="Grafico 35">
            <a:extLst>
              <a:ext uri="{FF2B5EF4-FFF2-40B4-BE49-F238E27FC236}">
                <a16:creationId xmlns:a16="http://schemas.microsoft.com/office/drawing/2014/main" id="{C69E4C5D-8BF8-41F5-A847-FCA9A16F63C8}"/>
              </a:ext>
            </a:extLst>
          </xdr:cNvPr>
          <xdr:cNvGraphicFramePr>
            <a:graphicFrameLocks/>
          </xdr:cNvGraphicFramePr>
        </xdr:nvGraphicFramePr>
        <xdr:xfrm>
          <a:off x="33367261" y="4476502"/>
          <a:ext cx="1615067" cy="100183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37" name="Grafico 36">
            <a:extLst>
              <a:ext uri="{FF2B5EF4-FFF2-40B4-BE49-F238E27FC236}">
                <a16:creationId xmlns:a16="http://schemas.microsoft.com/office/drawing/2014/main" id="{55A99F2A-C875-4AC3-84F4-7692E0485EC1}"/>
              </a:ext>
            </a:extLst>
          </xdr:cNvPr>
          <xdr:cNvGraphicFramePr>
            <a:graphicFrameLocks/>
          </xdr:cNvGraphicFramePr>
        </xdr:nvGraphicFramePr>
        <xdr:xfrm>
          <a:off x="30792631" y="3218494"/>
          <a:ext cx="1710742" cy="95353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</xdr:grpSp>
    <xdr:clientData/>
  </xdr:twoCellAnchor>
  <xdr:oneCellAnchor>
    <xdr:from>
      <xdr:col>7</xdr:col>
      <xdr:colOff>0</xdr:colOff>
      <xdr:row>2</xdr:row>
      <xdr:rowOff>0</xdr:rowOff>
    </xdr:from>
    <xdr:ext cx="1385454" cy="9559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CasellaDiTesto 29">
              <a:extLst>
                <a:ext uri="{FF2B5EF4-FFF2-40B4-BE49-F238E27FC236}">
                  <a16:creationId xmlns:a16="http://schemas.microsoft.com/office/drawing/2014/main" id="{789CD785-1463-4650-8A7C-05BAC72B0D06}"/>
                </a:ext>
              </a:extLst>
            </xdr:cNvPr>
            <xdr:cNvSpPr txBox="1"/>
          </xdr:nvSpPr>
          <xdr:spPr>
            <a:xfrm>
              <a:off x="5001491" y="471055"/>
              <a:ext cx="1385454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 </m:t>
                            </m:r>
                            <m:box>
                              <m:boxPr>
                                <m:ctrlPr>
                                  <a:rPr lang="it-I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it-IT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𝑤</m:t>
                                    </m:r>
                                  </m:den>
                                </m:f>
                              </m:e>
                            </m:box>
                          </m:sup>
                        </m:sSup>
                      </m:sup>
                    </m:sSup>
                  </m:oMath>
                </m:oMathPara>
              </a14:m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0" name="CasellaDiTesto 29">
              <a:extLst>
                <a:ext uri="{FF2B5EF4-FFF2-40B4-BE49-F238E27FC236}">
                  <a16:creationId xmlns:a16="http://schemas.microsoft.com/office/drawing/2014/main" id="{789CD785-1463-4650-8A7C-05BAC72B0D06}"/>
                </a:ext>
              </a:extLst>
            </xdr:cNvPr>
            <xdr:cNvSpPr txBox="1"/>
          </xdr:nvSpPr>
          <xdr:spPr>
            <a:xfrm>
              <a:off x="5001491" y="471055"/>
              <a:ext cx="1385454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𝑦=𝐾∙𝑒^(−𝑒^(− □(64&amp;(𝑡−𝑡_0)/𝑤)) )</a:t>
              </a:r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41</xdr:col>
      <xdr:colOff>526473</xdr:colOff>
      <xdr:row>13</xdr:row>
      <xdr:rowOff>83126</xdr:rowOff>
    </xdr:from>
    <xdr:ext cx="1385454" cy="9559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CasellaDiTesto 38">
              <a:extLst>
                <a:ext uri="{FF2B5EF4-FFF2-40B4-BE49-F238E27FC236}">
                  <a16:creationId xmlns:a16="http://schemas.microsoft.com/office/drawing/2014/main" id="{E2CC21ED-1542-442F-B152-42F65CF9DC8F}"/>
                </a:ext>
              </a:extLst>
            </xdr:cNvPr>
            <xdr:cNvSpPr txBox="1"/>
          </xdr:nvSpPr>
          <xdr:spPr>
            <a:xfrm>
              <a:off x="28928291" y="2992581"/>
              <a:ext cx="1385454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 </m:t>
                            </m:r>
                            <m:box>
                              <m:boxPr>
                                <m:ctrlPr>
                                  <a:rPr lang="it-I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it-IT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𝑤</m:t>
                                    </m:r>
                                  </m:den>
                                </m:f>
                              </m:e>
                            </m:box>
                          </m:sup>
                        </m:sSup>
                      </m:sup>
                    </m:sSup>
                  </m:oMath>
                </m:oMathPara>
              </a14:m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9" name="CasellaDiTesto 38">
              <a:extLst>
                <a:ext uri="{FF2B5EF4-FFF2-40B4-BE49-F238E27FC236}">
                  <a16:creationId xmlns:a16="http://schemas.microsoft.com/office/drawing/2014/main" id="{E2CC21ED-1542-442F-B152-42F65CF9DC8F}"/>
                </a:ext>
              </a:extLst>
            </xdr:cNvPr>
            <xdr:cNvSpPr txBox="1"/>
          </xdr:nvSpPr>
          <xdr:spPr>
            <a:xfrm>
              <a:off x="28928291" y="2992581"/>
              <a:ext cx="1385454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𝑦=𝐾∙𝑒^(−𝑒^(− □(64&amp;(𝑡−𝑡_0)/𝑤)) )</a:t>
              </a:r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0.6939</cdr:x>
      <cdr:y>0.46292</cdr:y>
    </cdr:from>
    <cdr:to>
      <cdr:x>0.95734</cdr:x>
      <cdr:y>0.67637</cdr:y>
    </cdr:to>
    <cdr:sp macro="" textlink="">
      <cdr:nvSpPr>
        <cdr:cNvPr id="2" name="CasellaDiTesto 6">
          <a:extLst xmlns:a="http://schemas.openxmlformats.org/drawingml/2006/main">
            <a:ext uri="{FF2B5EF4-FFF2-40B4-BE49-F238E27FC236}">
              <a16:creationId xmlns:a16="http://schemas.microsoft.com/office/drawing/2014/main" id="{7E696076-8C22-4EC6-8C39-63B8E38294C1}"/>
            </a:ext>
          </a:extLst>
        </cdr:cNvPr>
        <cdr:cNvSpPr txBox="1"/>
      </cdr:nvSpPr>
      <cdr:spPr>
        <a:xfrm xmlns:a="http://schemas.openxmlformats.org/drawingml/2006/main">
          <a:off x="4814663" y="2838591"/>
          <a:ext cx="1827892" cy="1308866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4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Cumulative deaths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K= 34821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6.09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7.06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>
              <a:solidFill>
                <a:srgbClr val="FF0000"/>
              </a:solidFill>
            </a:rPr>
            <a:t>R</a:t>
          </a:r>
          <a:r>
            <a:rPr lang="it-IT" sz="1100" b="1" i="1" baseline="30000">
              <a:solidFill>
                <a:srgbClr val="FF0000"/>
              </a:solidFill>
            </a:rPr>
            <a:t>2</a:t>
          </a:r>
          <a:r>
            <a:rPr lang="it-IT" sz="1100" b="1" baseline="0">
              <a:solidFill>
                <a:srgbClr val="FF0000"/>
              </a:solidFill>
            </a:rPr>
            <a:t>= 0.9995</a:t>
          </a:r>
        </a:p>
        <a:p xmlns:a="http://schemas.openxmlformats.org/drawingml/2006/main">
          <a:r>
            <a:rPr lang="it-IT" sz="1100" b="1" i="1" baseline="0">
              <a:solidFill>
                <a:srgbClr val="FF0000"/>
              </a:solidFill>
            </a:rPr>
            <a:t>CI</a:t>
          </a:r>
          <a:r>
            <a:rPr lang="it-IT" sz="1100" b="1" baseline="0">
              <a:solidFill>
                <a:srgbClr val="FF0000"/>
              </a:solidFill>
            </a:rPr>
            <a:t>= 212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 Feb 20th)</a:t>
          </a:r>
          <a:endParaRPr lang="it-IT" b="1">
            <a:solidFill>
              <a:srgbClr val="FF0000"/>
            </a:solidFill>
            <a:effectLst/>
          </a:endParaRPr>
        </a:p>
        <a:p xmlns:a="http://schemas.openxmlformats.org/drawingml/2006/main">
          <a:endParaRPr lang="it-IT" sz="1100" baseline="300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0.47741</cdr:x>
      <cdr:y>0.95028</cdr:y>
    </cdr:from>
    <cdr:to>
      <cdr:x>0.54958</cdr:x>
      <cdr:y>0.97404</cdr:y>
    </cdr:to>
    <cdr:sp macro="" textlink="">
      <cdr:nvSpPr>
        <cdr:cNvPr id="2" name="CasellaDiTesto 1">
          <a:extLst xmlns:a="http://schemas.openxmlformats.org/drawingml/2006/main">
            <a:ext uri="{FF2B5EF4-FFF2-40B4-BE49-F238E27FC236}">
              <a16:creationId xmlns:a16="http://schemas.microsoft.com/office/drawing/2014/main" id="{8E49DA68-19D2-432C-BA9B-043EF12CF600}"/>
            </a:ext>
          </a:extLst>
        </cdr:cNvPr>
        <cdr:cNvSpPr txBox="1"/>
      </cdr:nvSpPr>
      <cdr:spPr>
        <a:xfrm xmlns:a="http://schemas.openxmlformats.org/drawingml/2006/main">
          <a:off x="3312523" y="6096000"/>
          <a:ext cx="500742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it-IT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7620</xdr:colOff>
      <xdr:row>6</xdr:row>
      <xdr:rowOff>0</xdr:rowOff>
    </xdr:from>
    <xdr:to>
      <xdr:col>44</xdr:col>
      <xdr:colOff>99060</xdr:colOff>
      <xdr:row>38</xdr:row>
      <xdr:rowOff>144780</xdr:rowOff>
    </xdr:to>
    <xdr:grpSp>
      <xdr:nvGrpSpPr>
        <xdr:cNvPr id="4" name="Gruppo 3">
          <a:extLst>
            <a:ext uri="{FF2B5EF4-FFF2-40B4-BE49-F238E27FC236}">
              <a16:creationId xmlns:a16="http://schemas.microsoft.com/office/drawing/2014/main" id="{C38719AA-89BB-413C-B474-4D6F4534DDA6}"/>
            </a:ext>
          </a:extLst>
        </xdr:cNvPr>
        <xdr:cNvGrpSpPr/>
      </xdr:nvGrpSpPr>
      <xdr:grpSpPr>
        <a:xfrm>
          <a:off x="29689761" y="1434353"/>
          <a:ext cx="6940475" cy="6258709"/>
          <a:chOff x="29739475" y="1440873"/>
          <a:chExt cx="6935585" cy="6296198"/>
        </a:xfrm>
      </xdr:grpSpPr>
      <xdr:graphicFrame macro="">
        <xdr:nvGraphicFramePr>
          <xdr:cNvPr id="2" name="Grafico 1">
            <a:extLst>
              <a:ext uri="{FF2B5EF4-FFF2-40B4-BE49-F238E27FC236}">
                <a16:creationId xmlns:a16="http://schemas.microsoft.com/office/drawing/2014/main" id="{F5082D72-C1F7-4963-A285-6EBE98D385D7}"/>
              </a:ext>
            </a:extLst>
          </xdr:cNvPr>
          <xdr:cNvGraphicFramePr>
            <a:graphicFrameLocks/>
          </xdr:cNvGraphicFramePr>
        </xdr:nvGraphicFramePr>
        <xdr:xfrm>
          <a:off x="29739475" y="1440873"/>
          <a:ext cx="6935585" cy="62961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20" name="Grafico 19">
            <a:extLst>
              <a:ext uri="{FF2B5EF4-FFF2-40B4-BE49-F238E27FC236}">
                <a16:creationId xmlns:a16="http://schemas.microsoft.com/office/drawing/2014/main" id="{972049CD-4752-4595-84C5-C19A2B85FFFF}"/>
              </a:ext>
            </a:extLst>
          </xdr:cNvPr>
          <xdr:cNvGraphicFramePr>
            <a:graphicFrameLocks/>
          </xdr:cNvGraphicFramePr>
        </xdr:nvGraphicFramePr>
        <xdr:xfrm>
          <a:off x="35058927" y="6178298"/>
          <a:ext cx="1550037" cy="122245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21" name="Grafico 20">
            <a:extLst>
              <a:ext uri="{FF2B5EF4-FFF2-40B4-BE49-F238E27FC236}">
                <a16:creationId xmlns:a16="http://schemas.microsoft.com/office/drawing/2014/main" id="{0E00F1BC-6DC3-463A-9828-19B565C65D04}"/>
              </a:ext>
            </a:extLst>
          </xdr:cNvPr>
          <xdr:cNvGraphicFramePr>
            <a:graphicFrameLocks/>
          </xdr:cNvGraphicFramePr>
        </xdr:nvGraphicFramePr>
        <xdr:xfrm>
          <a:off x="33433989" y="3587230"/>
          <a:ext cx="1549082" cy="126969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22" name="Grafico 21">
            <a:extLst>
              <a:ext uri="{FF2B5EF4-FFF2-40B4-BE49-F238E27FC236}">
                <a16:creationId xmlns:a16="http://schemas.microsoft.com/office/drawing/2014/main" id="{DA6A5183-FA01-4C8B-BE7D-4A16AB61894C}"/>
              </a:ext>
            </a:extLst>
          </xdr:cNvPr>
          <xdr:cNvGraphicFramePr>
            <a:graphicFrameLocks/>
          </xdr:cNvGraphicFramePr>
        </xdr:nvGraphicFramePr>
        <xdr:xfrm>
          <a:off x="33319427" y="2284352"/>
          <a:ext cx="1558636" cy="121288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  <xdr:oneCellAnchor>
    <xdr:from>
      <xdr:col>7</xdr:col>
      <xdr:colOff>0</xdr:colOff>
      <xdr:row>2</xdr:row>
      <xdr:rowOff>0</xdr:rowOff>
    </xdr:from>
    <xdr:ext cx="1745672" cy="9559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sellaDiTesto 9">
              <a:extLst>
                <a:ext uri="{FF2B5EF4-FFF2-40B4-BE49-F238E27FC236}">
                  <a16:creationId xmlns:a16="http://schemas.microsoft.com/office/drawing/2014/main" id="{376ABBCF-C63E-40D0-B5FA-C6A5AFAC0B09}"/>
                </a:ext>
              </a:extLst>
            </xdr:cNvPr>
            <xdr:cNvSpPr txBox="1"/>
          </xdr:nvSpPr>
          <xdr:spPr>
            <a:xfrm>
              <a:off x="4918364" y="471055"/>
              <a:ext cx="1745672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𝐶𝑑𝑓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 </m:t>
                            </m:r>
                            <m:box>
                              <m:boxPr>
                                <m:ctrlPr>
                                  <a:rPr lang="it-I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it-IT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𝑤</m:t>
                                    </m:r>
                                  </m:den>
                                </m:f>
                              </m:e>
                            </m:box>
                          </m:sup>
                        </m:sSup>
                      </m:sup>
                    </m:sSup>
                  </m:oMath>
                </m:oMathPara>
              </a14:m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0" name="CasellaDiTesto 9">
              <a:extLst>
                <a:ext uri="{FF2B5EF4-FFF2-40B4-BE49-F238E27FC236}">
                  <a16:creationId xmlns:a16="http://schemas.microsoft.com/office/drawing/2014/main" id="{376ABBCF-C63E-40D0-B5FA-C6A5AFAC0B09}"/>
                </a:ext>
              </a:extLst>
            </xdr:cNvPr>
            <xdr:cNvSpPr txBox="1"/>
          </xdr:nvSpPr>
          <xdr:spPr>
            <a:xfrm>
              <a:off x="4918364" y="471055"/>
              <a:ext cx="1745672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𝐶𝑑𝑓=𝐾∙𝑒^(−𝑒^(− □(64&amp;(𝑡−𝑡_0)/𝑤)) )</a:t>
              </a:r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41</xdr:col>
      <xdr:colOff>180109</xdr:colOff>
      <xdr:row>8</xdr:row>
      <xdr:rowOff>96981</xdr:rowOff>
    </xdr:from>
    <xdr:ext cx="1745672" cy="9559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sellaDiTesto 10">
              <a:extLst>
                <a:ext uri="{FF2B5EF4-FFF2-40B4-BE49-F238E27FC236}">
                  <a16:creationId xmlns:a16="http://schemas.microsoft.com/office/drawing/2014/main" id="{DEAA703C-9146-44F0-9653-ADFBBBC58BDA}"/>
                </a:ext>
              </a:extLst>
            </xdr:cNvPr>
            <xdr:cNvSpPr txBox="1"/>
          </xdr:nvSpPr>
          <xdr:spPr>
            <a:xfrm>
              <a:off x="34927309" y="2078181"/>
              <a:ext cx="1745672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𝐶𝑑𝑓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 </m:t>
                            </m:r>
                            <m:box>
                              <m:boxPr>
                                <m:ctrlPr>
                                  <a:rPr lang="it-I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it-IT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𝑤</m:t>
                                    </m:r>
                                  </m:den>
                                </m:f>
                              </m:e>
                            </m:box>
                          </m:sup>
                        </m:sSup>
                      </m:sup>
                    </m:sSup>
                  </m:oMath>
                </m:oMathPara>
              </a14:m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" name="CasellaDiTesto 10">
              <a:extLst>
                <a:ext uri="{FF2B5EF4-FFF2-40B4-BE49-F238E27FC236}">
                  <a16:creationId xmlns:a16="http://schemas.microsoft.com/office/drawing/2014/main" id="{DEAA703C-9146-44F0-9653-ADFBBBC58BDA}"/>
                </a:ext>
              </a:extLst>
            </xdr:cNvPr>
            <xdr:cNvSpPr txBox="1"/>
          </xdr:nvSpPr>
          <xdr:spPr>
            <a:xfrm>
              <a:off x="34927309" y="2078181"/>
              <a:ext cx="1745672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𝐶𝑑𝑓=𝐾∙𝑒^(−𝑒^(− □(64&amp;(𝑡−𝑡_0)/𝑤)) )</a:t>
              </a:r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41</xdr:col>
      <xdr:colOff>332509</xdr:colOff>
      <xdr:row>13</xdr:row>
      <xdr:rowOff>180109</xdr:rowOff>
    </xdr:from>
    <xdr:ext cx="1468582" cy="9559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72454323-1D92-4061-BC38-89397C1D5E24}"/>
                </a:ext>
              </a:extLst>
            </xdr:cNvPr>
            <xdr:cNvSpPr txBox="1"/>
          </xdr:nvSpPr>
          <xdr:spPr>
            <a:xfrm>
              <a:off x="35079709" y="3075709"/>
              <a:ext cx="1468582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𝑃𝑑𝑓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  <m:sup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p>
                    </m:sSup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𝐶𝑑𝑓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num>
                              <m:den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72454323-1D92-4061-BC38-89397C1D5E24}"/>
                </a:ext>
              </a:extLst>
            </xdr:cNvPr>
            <xdr:cNvSpPr txBox="1"/>
          </xdr:nvSpPr>
          <xdr:spPr>
            <a:xfrm>
              <a:off x="35079709" y="3075709"/>
              <a:ext cx="1468582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𝑃𝑑𝑓=𝑤^(−1) 𝐶𝑑𝑓∙</a:t>
              </a:r>
              <a:r>
                <a:rPr lang="it-IT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𝑒^(− □(64&amp;(𝑡−𝑡_0)/𝑤))</a:t>
              </a:r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0.47741</cdr:x>
      <cdr:y>0.95028</cdr:y>
    </cdr:from>
    <cdr:to>
      <cdr:x>0.54958</cdr:x>
      <cdr:y>0.97404</cdr:y>
    </cdr:to>
    <cdr:sp macro="" textlink="">
      <cdr:nvSpPr>
        <cdr:cNvPr id="2" name="CasellaDiTesto 1">
          <a:extLst xmlns:a="http://schemas.openxmlformats.org/drawingml/2006/main">
            <a:ext uri="{FF2B5EF4-FFF2-40B4-BE49-F238E27FC236}">
              <a16:creationId xmlns:a16="http://schemas.microsoft.com/office/drawing/2014/main" id="{8E49DA68-19D2-432C-BA9B-043EF12CF600}"/>
            </a:ext>
          </a:extLst>
        </cdr:cNvPr>
        <cdr:cNvSpPr txBox="1"/>
      </cdr:nvSpPr>
      <cdr:spPr>
        <a:xfrm xmlns:a="http://schemas.openxmlformats.org/drawingml/2006/main">
          <a:off x="3312523" y="6096000"/>
          <a:ext cx="500742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it-IT" sz="1100"/>
        </a:p>
      </cdr:txBody>
    </cdr:sp>
  </cdr:relSizeAnchor>
  <cdr:relSizeAnchor xmlns:cdr="http://schemas.openxmlformats.org/drawingml/2006/chartDrawing">
    <cdr:from>
      <cdr:x>0.46643</cdr:x>
      <cdr:y>0.9418</cdr:y>
    </cdr:from>
    <cdr:to>
      <cdr:x>0.56527</cdr:x>
      <cdr:y>0.97404</cdr:y>
    </cdr:to>
    <cdr:sp macro="" textlink="'New_confirmed - Gompertz'!$B$8">
      <cdr:nvSpPr>
        <cdr:cNvPr id="3" name="CasellaDiTesto 2">
          <a:extLst xmlns:a="http://schemas.openxmlformats.org/drawingml/2006/main">
            <a:ext uri="{FF2B5EF4-FFF2-40B4-BE49-F238E27FC236}">
              <a16:creationId xmlns:a16="http://schemas.microsoft.com/office/drawing/2014/main" id="{F02AC9EE-EA13-4B9B-8B99-5CB130773528}"/>
            </a:ext>
          </a:extLst>
        </cdr:cNvPr>
        <cdr:cNvSpPr txBox="1"/>
      </cdr:nvSpPr>
      <cdr:spPr>
        <a:xfrm xmlns:a="http://schemas.openxmlformats.org/drawingml/2006/main">
          <a:off x="3236323" y="6041573"/>
          <a:ext cx="685800" cy="2068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6CE163D0-8013-48D6-8901-ABF3CECE0A59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24-feb</a:t>
          </a:fld>
          <a:endParaRPr lang="it-IT" sz="11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46504131-ADD3-4530-BCC7-16E4FED1C2C4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9" xr16:uid="{020D777A-6D44-4F04-A6AC-B7900E858838}" autoFormatId="16" applyNumberFormats="0" applyBorderFormats="0" applyFontFormats="0" applyPatternFormats="0" applyAlignmentFormats="0" applyWidthHeightFormats="0">
  <queryTableRefresh nextId="16">
    <queryTableFields count="15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positivi" tableColumnId="7"/>
      <queryTableField id="8" name="variazione_totale_positivi" tableColumnId="8"/>
      <queryTableField id="9" name="nuovi_positivi" tableColumnId="9"/>
      <queryTableField id="10" name="dimessi_guariti" tableColumnId="10"/>
      <queryTableField id="11" name="deceduti" tableColumnId="11"/>
      <queryTableField id="12" name="totale_casi" tableColumnId="12"/>
      <queryTableField id="13" name="tamponi" tableColumnId="13"/>
      <queryTableField id="14" name="note_it" tableColumnId="14"/>
      <queryTableField id="15" name="note_en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AF65A5-B7DD-4DA5-8FB6-9B5B1284DB6D}" name="dpc_covid19_ita_andamento_nazionale__9" displayName="dpc_covid19_ita_andamento_nazionale__9" ref="A1:O51" tableType="queryTable" totalsRowShown="0">
  <autoFilter ref="A1:O51" xr:uid="{EAFD7DE5-C4A1-4C49-95BD-BF222027DF39}"/>
  <tableColumns count="15">
    <tableColumn id="1" xr3:uid="{643499DD-A92D-42E1-8C92-5126B9AB48FF}" uniqueName="1" name="data" queryTableFieldId="1" dataDxfId="65"/>
    <tableColumn id="2" xr3:uid="{FFFA4220-F53F-4BDD-BE4D-57574B5FC724}" uniqueName="2" name="stato" queryTableFieldId="2" dataDxfId="64"/>
    <tableColumn id="3" xr3:uid="{BD12986A-F50F-4CE3-AAAC-13CF95D8C23A}" uniqueName="3" name="ricoverati_con_sintomi" queryTableFieldId="3"/>
    <tableColumn id="4" xr3:uid="{0B5C2611-F726-4535-8781-278455BB001C}" uniqueName="4" name="terapia_intensiva" queryTableFieldId="4"/>
    <tableColumn id="5" xr3:uid="{C2C9D361-A9B4-45F7-90AD-053196712A4D}" uniqueName="5" name="totale_ospedalizzati" queryTableFieldId="5"/>
    <tableColumn id="6" xr3:uid="{B5561AC4-19A2-45C0-AAA2-60A1E73B9981}" uniqueName="6" name="isolamento_domiciliare" queryTableFieldId="6"/>
    <tableColumn id="7" xr3:uid="{6D57734A-C2E7-40B3-A7E1-759A03F7ED11}" uniqueName="7" name="totale_positivi" queryTableFieldId="7"/>
    <tableColumn id="8" xr3:uid="{7B1CDE87-AD16-4C3F-8048-BFA9B6FA3351}" uniqueName="8" name="variazione_totale_positivi" queryTableFieldId="8"/>
    <tableColumn id="9" xr3:uid="{6E3860E2-A9E9-449F-8FDB-3E148F374799}" uniqueName="9" name="nuovi_positivi" queryTableFieldId="9"/>
    <tableColumn id="10" xr3:uid="{7CCE1EA2-E009-4C8E-9F56-997DD0A0672B}" uniqueName="10" name="dimessi_guariti" queryTableFieldId="10"/>
    <tableColumn id="11" xr3:uid="{2EFDD238-C5D8-402F-93CC-B92148EA6DB2}" uniqueName="11" name="deceduti" queryTableFieldId="11"/>
    <tableColumn id="12" xr3:uid="{1D61061E-BCD9-41B0-98A5-ECA85065E67D}" uniqueName="12" name="totale_casi" queryTableFieldId="12"/>
    <tableColumn id="13" xr3:uid="{3F6A2F47-86E6-4DA5-A36D-1D972D8DA77B}" uniqueName="13" name="tamponi" queryTableFieldId="13"/>
    <tableColumn id="14" xr3:uid="{DBFC075B-E589-4F56-B2BE-7FABCD154906}" uniqueName="14" name="note_it" queryTableFieldId="14" dataDxfId="63"/>
    <tableColumn id="15" xr3:uid="{76DCAC03-6858-4071-83F0-4242CF5951AF}" uniqueName="15" name="note_en" queryTableFieldId="15" dataDxfId="6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E19BCC8-A4BE-4CC7-B6B5-07F5ABF1C4B0}" name="Tabella211" displayName="Tabella211" ref="B7:AD78" totalsRowShown="0" headerRowDxfId="61">
  <autoFilter ref="B7:AD78" xr:uid="{B8C71372-AF1E-49D4-8457-F67D9BE771EB}"/>
  <tableColumns count="29">
    <tableColumn id="1" xr3:uid="{F109A47B-C010-45B9-B2B7-92F08B4181E1}" name="Date" dataDxfId="60"/>
    <tableColumn id="2" xr3:uid="{E6397626-D4E9-41D2-8D66-D6F816FA7AF9}" name="Day" dataDxfId="59">
      <calculatedColumnFormula>C7+1</calculatedColumnFormula>
    </tableColumn>
    <tableColumn id="3" xr3:uid="{19FE4D53-DC8D-48FD-BC6F-945771BA9C90}" name="Cum_confirmed"/>
    <tableColumn id="4" xr3:uid="{069D8645-44F5-40DB-9FF8-97ACE6FD9389}" name="New cases"/>
    <tableColumn id="23" xr3:uid="{BB0BF4F8-A1B7-49F7-8912-AB4E82E4BE47}" name="Colonna1" dataDxfId="58" dataCellStyle="20% - Colore 1">
      <calculatedColumnFormula>Tabella211[[#This Row],[Cum_confirmed]]*NOT(ISBLANK(Tabella211[[#This Row],[Cum_confirmed]]))</calculatedColumnFormula>
    </tableColumn>
    <tableColumn id="5" xr3:uid="{906AC7F4-1EA1-4AA4-96BF-364D104327B0}" name="Cum_fit" dataDxfId="57">
      <calculatedColumnFormula>K*EXP(-EXP(-(Tabella211[[#This Row],[Day]]-t0)/w))</calculatedColumnFormula>
    </tableColumn>
    <tableColumn id="6" xr3:uid="{59DF212F-AD93-4F67-9314-22ED4BD2C67F}" name="New_cases_fit" dataDxfId="56">
      <calculatedColumnFormula>Tabella211[[#This Row],[Cum_fit]]*EXP(-(Tabella211[[#This Row],[Day]]-t0)/w)/w</calculatedColumnFormula>
    </tableColumn>
    <tableColumn id="24" xr3:uid="{631432D1-6CBF-44AE-AA24-22DC16561674}" name="Colonna2" dataDxfId="55" dataCellStyle="20% - Colore 1">
      <calculatedColumnFormula>Tabella211[[#This Row],[Cum_fit]]*NOT(ISBLANK(Tabella211[[#This Row],[Cum_confirmed]]))</calculatedColumnFormula>
    </tableColumn>
    <tableColumn id="7" xr3:uid="{C98EB7A4-F307-4996-9CA2-73BF58F659AA}" name="C_Upper CI"/>
    <tableColumn id="8" xr3:uid="{067E9744-A836-4005-9752-A7F84EC7CCC5}" name="C_Lower CI"/>
    <tableColumn id="9" xr3:uid="{E7705F1B-E211-4D2F-B47C-BFEBA87EB026}" name="Curr_positive" dataDxfId="54"/>
    <tableColumn id="10" xr3:uid="{26C08828-5C73-4184-BE03-FCB7AE457636}" name="New_positive" dataDxfId="53"/>
    <tableColumn id="29" xr3:uid="{B8AFAB82-B960-4EE1-B026-1E99DA3B9FA5}" name="New_positive_fit" dataDxfId="52">
      <calculatedColumnFormula>Tabella211[[#This Row],[New_cases_fit]]-Tabella211[[#This Row],[New_Recovered_fit]]-Tabella211[[#This Row],[New_Deaths_fit]]</calculatedColumnFormula>
    </tableColumn>
    <tableColumn id="11" xr3:uid="{663A1341-0F3E-49C3-A573-7EF5984D6980}" name="Cum_recov"/>
    <tableColumn id="12" xr3:uid="{5D5B7C77-9671-471E-ACEB-1F251509ADC2}" name="New recovered" dataDxfId="51"/>
    <tableColumn id="25" xr3:uid="{B5764F16-3F23-4441-85C0-396F3C7F466C}" name="Colonna3" dataDxfId="50" dataCellStyle="20% - Colore 6">
      <calculatedColumnFormula>Tabella211[[#This Row],[Cum_recov]]*NOT(ISBLANK(Tabella211[[#This Row],[Cum_recov]]))</calculatedColumnFormula>
    </tableColumn>
    <tableColumn id="13" xr3:uid="{557B6BBE-A4D1-4664-AFDE-AE352576A3DE}" name="Cum_R_fit" dataDxfId="49">
      <calculatedColumnFormula>Kr*EXP(-EXP(-(Tabella211[[#This Row],[Day]]-t0r)/wr))</calculatedColumnFormula>
    </tableColumn>
    <tableColumn id="14" xr3:uid="{242586ED-2947-45C8-9CE5-E7AB9A72B118}" name="New_Recovered_fit" dataDxfId="48">
      <calculatedColumnFormula>Tabella211[[#This Row],[Cum_R_fit]]*EXP(-(Tabella211[[#This Row],[Day]]-t0r)/wr)/wr</calculatedColumnFormula>
    </tableColumn>
    <tableColumn id="26" xr3:uid="{C0BDC4F9-7346-4F1A-B352-EC468DCD9624}" name="Colonna4" dataDxfId="47" dataCellStyle="20% - Colore 6">
      <calculatedColumnFormula>Tabella211[[#This Row],[Cum_R_fit]]*NOT(ISBLANK(Tabella211[[#This Row],[Cum_recov]]))</calculatedColumnFormula>
    </tableColumn>
    <tableColumn id="15" xr3:uid="{82AB8F81-3E3B-4A2C-A4FC-C7148CACBBA0}" name="R_Upper CI"/>
    <tableColumn id="16" xr3:uid="{6894D638-FDAD-4888-952D-20D45890DE99}" name="R_Lower CI"/>
    <tableColumn id="17" xr3:uid="{3332BBE6-8382-4DB6-8DBA-F839E04AE286}" name="Cum_deaths"/>
    <tableColumn id="18" xr3:uid="{52C908F0-93E0-49C7-83B9-E0DFDC028E89}" name="New deaths" dataDxfId="46"/>
    <tableColumn id="27" xr3:uid="{962B7882-CED2-46E8-894C-11D4E492CF90}" name="Colonna5" dataDxfId="45" dataCellStyle="20% - Colore 2">
      <calculatedColumnFormula>Tabella211[[#This Row],[Cum_deaths]]*NOT(ISBLANK(Tabella211[[#This Row],[Cum_deaths]]))</calculatedColumnFormula>
    </tableColumn>
    <tableColumn id="19" xr3:uid="{02D66957-737F-4C9C-8C68-15E04D1E5C80}" name="Cum_D_fit" dataDxfId="44">
      <calculatedColumnFormula>Kh*EXP(-EXP(-(Tabella211[[#This Row],[Day]]-t0h)/wh))</calculatedColumnFormula>
    </tableColumn>
    <tableColumn id="20" xr3:uid="{39D1356E-7799-4ABA-8D46-4BA48A94A90A}" name="New_Deaths_fit" dataDxfId="43">
      <calculatedColumnFormula>Tabella211[[#This Row],[Cum_D_fit]]*EXP(-(Tabella211[[#This Row],[Day]]-t0h)/wh)/wh</calculatedColumnFormula>
    </tableColumn>
    <tableColumn id="28" xr3:uid="{84B03305-1467-48F7-81BE-927A7C3D8C98}" name="Colonna6" dataDxfId="42" dataCellStyle="20% - Colore 2">
      <calculatedColumnFormula>Tabella211[[#This Row],[Cum_D_fit]]*NOT(ISBLANK(Tabella211[[#This Row],[Cum_deaths]]))</calculatedColumnFormula>
    </tableColumn>
    <tableColumn id="21" xr3:uid="{9E7E013F-C805-4007-9015-5950CEDBC33D}" name="D_Upper CI"/>
    <tableColumn id="22" xr3:uid="{869D4223-5F79-4962-8B64-19F2D58547BD}" name="D_Lower CI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7ABAEAB-E516-4F4B-B47D-D4D1C4903D9B}" name="Tabella312" displayName="Tabella312" ref="AF7:AG18" totalsRowShown="0" headerRowDxfId="41" dataDxfId="40">
  <autoFilter ref="AF7:AG18" xr:uid="{407C54E5-E440-4537-8E2D-1DD13C000E48}"/>
  <tableColumns count="2">
    <tableColumn id="1" xr3:uid="{52B0120A-043A-4EF7-B804-054502154853}" name="Confirmed" dataDxfId="39"/>
    <tableColumn id="2" xr3:uid="{BBD62E85-33F5-4BF1-A3AE-7B88D2DD93AA}" name="Confirmed fit" dataDxfId="38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CFC3B07-4E56-4CC4-A00C-EEC43969F07C}" name="Tabella413" displayName="Tabella413" ref="AF19:AG30" totalsRowShown="0" dataDxfId="37">
  <autoFilter ref="AF19:AG30" xr:uid="{CB9D1A18-DA45-4DE8-9D1A-421A0BAF60FC}"/>
  <tableColumns count="2">
    <tableColumn id="1" xr3:uid="{775DA299-347C-4244-9FD8-E27BF59FECEC}" name="Recovered" dataDxfId="36"/>
    <tableColumn id="2" xr3:uid="{2C633A4A-885C-4119-9E86-E6A0CC694C9C}" name="Recovered fit" dataDxfId="35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1E3162F-97BC-489C-A178-22384E6BB5EF}" name="Tabella514" displayName="Tabella514" ref="AF31:AG42" totalsRowShown="0" headerRowDxfId="34" dataDxfId="33">
  <autoFilter ref="AF31:AG42" xr:uid="{4866098F-838C-4EFF-B7EC-009C5776DD93}"/>
  <tableColumns count="2">
    <tableColumn id="1" xr3:uid="{80725BB4-06C2-4468-BF34-2E7CFE4745BB}" name="Deaths" dataDxfId="32"/>
    <tableColumn id="2" xr3:uid="{36C77133-0452-4171-BD17-066E8059C73B}" name="Deaths fit" dataDxfId="31"/>
  </tableColumns>
  <tableStyleInfo name="TableStyleLight1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D2CD3E-B2FE-40FD-A821-EC2433F236C4}" name="Tabella2" displayName="Tabella2" ref="B7:AD78" totalsRowShown="0" headerRowDxfId="30">
  <autoFilter ref="B7:AD78" xr:uid="{18B9BA29-5254-4957-B1CE-C36E82E90972}"/>
  <tableColumns count="29">
    <tableColumn id="1" xr3:uid="{320CFB16-AFF6-4BFA-BDC8-DA7062BA9B2B}" name="Date" dataDxfId="29"/>
    <tableColumn id="2" xr3:uid="{A9C7A420-022C-4606-A5DD-BCEEC11E3690}" name="Day" dataDxfId="28">
      <calculatedColumnFormula>C7+1</calculatedColumnFormula>
    </tableColumn>
    <tableColumn id="3" xr3:uid="{E319BAF5-A1CD-4309-8BEF-9217F065E0C1}" name="Cum_confirmed"/>
    <tableColumn id="4" xr3:uid="{2925A627-44DD-47CD-BE58-2415E5D9D142}" name="New cases"/>
    <tableColumn id="23" xr3:uid="{9F3BE538-EBBB-402A-8DFD-01C2B7F0673C}" name="Colonna1" dataDxfId="27" dataCellStyle="20% - Colore 1">
      <calculatedColumnFormula>Tabella2[[#This Row],[New cases]]*NOT(ISBLANK(Tabella2[[#This Row],[New cases]]))</calculatedColumnFormula>
    </tableColumn>
    <tableColumn id="5" xr3:uid="{DC39629B-42C4-4FAD-8071-7786B69E6DB6}" name="Cum_fit" dataDxfId="26">
      <calculatedColumnFormula>Kn*EXP(-EXP(-(Tabella2[[#This Row],[Day]]-t0n)/wn))</calculatedColumnFormula>
    </tableColumn>
    <tableColumn id="6" xr3:uid="{81317C98-2D23-428D-B512-65EE9F90D2C5}" name="New_cases_fit" dataDxfId="25">
      <calculatedColumnFormula>Tabella2[[#This Row],[Cum_fit]]*EXP(-(Tabella2[[#This Row],[Day]]-t0n)/wn)/wn</calculatedColumnFormula>
    </tableColumn>
    <tableColumn id="24" xr3:uid="{E19855DE-078A-43E1-B0FD-DC571168496B}" name="Colonna2" dataDxfId="24" dataCellStyle="20% - Colore 1">
      <calculatedColumnFormula>Tabella2[[#This Row],[New_cases_fit]]*NOT(ISBLANK(Tabella2[[#This Row],[New cases]]))</calculatedColumnFormula>
    </tableColumn>
    <tableColumn id="7" xr3:uid="{139E32A4-201F-4B05-BBCA-387D2B0D0D28}" name="C_Upper CI"/>
    <tableColumn id="8" xr3:uid="{728DDB53-5896-497E-B4D6-CC620AB661A7}" name="C_Lower CI"/>
    <tableColumn id="9" xr3:uid="{0BB446C3-A826-4ED5-9CC4-02B346DDBDF8}" name="Curr_positive" dataDxfId="23"/>
    <tableColumn id="10" xr3:uid="{AF8778A9-44F4-4E92-AF1C-71D0E6DD9311}" name="New_positive" dataDxfId="22"/>
    <tableColumn id="29" xr3:uid="{E9F0C073-162C-4409-91D6-E25F8BA6E7D8}" name="New_positive_fit" dataDxfId="21">
      <calculatedColumnFormula>Tabella2[[#This Row],[New_cases_fit]]-Tabella2[[#This Row],[New_Recovered_fit]]-Tabella2[[#This Row],[New_Deaths_fit]]</calculatedColumnFormula>
    </tableColumn>
    <tableColumn id="11" xr3:uid="{6E583CD0-8DDF-495D-98BF-63B34D34CA97}" name="Cum_recov"/>
    <tableColumn id="12" xr3:uid="{70FBE6BB-2C7F-4438-8516-0196CF286B6C}" name="New recovered" dataDxfId="20"/>
    <tableColumn id="25" xr3:uid="{94ABBBBE-8B3C-4B6A-ABCE-1319FE6754D6}" name="Colonna3" dataDxfId="19" dataCellStyle="20% - Colore 6">
      <calculatedColumnFormula>Tabella2[[#This Row],[New recovered]]*NOT(ISBLANK(Tabella2[[#This Row],[New recovered]]))</calculatedColumnFormula>
    </tableColumn>
    <tableColumn id="13" xr3:uid="{AF9590E9-078F-4BBF-ADA2-E67A9E280FA7}" name="Cum_R_fit" dataDxfId="18">
      <calculatedColumnFormula>Kd*EXP(-EXP(-(Tabella2[[#This Row],[Day]]-t0d)/wd))</calculatedColumnFormula>
    </tableColumn>
    <tableColumn id="14" xr3:uid="{B1E5A58D-5A14-46E7-9BCC-394A8142E86B}" name="New_Recovered_fit" dataDxfId="17">
      <calculatedColumnFormula>Tabella2[[#This Row],[Cum_R_fit]]*EXP(-(Tabella2[[#This Row],[Day]]-t0d)/wd)/wd</calculatedColumnFormula>
    </tableColumn>
    <tableColumn id="26" xr3:uid="{5A014E51-4816-44C8-A2D1-AFE9233ECB28}" name="Colonna4" dataDxfId="16" dataCellStyle="20% - Colore 6">
      <calculatedColumnFormula>Tabella2[[#This Row],[New_Recovered_fit]]*NOT(ISBLANK(Tabella2[[#This Row],[New recovered]]))</calculatedColumnFormula>
    </tableColumn>
    <tableColumn id="15" xr3:uid="{7CF23E8E-FAC6-4962-834F-6449CE08AA9D}" name="NR_Upper CI"/>
    <tableColumn id="16" xr3:uid="{45AD79A3-FE78-4941-85F9-AC6BA2C65759}" name="NR_Lower CI"/>
    <tableColumn id="17" xr3:uid="{07FBF947-33DA-4E8D-9DFA-DC6BF2C48145}" name="Cum_deaths"/>
    <tableColumn id="18" xr3:uid="{56E6C91D-1690-43B5-AB65-65D1F130EBBB}" name="New deaths" dataDxfId="15"/>
    <tableColumn id="27" xr3:uid="{5FAA9F04-20D5-4AF2-A858-A7CC7E685C22}" name="Colonna5" dataDxfId="14" dataCellStyle="20% - Colore 2">
      <calculatedColumnFormula>Tabella2[[#This Row],[New deaths]]*NOT(ISBLANK(Tabella2[[#This Row],[New deaths]]))</calculatedColumnFormula>
    </tableColumn>
    <tableColumn id="19" xr3:uid="{10A7808B-0A2B-44A5-8D38-81200D48D97C}" name="Cum_D_fit" dataDxfId="13">
      <calculatedColumnFormula>Kt*EXP(-EXP(-(Tabella2[[#This Row],[Day]]-t0t)/wt))</calculatedColumnFormula>
    </tableColumn>
    <tableColumn id="20" xr3:uid="{909CD4CA-9439-448B-ADE6-23709E8F3117}" name="New_Deaths_fit" dataDxfId="12">
      <calculatedColumnFormula>Tabella2[[#This Row],[Cum_D_fit]]*EXP(-(Tabella2[[#This Row],[Day]]-t0t)/wt)/wt</calculatedColumnFormula>
    </tableColumn>
    <tableColumn id="28" xr3:uid="{4ACECA7F-F765-4B32-9A87-B72CF4C593B7}" name="Colonna6" dataDxfId="11" dataCellStyle="20% - Colore 2">
      <calculatedColumnFormula>Tabella2[[#This Row],[New_Deaths_fit]]*NOT(ISBLANK(Tabella2[[#This Row],[New deaths]]))</calculatedColumnFormula>
    </tableColumn>
    <tableColumn id="21" xr3:uid="{B8829FED-3ABB-4B20-B51F-F9132ECBB20B}" name="ND_Upper CI"/>
    <tableColumn id="22" xr3:uid="{42F0328C-C791-4167-9344-F96768A9E39C}" name="ND_Lower CI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8048BD-5CDC-42B1-B8A6-C2D1F0C0F75F}" name="Tabella3" displayName="Tabella3" ref="AF7:AG18" totalsRowShown="0" headerRowDxfId="10" dataDxfId="9">
  <autoFilter ref="AF7:AG18" xr:uid="{1C0A8599-2DC9-45B2-A640-9B64AE029280}"/>
  <tableColumns count="2">
    <tableColumn id="1" xr3:uid="{C78B678A-DF99-4D71-9DCA-538EBE002474}" name="Confirmed" dataDxfId="8"/>
    <tableColumn id="2" xr3:uid="{FD00BEDE-26C5-4882-A08D-7A3A81D737EC}" name="New cases fit" dataDxfId="7"/>
  </tableColumns>
  <tableStyleInfo name="TableStyleLight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B879F8-CCD4-4350-A437-AD67030C47E4}" name="Tabella4" displayName="Tabella4" ref="AF19:AG30" totalsRowShown="0" dataDxfId="0">
  <autoFilter ref="AF19:AG30" xr:uid="{EEF2A1A0-4A08-497E-A79F-5A35691071BA}"/>
  <tableColumns count="2">
    <tableColumn id="1" xr3:uid="{604E3049-AE60-4912-86E2-C58A4706242A}" name="Recovered" dataDxfId="2"/>
    <tableColumn id="2" xr3:uid="{109EDCEC-3FF1-4CB5-A224-FFEEA35FA41C}" name="New recovered fit" dataDxfId="1"/>
  </tableColumns>
  <tableStyleInfo name="TableStyleLight2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627ECF-5D8A-447B-AC66-68900E40C78B}" name="Tabella5" displayName="Tabella5" ref="AF31:AG42" totalsRowShown="0" headerRowDxfId="6" dataDxfId="5">
  <autoFilter ref="AF31:AG42" xr:uid="{61401F20-3088-4299-A30C-162117992087}"/>
  <tableColumns count="2">
    <tableColumn id="1" xr3:uid="{E0943324-D586-453F-96DB-1069E398D242}" name="Deaths" dataDxfId="4"/>
    <tableColumn id="2" xr3:uid="{66FF7AC8-7F99-4215-A97C-F9D3F4B5C74C}" name="New deaths fit" dataDxfId="3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H3" dT="2020-04-13T00:14:38.76" personId="{46504131-ADD3-4530-BCC7-16E4FED1C2C4}" id="{0E3BBDD2-49F3-4791-8649-958B5A2F428B}">
    <text>Saturation value or carrying capalcity</text>
  </threadedComment>
  <threadedComment ref="AH4" dT="2020-04-13T18:47:27.10" personId="{46504131-ADD3-4530-BCC7-16E4FED1C2C4}" id="{9A58F8C8-EC4D-4204-BDBD-1ED773C791C2}">
    <text>exponential decay time</text>
  </threadedComment>
  <threadedComment ref="AH5" dT="2020-04-13T18:47:54.02" personId="{46504131-ADD3-4530-BCC7-16E4FED1C2C4}" id="{CC489CA4-0428-4260-9C71-F50F294E0276}">
    <text>fractal exponent</text>
  </threadedComment>
  <threadedComment ref="B8" dT="2020-03-21T22:11:56.31" personId="{46504131-ADD3-4530-BCC7-16E4FED1C2C4}" id="{92ED0BA3-CD99-4B8E-BFDD-0EEF8E782638}">
    <text>first red zones (north)</text>
  </threadedComment>
  <threadedComment ref="B14" dT="2020-03-21T22:12:51.46" personId="{46504131-ADD3-4530-BCC7-16E4FED1C2C4}" id="{4409B014-A5A7-4F76-9492-F48BE71B769B}">
    <text>partial lockdown (north)</text>
  </threadedComment>
  <threadedComment ref="B18" dT="2020-03-21T22:13:52.19" personId="{46504131-ADD3-4530-BCC7-16E4FED1C2C4}" id="{81FAFA63-54C6-45CC-9070-46D07C730098}">
    <text>school closure (Italy)</text>
  </threadedComment>
  <threadedComment ref="B21" dT="2020-03-21T22:14:24.84" personId="{46504131-ADD3-4530-BCC7-16E4FED1C2C4}" id="{4BF89DC0-3592-4FA2-8435-6F54BA02BC15}">
    <text>full lockdown (north)</text>
  </threadedComment>
  <threadedComment ref="B23" dT="2020-03-21T22:14:52.14" personId="{46504131-ADD3-4530-BCC7-16E4FED1C2C4}" id="{98C3BF07-CEF3-412D-B8D1-2942AE2470B6}">
    <text>partial lockdown (Italy)</text>
  </threadedComment>
  <threadedComment ref="B25" dT="2020-03-21T22:15:16.77" personId="{46504131-ADD3-4530-BCC7-16E4FED1C2C4}" id="{21624EEB-6D22-429B-8E98-279137BB6058}">
    <text>full lockdown (Italy)</text>
  </threadedComment>
  <threadedComment ref="B36" dT="2020-03-23T21:41:16.67" personId="{46504131-ADD3-4530-BCC7-16E4FED1C2C4}" id="{0E29A1A8-955C-48A8-BB66-F9B1A9E97908}">
    <text>reinforced lockdown (Italy)</text>
  </threadedComment>
  <threadedComment ref="B103" dT="2020-03-21T22:11:56.31" personId="{46504131-ADD3-4530-BCC7-16E4FED1C2C4}" id="{08774897-7F0B-4B4B-AF46-93FF194A769D}">
    <text>red zone</text>
  </threadedComment>
  <threadedComment ref="B109" dT="2020-03-21T22:12:51.46" personId="{46504131-ADD3-4530-BCC7-16E4FED1C2C4}" id="{85C09E34-A5EC-4346-8195-06EE393D72DF}">
    <text>partial lockdown (north)</text>
  </threadedComment>
  <threadedComment ref="B113" dT="2020-03-21T22:13:52.19" personId="{46504131-ADD3-4530-BCC7-16E4FED1C2C4}" id="{B76B2E5A-CC8C-4D5D-883C-4881C14D6A49}">
    <text>school closure (Italy)</text>
  </threadedComment>
  <threadedComment ref="B116" dT="2020-03-21T22:14:24.84" personId="{46504131-ADD3-4530-BCC7-16E4FED1C2C4}" id="{422813AA-7B17-475A-BC56-7328C0D1FD19}">
    <text>lockdown (north)</text>
  </threadedComment>
  <threadedComment ref="B118" dT="2020-03-21T22:14:52.14" personId="{46504131-ADD3-4530-BCC7-16E4FED1C2C4}" id="{DF686F86-B428-4733-B393-4D0F0A4D84F3}">
    <text>partial lockdown (Italy)</text>
  </threadedComment>
  <threadedComment ref="B120" dT="2020-03-21T22:15:16.77" personId="{46504131-ADD3-4530-BCC7-16E4FED1C2C4}" id="{23B8A78F-4853-446A-8154-8529F1B769CC}">
    <text>lockdown (Italy)</text>
  </threadedComment>
  <threadedComment ref="B131" dT="2020-03-23T21:41:16.67" personId="{46504131-ADD3-4530-BCC7-16E4FED1C2C4}" id="{52BC14E3-58A2-47FD-AA97-3E562BB3003C}">
    <text>reinforced lockdown (Italy)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H3" dT="2020-04-13T00:14:38.76" personId="{46504131-ADD3-4530-BCC7-16E4FED1C2C4}" id="{56C95333-8DE0-4A27-B487-EECE41AE20FB}">
    <text>Saturation value or carrying capalcity</text>
  </threadedComment>
  <threadedComment ref="AH4" dT="2020-04-13T18:47:27.10" personId="{46504131-ADD3-4530-BCC7-16E4FED1C2C4}" id="{013D75A6-D219-4696-8A74-E71BD1DE8067}">
    <text>exponential decay time</text>
  </threadedComment>
  <threadedComment ref="AH5" dT="2020-04-13T18:47:54.02" personId="{46504131-ADD3-4530-BCC7-16E4FED1C2C4}" id="{74D534AB-025B-453A-B72C-53CD493EE2CD}">
    <text>fractal exponent</text>
  </threadedComment>
  <threadedComment ref="B8" dT="2020-03-21T22:11:56.31" personId="{46504131-ADD3-4530-BCC7-16E4FED1C2C4}" id="{5FD8839A-74E9-44C2-B5F2-F977D0EA3D98}">
    <text>first red zones (north)</text>
  </threadedComment>
  <threadedComment ref="B14" dT="2020-03-21T22:12:51.46" personId="{46504131-ADD3-4530-BCC7-16E4FED1C2C4}" id="{95B83D2D-5EDB-4C8F-91A8-36D622D74B5B}">
    <text>partial lockdown (north)</text>
  </threadedComment>
  <threadedComment ref="B18" dT="2020-03-21T22:13:52.19" personId="{46504131-ADD3-4530-BCC7-16E4FED1C2C4}" id="{FB6547ED-429A-49D7-8367-DE2107BFB931}">
    <text>school closure (Italy)</text>
  </threadedComment>
  <threadedComment ref="B21" dT="2020-03-21T22:14:24.84" personId="{46504131-ADD3-4530-BCC7-16E4FED1C2C4}" id="{18DCC697-BA7F-479A-8641-1D7FCDC0672D}">
    <text>full lockdown (north)</text>
  </threadedComment>
  <threadedComment ref="B23" dT="2020-03-21T22:14:52.14" personId="{46504131-ADD3-4530-BCC7-16E4FED1C2C4}" id="{5FB23112-C2D9-44D1-9DAD-0448A5341B10}">
    <text>partial lockdown (Italy)</text>
  </threadedComment>
  <threadedComment ref="B25" dT="2020-03-21T22:15:16.77" personId="{46504131-ADD3-4530-BCC7-16E4FED1C2C4}" id="{90A59D2F-F1E2-4415-85BD-E03CA55CB6FA}">
    <text>full lockdown (Italy)</text>
  </threadedComment>
  <threadedComment ref="B36" dT="2020-03-23T21:41:16.67" personId="{46504131-ADD3-4530-BCC7-16E4FED1C2C4}" id="{0E1A0D26-B3B0-42D1-A5BA-750B79DBB49F}">
    <text>reinforced lockdown (Italy)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table" Target="../tables/table2.xml"/><Relationship Id="rId7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2.xml"/><Relationship Id="rId3" Type="http://schemas.openxmlformats.org/officeDocument/2006/relationships/table" Target="../tables/table6.xml"/><Relationship Id="rId7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CF35-3B7D-42E1-B4D0-DDB86726833D}">
  <dimension ref="A1:O51"/>
  <sheetViews>
    <sheetView topLeftCell="A25" workbookViewId="0">
      <selection sqref="A1:XFD1048576"/>
    </sheetView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15.109375" bestFit="1" customWidth="1"/>
    <col min="8" max="8" width="25" bestFit="1" customWidth="1"/>
    <col min="9" max="9" width="15" bestFit="1" customWidth="1"/>
    <col min="10" max="10" width="15.88671875" bestFit="1" customWidth="1"/>
    <col min="11" max="11" width="10.5546875" bestFit="1" customWidth="1"/>
    <col min="12" max="12" width="12.21875" bestFit="1" customWidth="1"/>
    <col min="13" max="13" width="10.33203125" bestFit="1" customWidth="1"/>
    <col min="14" max="14" width="19.5546875" bestFit="1" customWidth="1"/>
    <col min="15" max="15" width="21.109375" bestFit="1" customWidth="1"/>
  </cols>
  <sheetData>
    <row r="1" spans="1:1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50</v>
      </c>
      <c r="H1" t="s">
        <v>51</v>
      </c>
      <c r="I1" t="s">
        <v>52</v>
      </c>
      <c r="J1" t="s">
        <v>18</v>
      </c>
      <c r="K1" t="s">
        <v>19</v>
      </c>
      <c r="L1" t="s">
        <v>20</v>
      </c>
      <c r="M1" t="s">
        <v>21</v>
      </c>
      <c r="N1" t="s">
        <v>27</v>
      </c>
      <c r="O1" t="s">
        <v>28</v>
      </c>
    </row>
    <row r="2" spans="1:15" x14ac:dyDescent="0.3">
      <c r="A2" s="18">
        <v>43885.75</v>
      </c>
      <c r="B2" s="17" t="s">
        <v>22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0</v>
      </c>
      <c r="I2" s="2">
        <v>221</v>
      </c>
      <c r="J2" s="2">
        <v>1</v>
      </c>
      <c r="K2" s="2">
        <v>7</v>
      </c>
      <c r="L2" s="2">
        <v>229</v>
      </c>
      <c r="M2" s="2">
        <v>4324</v>
      </c>
      <c r="N2" s="17" t="s">
        <v>29</v>
      </c>
      <c r="O2" s="17" t="s">
        <v>29</v>
      </c>
    </row>
    <row r="3" spans="1:15" x14ac:dyDescent="0.3">
      <c r="A3" s="18">
        <v>43886.75</v>
      </c>
      <c r="B3" s="17" t="s">
        <v>22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93</v>
      </c>
      <c r="J3" s="2">
        <v>1</v>
      </c>
      <c r="K3" s="2">
        <v>10</v>
      </c>
      <c r="L3" s="2">
        <v>322</v>
      </c>
      <c r="M3" s="2">
        <v>8623</v>
      </c>
      <c r="N3" s="17" t="s">
        <v>29</v>
      </c>
      <c r="O3" s="17" t="s">
        <v>29</v>
      </c>
    </row>
    <row r="4" spans="1:15" x14ac:dyDescent="0.3">
      <c r="A4" s="18">
        <v>43887.75</v>
      </c>
      <c r="B4" s="17" t="s">
        <v>22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78</v>
      </c>
      <c r="J4" s="2">
        <v>3</v>
      </c>
      <c r="K4" s="2">
        <v>12</v>
      </c>
      <c r="L4" s="2">
        <v>400</v>
      </c>
      <c r="M4" s="2">
        <v>9587</v>
      </c>
      <c r="N4" s="17" t="s">
        <v>29</v>
      </c>
      <c r="O4" s="17" t="s">
        <v>29</v>
      </c>
    </row>
    <row r="5" spans="1:15" x14ac:dyDescent="0.3">
      <c r="A5" s="18">
        <v>43888.75</v>
      </c>
      <c r="B5" s="17" t="s">
        <v>22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250</v>
      </c>
      <c r="J5" s="2">
        <v>45</v>
      </c>
      <c r="K5" s="2">
        <v>17</v>
      </c>
      <c r="L5" s="2">
        <v>650</v>
      </c>
      <c r="M5" s="2">
        <v>12014</v>
      </c>
      <c r="N5" s="17" t="s">
        <v>29</v>
      </c>
      <c r="O5" s="17" t="s">
        <v>29</v>
      </c>
    </row>
    <row r="6" spans="1:15" x14ac:dyDescent="0.3">
      <c r="A6" s="18">
        <v>43889.75</v>
      </c>
      <c r="B6" s="17" t="s">
        <v>22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238</v>
      </c>
      <c r="J6" s="2">
        <v>46</v>
      </c>
      <c r="K6" s="2">
        <v>21</v>
      </c>
      <c r="L6" s="2">
        <v>888</v>
      </c>
      <c r="M6" s="2">
        <v>15695</v>
      </c>
      <c r="N6" s="17" t="s">
        <v>29</v>
      </c>
      <c r="O6" s="17" t="s">
        <v>29</v>
      </c>
    </row>
    <row r="7" spans="1:15" x14ac:dyDescent="0.3">
      <c r="A7" s="18">
        <v>43890.75</v>
      </c>
      <c r="B7" s="17" t="s">
        <v>22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240</v>
      </c>
      <c r="J7" s="2">
        <v>50</v>
      </c>
      <c r="K7" s="2">
        <v>29</v>
      </c>
      <c r="L7" s="2">
        <v>1128</v>
      </c>
      <c r="M7" s="2">
        <v>18661</v>
      </c>
      <c r="N7" s="17" t="s">
        <v>29</v>
      </c>
      <c r="O7" s="17" t="s">
        <v>29</v>
      </c>
    </row>
    <row r="8" spans="1:15" x14ac:dyDescent="0.3">
      <c r="A8" s="18">
        <v>43891.75</v>
      </c>
      <c r="B8" s="17" t="s">
        <v>22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566</v>
      </c>
      <c r="J8" s="2">
        <v>83</v>
      </c>
      <c r="K8" s="2">
        <v>34</v>
      </c>
      <c r="L8" s="2">
        <v>1694</v>
      </c>
      <c r="M8" s="2">
        <v>21127</v>
      </c>
      <c r="N8" s="17" t="s">
        <v>29</v>
      </c>
      <c r="O8" s="17" t="s">
        <v>29</v>
      </c>
    </row>
    <row r="9" spans="1:15" x14ac:dyDescent="0.3">
      <c r="A9" s="18">
        <v>43892.75</v>
      </c>
      <c r="B9" s="17" t="s">
        <v>22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342</v>
      </c>
      <c r="J9" s="2">
        <v>149</v>
      </c>
      <c r="K9" s="2">
        <v>52</v>
      </c>
      <c r="L9" s="2">
        <v>2036</v>
      </c>
      <c r="M9" s="2">
        <v>23345</v>
      </c>
      <c r="N9" s="17" t="s">
        <v>29</v>
      </c>
      <c r="O9" s="17" t="s">
        <v>29</v>
      </c>
    </row>
    <row r="10" spans="1:15" x14ac:dyDescent="0.3">
      <c r="A10" s="18">
        <v>43893.75</v>
      </c>
      <c r="B10" s="17" t="s">
        <v>22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466</v>
      </c>
      <c r="J10" s="2">
        <v>160</v>
      </c>
      <c r="K10" s="2">
        <v>79</v>
      </c>
      <c r="L10" s="2">
        <v>2502</v>
      </c>
      <c r="M10" s="2">
        <v>25856</v>
      </c>
      <c r="N10" s="17" t="s">
        <v>29</v>
      </c>
      <c r="O10" s="17" t="s">
        <v>29</v>
      </c>
    </row>
    <row r="11" spans="1:15" x14ac:dyDescent="0.3">
      <c r="A11" s="18">
        <v>43894.75</v>
      </c>
      <c r="B11" s="17" t="s">
        <v>22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587</v>
      </c>
      <c r="J11" s="2">
        <v>276</v>
      </c>
      <c r="K11" s="2">
        <v>107</v>
      </c>
      <c r="L11" s="2">
        <v>3089</v>
      </c>
      <c r="M11" s="2">
        <v>29837</v>
      </c>
      <c r="N11" s="17" t="s">
        <v>29</v>
      </c>
      <c r="O11" s="17" t="s">
        <v>29</v>
      </c>
    </row>
    <row r="12" spans="1:15" x14ac:dyDescent="0.3">
      <c r="A12" s="18">
        <v>43895.75</v>
      </c>
      <c r="B12" s="17" t="s">
        <v>22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769</v>
      </c>
      <c r="J12" s="2">
        <v>414</v>
      </c>
      <c r="K12" s="2">
        <v>148</v>
      </c>
      <c r="L12" s="2">
        <v>3858</v>
      </c>
      <c r="M12" s="2">
        <v>32362</v>
      </c>
      <c r="N12" s="17" t="s">
        <v>29</v>
      </c>
      <c r="O12" s="17" t="s">
        <v>29</v>
      </c>
    </row>
    <row r="13" spans="1:15" x14ac:dyDescent="0.3">
      <c r="A13" s="18">
        <v>43896.75</v>
      </c>
      <c r="B13" s="17" t="s">
        <v>22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778</v>
      </c>
      <c r="J13" s="2">
        <v>523</v>
      </c>
      <c r="K13" s="2">
        <v>197</v>
      </c>
      <c r="L13" s="2">
        <v>4636</v>
      </c>
      <c r="M13" s="2">
        <v>36359</v>
      </c>
      <c r="N13" s="17" t="s">
        <v>29</v>
      </c>
      <c r="O13" s="17" t="s">
        <v>29</v>
      </c>
    </row>
    <row r="14" spans="1:15" x14ac:dyDescent="0.3">
      <c r="A14" s="18">
        <v>43897.75</v>
      </c>
      <c r="B14" s="17" t="s">
        <v>22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1247</v>
      </c>
      <c r="J14" s="2">
        <v>589</v>
      </c>
      <c r="K14" s="2">
        <v>233</v>
      </c>
      <c r="L14" s="2">
        <v>5883</v>
      </c>
      <c r="M14" s="2">
        <v>42062</v>
      </c>
      <c r="N14" s="17" t="s">
        <v>30</v>
      </c>
      <c r="O14" s="17" t="s">
        <v>31</v>
      </c>
    </row>
    <row r="15" spans="1:15" x14ac:dyDescent="0.3">
      <c r="A15" s="18">
        <v>43898.75</v>
      </c>
      <c r="B15" s="17" t="s">
        <v>22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1492</v>
      </c>
      <c r="J15" s="2">
        <v>622</v>
      </c>
      <c r="K15" s="2">
        <v>366</v>
      </c>
      <c r="L15" s="2">
        <v>7375</v>
      </c>
      <c r="M15" s="2">
        <v>49937</v>
      </c>
      <c r="N15" s="17" t="s">
        <v>29</v>
      </c>
      <c r="O15" s="17" t="s">
        <v>29</v>
      </c>
    </row>
    <row r="16" spans="1:15" x14ac:dyDescent="0.3">
      <c r="A16" s="18">
        <v>43899.75</v>
      </c>
      <c r="B16" s="17" t="s">
        <v>22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1797</v>
      </c>
      <c r="J16" s="2">
        <v>724</v>
      </c>
      <c r="K16" s="2">
        <v>463</v>
      </c>
      <c r="L16" s="2">
        <v>9172</v>
      </c>
      <c r="M16" s="2">
        <v>53826</v>
      </c>
      <c r="N16" s="17" t="s">
        <v>29</v>
      </c>
      <c r="O16" s="17" t="s">
        <v>29</v>
      </c>
    </row>
    <row r="17" spans="1:15" x14ac:dyDescent="0.3">
      <c r="A17" s="18">
        <v>43900.75</v>
      </c>
      <c r="B17" s="17" t="s">
        <v>22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977</v>
      </c>
      <c r="J17" s="2">
        <v>1004</v>
      </c>
      <c r="K17" s="2">
        <v>631</v>
      </c>
      <c r="L17" s="2">
        <v>10149</v>
      </c>
      <c r="M17" s="2">
        <v>60761</v>
      </c>
      <c r="N17" s="17" t="s">
        <v>32</v>
      </c>
      <c r="O17" s="17" t="s">
        <v>33</v>
      </c>
    </row>
    <row r="18" spans="1:15" x14ac:dyDescent="0.3">
      <c r="A18" s="18">
        <v>43901.708333333336</v>
      </c>
      <c r="B18" s="17" t="s">
        <v>22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2313</v>
      </c>
      <c r="J18" s="2">
        <v>1045</v>
      </c>
      <c r="K18" s="2">
        <v>827</v>
      </c>
      <c r="L18" s="2">
        <v>12462</v>
      </c>
      <c r="M18" s="2">
        <v>73154</v>
      </c>
      <c r="N18" s="17" t="s">
        <v>34</v>
      </c>
      <c r="O18" s="17" t="s">
        <v>35</v>
      </c>
    </row>
    <row r="19" spans="1:15" x14ac:dyDescent="0.3">
      <c r="A19" s="18">
        <v>43902.708333333336</v>
      </c>
      <c r="B19" s="17" t="s">
        <v>22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2651</v>
      </c>
      <c r="J19" s="2">
        <v>1258</v>
      </c>
      <c r="K19" s="2">
        <v>1016</v>
      </c>
      <c r="L19" s="2">
        <v>15113</v>
      </c>
      <c r="M19" s="2">
        <v>86011</v>
      </c>
      <c r="N19" s="17" t="s">
        <v>29</v>
      </c>
      <c r="O19" s="17" t="s">
        <v>29</v>
      </c>
    </row>
    <row r="20" spans="1:15" x14ac:dyDescent="0.3">
      <c r="A20" s="18">
        <v>43903.708333333336</v>
      </c>
      <c r="B20" s="17" t="s">
        <v>22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2547</v>
      </c>
      <c r="J20" s="2">
        <v>1439</v>
      </c>
      <c r="K20" s="2">
        <v>1266</v>
      </c>
      <c r="L20" s="2">
        <v>17660</v>
      </c>
      <c r="M20" s="2">
        <v>97488</v>
      </c>
      <c r="N20" s="17" t="s">
        <v>29</v>
      </c>
      <c r="O20" s="17" t="s">
        <v>29</v>
      </c>
    </row>
    <row r="21" spans="1:15" x14ac:dyDescent="0.3">
      <c r="A21" s="18">
        <v>43904.708333333336</v>
      </c>
      <c r="B21" s="17" t="s">
        <v>22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3497</v>
      </c>
      <c r="J21" s="2">
        <v>1966</v>
      </c>
      <c r="K21" s="2">
        <v>1441</v>
      </c>
      <c r="L21" s="2">
        <v>21157</v>
      </c>
      <c r="M21" s="2">
        <v>109170</v>
      </c>
      <c r="N21" s="17" t="s">
        <v>29</v>
      </c>
      <c r="O21" s="17" t="s">
        <v>29</v>
      </c>
    </row>
    <row r="22" spans="1:15" x14ac:dyDescent="0.3">
      <c r="A22" s="18">
        <v>43905.708333333336</v>
      </c>
      <c r="B22" s="17" t="s">
        <v>22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3590</v>
      </c>
      <c r="J22" s="2">
        <v>2335</v>
      </c>
      <c r="K22" s="2">
        <v>1809</v>
      </c>
      <c r="L22" s="2">
        <v>24747</v>
      </c>
      <c r="M22" s="2">
        <v>124899</v>
      </c>
      <c r="N22" s="17" t="s">
        <v>29</v>
      </c>
      <c r="O22" s="17" t="s">
        <v>29</v>
      </c>
    </row>
    <row r="23" spans="1:15" x14ac:dyDescent="0.3">
      <c r="A23" s="18">
        <v>43906.708333333336</v>
      </c>
      <c r="B23" s="17" t="s">
        <v>22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3233</v>
      </c>
      <c r="J23" s="2">
        <v>2749</v>
      </c>
      <c r="K23" s="2">
        <v>2158</v>
      </c>
      <c r="L23" s="2">
        <v>27980</v>
      </c>
      <c r="M23" s="2">
        <v>137962</v>
      </c>
      <c r="N23" s="17" t="s">
        <v>36</v>
      </c>
      <c r="O23" s="17" t="s">
        <v>37</v>
      </c>
    </row>
    <row r="24" spans="1:15" x14ac:dyDescent="0.3">
      <c r="A24" s="18">
        <v>43907.708333333336</v>
      </c>
      <c r="B24" s="17" t="s">
        <v>22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3526</v>
      </c>
      <c r="J24" s="2">
        <v>2941</v>
      </c>
      <c r="K24" s="2">
        <v>2503</v>
      </c>
      <c r="L24" s="2">
        <v>31506</v>
      </c>
      <c r="M24" s="2">
        <v>148657</v>
      </c>
      <c r="N24" s="17" t="s">
        <v>38</v>
      </c>
      <c r="O24" s="17" t="s">
        <v>39</v>
      </c>
    </row>
    <row r="25" spans="1:15" x14ac:dyDescent="0.3">
      <c r="A25" s="18">
        <v>43908.708333333336</v>
      </c>
      <c r="B25" s="17" t="s">
        <v>22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4207</v>
      </c>
      <c r="J25" s="2">
        <v>4025</v>
      </c>
      <c r="K25" s="2">
        <v>2978</v>
      </c>
      <c r="L25" s="2">
        <v>35713</v>
      </c>
      <c r="M25" s="2">
        <v>165541</v>
      </c>
      <c r="N25" s="17" t="s">
        <v>40</v>
      </c>
      <c r="O25" s="17" t="s">
        <v>41</v>
      </c>
    </row>
    <row r="26" spans="1:15" x14ac:dyDescent="0.3">
      <c r="A26" s="18">
        <v>43909.708333333336</v>
      </c>
      <c r="B26" s="17" t="s">
        <v>22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5322</v>
      </c>
      <c r="J26" s="2">
        <v>4440</v>
      </c>
      <c r="K26" s="2">
        <v>3405</v>
      </c>
      <c r="L26" s="2">
        <v>41035</v>
      </c>
      <c r="M26" s="2">
        <v>182777</v>
      </c>
      <c r="N26" s="17" t="s">
        <v>29</v>
      </c>
      <c r="O26" s="17" t="s">
        <v>29</v>
      </c>
    </row>
    <row r="27" spans="1:15" x14ac:dyDescent="0.3">
      <c r="A27" s="18">
        <v>43910.708333333336</v>
      </c>
      <c r="B27" s="17" t="s">
        <v>22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5986</v>
      </c>
      <c r="J27" s="2">
        <v>5129</v>
      </c>
      <c r="K27" s="2">
        <v>4032</v>
      </c>
      <c r="L27" s="2">
        <v>47021</v>
      </c>
      <c r="M27" s="2">
        <v>206886</v>
      </c>
      <c r="N27" s="17" t="s">
        <v>29</v>
      </c>
      <c r="O27" s="17" t="s">
        <v>29</v>
      </c>
    </row>
    <row r="28" spans="1:15" x14ac:dyDescent="0.3">
      <c r="A28" s="18">
        <v>43911.708333333336</v>
      </c>
      <c r="B28" s="17" t="s">
        <v>22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6557</v>
      </c>
      <c r="J28" s="2">
        <v>6072</v>
      </c>
      <c r="K28" s="2">
        <v>4825</v>
      </c>
      <c r="L28" s="2">
        <v>53578</v>
      </c>
      <c r="M28" s="2">
        <v>233222</v>
      </c>
      <c r="N28" s="17" t="s">
        <v>29</v>
      </c>
      <c r="O28" s="17" t="s">
        <v>29</v>
      </c>
    </row>
    <row r="29" spans="1:15" x14ac:dyDescent="0.3">
      <c r="A29" s="18">
        <v>43912.708333333336</v>
      </c>
      <c r="B29" s="17" t="s">
        <v>22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5560</v>
      </c>
      <c r="J29" s="2">
        <v>7024</v>
      </c>
      <c r="K29" s="2">
        <v>5476</v>
      </c>
      <c r="L29" s="2">
        <v>59138</v>
      </c>
      <c r="M29" s="2">
        <v>258402</v>
      </c>
      <c r="N29" s="17" t="s">
        <v>29</v>
      </c>
      <c r="O29" s="17" t="s">
        <v>29</v>
      </c>
    </row>
    <row r="30" spans="1:15" x14ac:dyDescent="0.3">
      <c r="A30" s="18">
        <v>43913.708333333336</v>
      </c>
      <c r="B30" s="17" t="s">
        <v>22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4789</v>
      </c>
      <c r="J30" s="2">
        <v>7432</v>
      </c>
      <c r="K30" s="2">
        <v>6077</v>
      </c>
      <c r="L30" s="2">
        <v>63927</v>
      </c>
      <c r="M30" s="2">
        <v>275468</v>
      </c>
      <c r="N30" s="17" t="s">
        <v>29</v>
      </c>
      <c r="O30" s="17" t="s">
        <v>29</v>
      </c>
    </row>
    <row r="31" spans="1:15" x14ac:dyDescent="0.3">
      <c r="A31" s="18">
        <v>43914.708333333336</v>
      </c>
      <c r="B31" s="17" t="s">
        <v>22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5249</v>
      </c>
      <c r="J31" s="2">
        <v>8326</v>
      </c>
      <c r="K31" s="2">
        <v>6820</v>
      </c>
      <c r="L31" s="2">
        <v>69176</v>
      </c>
      <c r="M31" s="2">
        <v>296964</v>
      </c>
      <c r="N31" s="17" t="s">
        <v>29</v>
      </c>
      <c r="O31" s="17" t="s">
        <v>29</v>
      </c>
    </row>
    <row r="32" spans="1:15" x14ac:dyDescent="0.3">
      <c r="A32" s="18">
        <v>43915.708333333336</v>
      </c>
      <c r="B32" s="17" t="s">
        <v>22</v>
      </c>
      <c r="C32" s="2">
        <v>23112</v>
      </c>
      <c r="D32" s="2">
        <v>3489</v>
      </c>
      <c r="E32" s="2">
        <v>26601</v>
      </c>
      <c r="F32" s="2">
        <v>30920</v>
      </c>
      <c r="G32" s="2">
        <v>57521</v>
      </c>
      <c r="H32" s="2">
        <v>3491</v>
      </c>
      <c r="I32" s="2">
        <v>5210</v>
      </c>
      <c r="J32" s="2">
        <v>9362</v>
      </c>
      <c r="K32" s="2">
        <v>7503</v>
      </c>
      <c r="L32" s="2">
        <v>74386</v>
      </c>
      <c r="M32" s="2">
        <v>324445</v>
      </c>
      <c r="N32" s="17" t="s">
        <v>29</v>
      </c>
      <c r="O32" s="17" t="s">
        <v>29</v>
      </c>
    </row>
    <row r="33" spans="1:15" x14ac:dyDescent="0.3">
      <c r="A33" s="18">
        <v>43916.708333333336</v>
      </c>
      <c r="B33" s="17" t="s">
        <v>22</v>
      </c>
      <c r="C33" s="2">
        <v>24753</v>
      </c>
      <c r="D33" s="2">
        <v>3612</v>
      </c>
      <c r="E33" s="2">
        <v>28365</v>
      </c>
      <c r="F33" s="2">
        <v>33648</v>
      </c>
      <c r="G33" s="2">
        <v>62013</v>
      </c>
      <c r="H33" s="2">
        <v>4492</v>
      </c>
      <c r="I33" s="2">
        <v>6153</v>
      </c>
      <c r="J33" s="2">
        <v>10361</v>
      </c>
      <c r="K33" s="2">
        <v>8165</v>
      </c>
      <c r="L33" s="2">
        <v>80539</v>
      </c>
      <c r="M33" s="2">
        <v>361060</v>
      </c>
      <c r="N33" s="17" t="s">
        <v>42</v>
      </c>
      <c r="O33" s="17" t="s">
        <v>43</v>
      </c>
    </row>
    <row r="34" spans="1:15" x14ac:dyDescent="0.3">
      <c r="A34" s="18">
        <v>43917.708333333336</v>
      </c>
      <c r="B34" s="17" t="s">
        <v>22</v>
      </c>
      <c r="C34" s="2">
        <v>26029</v>
      </c>
      <c r="D34" s="2">
        <v>3732</v>
      </c>
      <c r="E34" s="2">
        <v>29761</v>
      </c>
      <c r="F34" s="2">
        <v>36653</v>
      </c>
      <c r="G34" s="2">
        <v>66414</v>
      </c>
      <c r="H34" s="2">
        <v>4401</v>
      </c>
      <c r="I34" s="2">
        <v>5959</v>
      </c>
      <c r="J34" s="2">
        <v>10950</v>
      </c>
      <c r="K34" s="2">
        <v>9134</v>
      </c>
      <c r="L34" s="2">
        <v>86498</v>
      </c>
      <c r="M34" s="2">
        <v>394079</v>
      </c>
      <c r="N34" s="17" t="s">
        <v>29</v>
      </c>
      <c r="O34" s="17" t="s">
        <v>29</v>
      </c>
    </row>
    <row r="35" spans="1:15" x14ac:dyDescent="0.3">
      <c r="A35" s="18">
        <v>43918.708333333336</v>
      </c>
      <c r="B35" s="17" t="s">
        <v>22</v>
      </c>
      <c r="C35" s="2">
        <v>26676</v>
      </c>
      <c r="D35" s="2">
        <v>3856</v>
      </c>
      <c r="E35" s="2">
        <v>30532</v>
      </c>
      <c r="F35" s="2">
        <v>39533</v>
      </c>
      <c r="G35" s="2">
        <v>70065</v>
      </c>
      <c r="H35" s="2">
        <v>3651</v>
      </c>
      <c r="I35" s="2">
        <v>5974</v>
      </c>
      <c r="J35" s="2">
        <v>12384</v>
      </c>
      <c r="K35" s="2">
        <v>10023</v>
      </c>
      <c r="L35" s="2">
        <v>92472</v>
      </c>
      <c r="M35" s="2">
        <v>429526</v>
      </c>
      <c r="N35" s="17" t="s">
        <v>29</v>
      </c>
      <c r="O35" s="17" t="s">
        <v>29</v>
      </c>
    </row>
    <row r="36" spans="1:15" x14ac:dyDescent="0.3">
      <c r="A36" s="18">
        <v>43919.708333333336</v>
      </c>
      <c r="B36" s="17" t="s">
        <v>22</v>
      </c>
      <c r="C36" s="2">
        <v>27386</v>
      </c>
      <c r="D36" s="2">
        <v>3906</v>
      </c>
      <c r="E36" s="2">
        <v>31292</v>
      </c>
      <c r="F36" s="2">
        <v>42588</v>
      </c>
      <c r="G36" s="2">
        <v>73880</v>
      </c>
      <c r="H36" s="2">
        <v>3815</v>
      </c>
      <c r="I36" s="2">
        <v>5217</v>
      </c>
      <c r="J36" s="2">
        <v>13030</v>
      </c>
      <c r="K36" s="2">
        <v>10779</v>
      </c>
      <c r="L36" s="2">
        <v>97689</v>
      </c>
      <c r="M36" s="2">
        <v>454030</v>
      </c>
      <c r="N36" s="17" t="s">
        <v>47</v>
      </c>
      <c r="O36" s="17" t="s">
        <v>48</v>
      </c>
    </row>
    <row r="37" spans="1:15" x14ac:dyDescent="0.3">
      <c r="A37" s="18">
        <v>43920.708333333336</v>
      </c>
      <c r="B37" s="17" t="s">
        <v>22</v>
      </c>
      <c r="C37" s="2">
        <v>27795</v>
      </c>
      <c r="D37" s="2">
        <v>3981</v>
      </c>
      <c r="E37" s="2">
        <v>31776</v>
      </c>
      <c r="F37" s="2">
        <v>43752</v>
      </c>
      <c r="G37" s="2">
        <v>75528</v>
      </c>
      <c r="H37" s="2">
        <v>1648</v>
      </c>
      <c r="I37" s="2">
        <v>4050</v>
      </c>
      <c r="J37" s="2">
        <v>14620</v>
      </c>
      <c r="K37" s="2">
        <v>11591</v>
      </c>
      <c r="L37" s="2">
        <v>101739</v>
      </c>
      <c r="M37" s="2">
        <v>477359</v>
      </c>
      <c r="N37" s="17" t="s">
        <v>29</v>
      </c>
      <c r="O37" s="17" t="s">
        <v>29</v>
      </c>
    </row>
    <row r="38" spans="1:15" x14ac:dyDescent="0.3">
      <c r="A38" s="18">
        <v>43921.708333333336</v>
      </c>
      <c r="B38" s="17" t="s">
        <v>22</v>
      </c>
      <c r="C38" s="2">
        <v>28192</v>
      </c>
      <c r="D38" s="2">
        <v>4023</v>
      </c>
      <c r="E38" s="2">
        <v>32215</v>
      </c>
      <c r="F38" s="2">
        <v>45420</v>
      </c>
      <c r="G38" s="2">
        <v>77635</v>
      </c>
      <c r="H38" s="2">
        <v>2107</v>
      </c>
      <c r="I38" s="2">
        <v>4053</v>
      </c>
      <c r="J38" s="2">
        <v>15729</v>
      </c>
      <c r="K38" s="2">
        <v>12428</v>
      </c>
      <c r="L38" s="2">
        <v>105792</v>
      </c>
      <c r="M38" s="2">
        <v>506968</v>
      </c>
      <c r="N38" s="17" t="s">
        <v>29</v>
      </c>
      <c r="O38" s="17" t="s">
        <v>29</v>
      </c>
    </row>
    <row r="39" spans="1:15" x14ac:dyDescent="0.3">
      <c r="A39" s="18">
        <v>43922.708333333336</v>
      </c>
      <c r="B39" s="17" t="s">
        <v>22</v>
      </c>
      <c r="C39" s="2">
        <v>28403</v>
      </c>
      <c r="D39" s="2">
        <v>4035</v>
      </c>
      <c r="E39" s="2">
        <v>32438</v>
      </c>
      <c r="F39" s="2">
        <v>48134</v>
      </c>
      <c r="G39" s="2">
        <v>80572</v>
      </c>
      <c r="H39" s="2">
        <v>2937</v>
      </c>
      <c r="I39" s="2">
        <v>4782</v>
      </c>
      <c r="J39" s="2">
        <v>16847</v>
      </c>
      <c r="K39" s="2">
        <v>13155</v>
      </c>
      <c r="L39" s="2">
        <v>110574</v>
      </c>
      <c r="M39" s="2">
        <v>541423</v>
      </c>
      <c r="N39" s="17" t="s">
        <v>29</v>
      </c>
      <c r="O39" s="17" t="s">
        <v>29</v>
      </c>
    </row>
    <row r="40" spans="1:15" x14ac:dyDescent="0.3">
      <c r="A40" s="18">
        <v>43923.708333333336</v>
      </c>
      <c r="B40" s="17" t="s">
        <v>22</v>
      </c>
      <c r="C40" s="2">
        <v>28540</v>
      </c>
      <c r="D40" s="2">
        <v>4053</v>
      </c>
      <c r="E40" s="2">
        <v>32593</v>
      </c>
      <c r="F40" s="2">
        <v>50456</v>
      </c>
      <c r="G40" s="2">
        <v>83049</v>
      </c>
      <c r="H40" s="2">
        <v>2477</v>
      </c>
      <c r="I40" s="2">
        <v>4668</v>
      </c>
      <c r="J40" s="2">
        <v>18278</v>
      </c>
      <c r="K40" s="2">
        <v>13915</v>
      </c>
      <c r="L40" s="2">
        <v>115242</v>
      </c>
      <c r="M40" s="2">
        <v>581232</v>
      </c>
      <c r="N40" s="17" t="s">
        <v>29</v>
      </c>
      <c r="O40" s="17" t="s">
        <v>29</v>
      </c>
    </row>
    <row r="41" spans="1:15" x14ac:dyDescent="0.3">
      <c r="A41" s="18">
        <v>43924.708333333336</v>
      </c>
      <c r="B41" s="17" t="s">
        <v>22</v>
      </c>
      <c r="C41" s="2">
        <v>28741</v>
      </c>
      <c r="D41" s="2">
        <v>4068</v>
      </c>
      <c r="E41" s="2">
        <v>32809</v>
      </c>
      <c r="F41" s="2">
        <v>52579</v>
      </c>
      <c r="G41" s="2">
        <v>85388</v>
      </c>
      <c r="H41" s="2">
        <v>2339</v>
      </c>
      <c r="I41" s="2">
        <v>4585</v>
      </c>
      <c r="J41" s="2">
        <v>19758</v>
      </c>
      <c r="K41" s="2">
        <v>14681</v>
      </c>
      <c r="L41" s="2">
        <v>119827</v>
      </c>
      <c r="M41" s="2">
        <v>619849</v>
      </c>
      <c r="N41" s="17" t="s">
        <v>29</v>
      </c>
      <c r="O41" s="17" t="s">
        <v>29</v>
      </c>
    </row>
    <row r="42" spans="1:15" x14ac:dyDescent="0.3">
      <c r="A42" s="18">
        <v>43925.708333333336</v>
      </c>
      <c r="B42" s="17" t="s">
        <v>22</v>
      </c>
      <c r="C42" s="2">
        <v>29010</v>
      </c>
      <c r="D42" s="2">
        <v>3994</v>
      </c>
      <c r="E42" s="2">
        <v>33004</v>
      </c>
      <c r="F42" s="2">
        <v>55270</v>
      </c>
      <c r="G42" s="2">
        <v>88274</v>
      </c>
      <c r="H42" s="2">
        <v>2886</v>
      </c>
      <c r="I42" s="2">
        <v>4805</v>
      </c>
      <c r="J42" s="2">
        <v>20996</v>
      </c>
      <c r="K42" s="2">
        <v>15362</v>
      </c>
      <c r="L42" s="2">
        <v>124632</v>
      </c>
      <c r="M42" s="2">
        <v>657224</v>
      </c>
      <c r="N42" s="17" t="s">
        <v>29</v>
      </c>
      <c r="O42" s="17" t="s">
        <v>29</v>
      </c>
    </row>
    <row r="43" spans="1:15" x14ac:dyDescent="0.3">
      <c r="A43" s="18">
        <v>43926.708333333336</v>
      </c>
      <c r="B43" s="17" t="s">
        <v>22</v>
      </c>
      <c r="C43" s="2">
        <v>28949</v>
      </c>
      <c r="D43" s="2">
        <v>3977</v>
      </c>
      <c r="E43" s="2">
        <v>32926</v>
      </c>
      <c r="F43" s="2">
        <v>58320</v>
      </c>
      <c r="G43" s="2">
        <v>91246</v>
      </c>
      <c r="H43" s="2">
        <v>2972</v>
      </c>
      <c r="I43" s="2">
        <v>4316</v>
      </c>
      <c r="J43" s="2">
        <v>21815</v>
      </c>
      <c r="K43" s="2">
        <v>15887</v>
      </c>
      <c r="L43" s="2">
        <v>128948</v>
      </c>
      <c r="M43" s="2">
        <v>691461</v>
      </c>
      <c r="N43" s="17" t="s">
        <v>29</v>
      </c>
      <c r="O43" s="17" t="s">
        <v>29</v>
      </c>
    </row>
    <row r="44" spans="1:15" x14ac:dyDescent="0.3">
      <c r="A44" s="18">
        <v>43927.708333333336</v>
      </c>
      <c r="B44" s="17" t="s">
        <v>22</v>
      </c>
      <c r="C44" s="2">
        <v>28976</v>
      </c>
      <c r="D44" s="2">
        <v>3898</v>
      </c>
      <c r="E44" s="2">
        <v>32874</v>
      </c>
      <c r="F44" s="2">
        <v>60313</v>
      </c>
      <c r="G44" s="2">
        <v>93187</v>
      </c>
      <c r="H44" s="2">
        <v>1941</v>
      </c>
      <c r="I44" s="2">
        <v>3599</v>
      </c>
      <c r="J44" s="2">
        <v>22837</v>
      </c>
      <c r="K44" s="2">
        <v>16523</v>
      </c>
      <c r="L44" s="2">
        <v>132547</v>
      </c>
      <c r="M44" s="2">
        <v>721732</v>
      </c>
      <c r="N44" s="17" t="s">
        <v>29</v>
      </c>
      <c r="O44" s="17" t="s">
        <v>29</v>
      </c>
    </row>
    <row r="45" spans="1:15" x14ac:dyDescent="0.3">
      <c r="A45" s="18">
        <v>43928.708333333336</v>
      </c>
      <c r="B45" s="17" t="s">
        <v>22</v>
      </c>
      <c r="C45" s="2">
        <v>28718</v>
      </c>
      <c r="D45" s="2">
        <v>3792</v>
      </c>
      <c r="E45" s="2">
        <v>32510</v>
      </c>
      <c r="F45" s="2">
        <v>61557</v>
      </c>
      <c r="G45" s="2">
        <v>94067</v>
      </c>
      <c r="H45" s="2">
        <v>880</v>
      </c>
      <c r="I45" s="2">
        <v>3039</v>
      </c>
      <c r="J45" s="2">
        <v>24392</v>
      </c>
      <c r="K45" s="2">
        <v>17127</v>
      </c>
      <c r="L45" s="2">
        <v>135586</v>
      </c>
      <c r="M45" s="2">
        <v>755445</v>
      </c>
      <c r="N45" s="17" t="s">
        <v>29</v>
      </c>
      <c r="O45" s="17" t="s">
        <v>29</v>
      </c>
    </row>
    <row r="46" spans="1:15" x14ac:dyDescent="0.3">
      <c r="A46" s="18">
        <v>43929.708333333336</v>
      </c>
      <c r="B46" s="17" t="s">
        <v>22</v>
      </c>
      <c r="C46" s="2">
        <v>28485</v>
      </c>
      <c r="D46" s="2">
        <v>3693</v>
      </c>
      <c r="E46" s="2">
        <v>32178</v>
      </c>
      <c r="F46" s="2">
        <v>63084</v>
      </c>
      <c r="G46" s="2">
        <v>95262</v>
      </c>
      <c r="H46" s="2">
        <v>1195</v>
      </c>
      <c r="I46" s="2">
        <v>3836</v>
      </c>
      <c r="J46" s="2">
        <v>26491</v>
      </c>
      <c r="K46" s="2">
        <v>17669</v>
      </c>
      <c r="L46" s="2">
        <v>139422</v>
      </c>
      <c r="M46" s="2">
        <v>807125</v>
      </c>
      <c r="N46" s="17" t="s">
        <v>29</v>
      </c>
      <c r="O46" s="17" t="s">
        <v>29</v>
      </c>
    </row>
    <row r="47" spans="1:15" x14ac:dyDescent="0.3">
      <c r="A47" s="18">
        <v>43930.708333333336</v>
      </c>
      <c r="B47" s="17" t="s">
        <v>22</v>
      </c>
      <c r="C47" s="2">
        <v>28399</v>
      </c>
      <c r="D47" s="2">
        <v>3605</v>
      </c>
      <c r="E47" s="2">
        <v>32004</v>
      </c>
      <c r="F47" s="2">
        <v>64873</v>
      </c>
      <c r="G47" s="2">
        <v>96877</v>
      </c>
      <c r="H47" s="2">
        <v>1615</v>
      </c>
      <c r="I47" s="2">
        <v>4204</v>
      </c>
      <c r="J47" s="2">
        <v>28470</v>
      </c>
      <c r="K47" s="2">
        <v>18279</v>
      </c>
      <c r="L47" s="2">
        <v>143626</v>
      </c>
      <c r="M47" s="2">
        <v>853369</v>
      </c>
      <c r="N47" s="17" t="s">
        <v>29</v>
      </c>
      <c r="O47" s="17" t="s">
        <v>29</v>
      </c>
    </row>
    <row r="48" spans="1:15" x14ac:dyDescent="0.3">
      <c r="A48" s="18">
        <v>43931.708333333336</v>
      </c>
      <c r="B48" s="17" t="s">
        <v>22</v>
      </c>
      <c r="C48" s="2">
        <v>28242</v>
      </c>
      <c r="D48" s="2">
        <v>3497</v>
      </c>
      <c r="E48" s="2">
        <v>31739</v>
      </c>
      <c r="F48" s="2">
        <v>66534</v>
      </c>
      <c r="G48" s="2">
        <v>98273</v>
      </c>
      <c r="H48" s="2">
        <v>1396</v>
      </c>
      <c r="I48" s="2">
        <v>3951</v>
      </c>
      <c r="J48" s="2">
        <v>30455</v>
      </c>
      <c r="K48" s="2">
        <v>18849</v>
      </c>
      <c r="L48" s="2">
        <v>147577</v>
      </c>
      <c r="M48" s="2">
        <v>906864</v>
      </c>
      <c r="N48" s="17" t="s">
        <v>103</v>
      </c>
      <c r="O48" s="17" t="s">
        <v>104</v>
      </c>
    </row>
    <row r="49" spans="1:15" x14ac:dyDescent="0.3">
      <c r="A49" s="18">
        <v>43932.708333333336</v>
      </c>
      <c r="B49" s="17" t="s">
        <v>22</v>
      </c>
      <c r="C49" s="2">
        <v>28144</v>
      </c>
      <c r="D49" s="2">
        <v>3381</v>
      </c>
      <c r="E49" s="2">
        <v>31525</v>
      </c>
      <c r="F49" s="2">
        <v>68744</v>
      </c>
      <c r="G49" s="2">
        <v>100269</v>
      </c>
      <c r="H49" s="2">
        <v>1996</v>
      </c>
      <c r="I49" s="2">
        <v>4694</v>
      </c>
      <c r="J49" s="2">
        <v>32534</v>
      </c>
      <c r="K49" s="2">
        <v>19468</v>
      </c>
      <c r="L49" s="2">
        <v>152271</v>
      </c>
      <c r="M49" s="2">
        <v>963473</v>
      </c>
      <c r="N49" s="17" t="s">
        <v>29</v>
      </c>
      <c r="O49" s="17" t="s">
        <v>29</v>
      </c>
    </row>
    <row r="50" spans="1:15" x14ac:dyDescent="0.3">
      <c r="A50" s="18">
        <v>43933.708333333336</v>
      </c>
      <c r="B50" s="17" t="s">
        <v>22</v>
      </c>
      <c r="C50" s="2">
        <v>27847</v>
      </c>
      <c r="D50" s="2">
        <v>3343</v>
      </c>
      <c r="E50" s="2">
        <v>31190</v>
      </c>
      <c r="F50" s="2">
        <v>71063</v>
      </c>
      <c r="G50" s="2">
        <v>102253</v>
      </c>
      <c r="H50" s="2">
        <v>1984</v>
      </c>
      <c r="I50" s="2">
        <v>4092</v>
      </c>
      <c r="J50" s="2">
        <v>34211</v>
      </c>
      <c r="K50" s="2">
        <v>19899</v>
      </c>
      <c r="L50" s="2">
        <v>156363</v>
      </c>
      <c r="M50" s="2">
        <v>1010193</v>
      </c>
      <c r="N50" s="17" t="s">
        <v>105</v>
      </c>
      <c r="O50" s="17" t="s">
        <v>106</v>
      </c>
    </row>
    <row r="51" spans="1:15" x14ac:dyDescent="0.3">
      <c r="A51" s="18">
        <v>43934.708333333336</v>
      </c>
      <c r="B51" s="17" t="s">
        <v>22</v>
      </c>
      <c r="C51" s="2">
        <v>28023</v>
      </c>
      <c r="D51" s="2">
        <v>3260</v>
      </c>
      <c r="E51" s="2">
        <v>31283</v>
      </c>
      <c r="F51" s="2">
        <v>72333</v>
      </c>
      <c r="G51" s="2">
        <v>103616</v>
      </c>
      <c r="H51" s="2">
        <v>1363</v>
      </c>
      <c r="I51" s="2">
        <v>3153</v>
      </c>
      <c r="J51" s="2">
        <v>35435</v>
      </c>
      <c r="K51" s="2">
        <v>20465</v>
      </c>
      <c r="L51" s="2">
        <v>159516</v>
      </c>
      <c r="M51" s="2">
        <v>1046910</v>
      </c>
      <c r="N51" s="17" t="s">
        <v>29</v>
      </c>
      <c r="O51" s="17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AT286"/>
  <sheetViews>
    <sheetView zoomScale="85" zoomScaleNormal="85" workbookViewId="0"/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4" width="16.88671875" style="2" customWidth="1"/>
    <col min="5" max="5" width="15.44140625" style="2" customWidth="1"/>
    <col min="6" max="6" width="11.33203125" style="2" customWidth="1"/>
    <col min="7" max="7" width="11.109375" style="2" customWidth="1"/>
    <col min="8" max="8" width="16.88671875" style="2" bestFit="1" customWidth="1"/>
    <col min="9" max="9" width="15.44140625" style="2" customWidth="1"/>
    <col min="10" max="10" width="11.33203125" style="2" customWidth="1"/>
    <col min="11" max="11" width="13" style="2" bestFit="1" customWidth="1"/>
    <col min="12" max="12" width="13.33203125" style="2" bestFit="1" customWidth="1"/>
    <col min="13" max="13" width="13.5546875" style="2" bestFit="1" customWidth="1"/>
    <col min="14" max="14" width="11.44140625" style="2" bestFit="1" customWidth="1"/>
    <col min="15" max="18" width="8.88671875" style="2"/>
    <col min="19" max="19" width="11" style="2" bestFit="1" customWidth="1"/>
    <col min="20" max="30" width="8.88671875" style="2"/>
    <col min="31" max="31" width="0.77734375" style="2" customWidth="1"/>
    <col min="32" max="32" width="14" style="2" customWidth="1"/>
    <col min="33" max="33" width="16.109375" style="2" customWidth="1"/>
    <col min="34" max="37" width="8.88671875" style="2"/>
    <col min="38" max="38" width="8.88671875" style="2" customWidth="1"/>
    <col min="39" max="45" width="8.88671875" style="2"/>
    <col min="46" max="46" width="10.5546875" style="2" customWidth="1"/>
    <col min="47" max="16384" width="8.88671875" style="2"/>
  </cols>
  <sheetData>
    <row r="2" spans="2:46" ht="23.4" x14ac:dyDescent="0.45">
      <c r="B2" s="116" t="s">
        <v>11</v>
      </c>
      <c r="C2" s="116"/>
      <c r="D2" s="116"/>
      <c r="E2" s="116"/>
      <c r="F2" s="116"/>
      <c r="G2" s="116"/>
      <c r="H2" s="116"/>
    </row>
    <row r="3" spans="2:46" ht="17.399999999999999" customHeight="1" thickBot="1" x14ac:dyDescent="0.65">
      <c r="B3" s="12"/>
      <c r="C3" s="13"/>
      <c r="D3" s="13"/>
      <c r="E3" s="13"/>
      <c r="F3" s="13"/>
      <c r="G3" s="13"/>
      <c r="H3" s="117"/>
      <c r="I3" s="13"/>
      <c r="J3" s="13"/>
      <c r="O3" s="13"/>
      <c r="P3" s="13"/>
      <c r="Q3" s="13"/>
      <c r="R3" s="13"/>
      <c r="S3" s="13"/>
      <c r="T3" s="13"/>
      <c r="U3" s="13"/>
      <c r="W3" s="13"/>
      <c r="X3" s="13"/>
      <c r="Y3" s="13"/>
      <c r="Z3" s="13"/>
      <c r="AA3" s="13"/>
      <c r="AB3" s="13"/>
      <c r="AC3" s="13"/>
      <c r="AH3" s="88" t="s">
        <v>0</v>
      </c>
      <c r="AI3" s="120" t="s">
        <v>71</v>
      </c>
      <c r="AJ3" s="120"/>
      <c r="AK3" s="120"/>
      <c r="AL3" s="120"/>
      <c r="AM3" s="120"/>
    </row>
    <row r="4" spans="2:46" ht="20.399999999999999" thickBot="1" x14ac:dyDescent="0.45">
      <c r="B4" s="118" t="s">
        <v>108</v>
      </c>
      <c r="C4" s="118"/>
      <c r="D4" s="118"/>
      <c r="E4" s="118"/>
      <c r="F4" s="118"/>
      <c r="G4" s="118"/>
      <c r="H4" s="117"/>
      <c r="I4" s="13"/>
      <c r="J4" s="13"/>
      <c r="O4" s="13"/>
      <c r="P4" s="13"/>
      <c r="Q4" s="13"/>
      <c r="R4" s="13"/>
      <c r="S4" s="13"/>
      <c r="T4" s="13"/>
      <c r="U4" s="13"/>
      <c r="W4" s="13"/>
      <c r="X4" s="13"/>
      <c r="Y4" s="13"/>
      <c r="Z4" s="13"/>
      <c r="AA4" s="13"/>
      <c r="AB4" s="13"/>
      <c r="AC4" s="13"/>
      <c r="AH4" s="87" t="s">
        <v>93</v>
      </c>
      <c r="AI4" s="120" t="s">
        <v>71</v>
      </c>
      <c r="AJ4" s="120"/>
      <c r="AK4" s="120"/>
      <c r="AL4" s="120"/>
      <c r="AM4" s="120"/>
    </row>
    <row r="5" spans="2:46" ht="18.600000000000001" thickTop="1" thickBot="1" x14ac:dyDescent="0.4">
      <c r="B5" s="119" t="s">
        <v>107</v>
      </c>
      <c r="C5" s="119"/>
      <c r="D5" s="119"/>
      <c r="E5" s="119"/>
      <c r="F5" s="119"/>
      <c r="G5" s="119"/>
      <c r="H5" s="117"/>
      <c r="I5" s="13"/>
      <c r="J5" s="13"/>
      <c r="O5" s="13"/>
      <c r="P5" s="13"/>
      <c r="Q5" s="13"/>
      <c r="R5" s="13"/>
      <c r="S5" s="13"/>
      <c r="T5" s="13"/>
      <c r="U5" s="13"/>
      <c r="W5" s="13"/>
      <c r="X5" s="13"/>
      <c r="Y5" s="13"/>
      <c r="Z5" s="13"/>
      <c r="AA5" s="13"/>
      <c r="AB5" s="13"/>
      <c r="AC5" s="13"/>
      <c r="AH5" s="87" t="s">
        <v>1</v>
      </c>
      <c r="AI5" s="120" t="s">
        <v>71</v>
      </c>
      <c r="AJ5" s="120"/>
      <c r="AK5" s="120"/>
      <c r="AL5" s="120"/>
      <c r="AM5" s="120"/>
    </row>
    <row r="6" spans="2:46" ht="19.2" thickTop="1" thickBot="1" x14ac:dyDescent="0.4">
      <c r="B6" s="27"/>
      <c r="C6" s="13"/>
      <c r="D6" s="13"/>
      <c r="E6" s="13"/>
      <c r="F6" s="13"/>
      <c r="G6" s="13"/>
      <c r="H6" s="117"/>
      <c r="I6" s="13"/>
      <c r="J6" s="13"/>
      <c r="O6" s="13"/>
      <c r="P6" s="13"/>
      <c r="Q6" s="13"/>
      <c r="R6" s="13"/>
      <c r="S6" s="13"/>
      <c r="T6" s="13"/>
      <c r="U6" s="13"/>
      <c r="W6" s="13"/>
      <c r="X6" s="13"/>
      <c r="Y6" s="13"/>
      <c r="Z6" s="13"/>
      <c r="AA6" s="13"/>
      <c r="AB6" s="13"/>
      <c r="AC6" s="13"/>
      <c r="AH6" s="20"/>
      <c r="AI6" s="19"/>
      <c r="AJ6" s="16"/>
      <c r="AK6" s="16"/>
    </row>
    <row r="7" spans="2:46" ht="29.4" customHeight="1" x14ac:dyDescent="0.3">
      <c r="B7" s="4" t="s">
        <v>8</v>
      </c>
      <c r="C7" s="4" t="s">
        <v>9</v>
      </c>
      <c r="D7" s="4" t="s">
        <v>25</v>
      </c>
      <c r="E7" s="49" t="s">
        <v>26</v>
      </c>
      <c r="F7" s="57" t="s">
        <v>79</v>
      </c>
      <c r="G7" s="8" t="s">
        <v>59</v>
      </c>
      <c r="H7" s="8" t="s">
        <v>88</v>
      </c>
      <c r="I7" s="58" t="s">
        <v>80</v>
      </c>
      <c r="J7" s="8" t="s">
        <v>60</v>
      </c>
      <c r="K7" s="8" t="s">
        <v>61</v>
      </c>
      <c r="L7" s="8" t="s">
        <v>77</v>
      </c>
      <c r="M7" s="8" t="s">
        <v>78</v>
      </c>
      <c r="N7" s="8" t="s">
        <v>89</v>
      </c>
      <c r="O7" s="4" t="s">
        <v>73</v>
      </c>
      <c r="P7" s="51" t="s">
        <v>92</v>
      </c>
      <c r="Q7" s="61" t="s">
        <v>82</v>
      </c>
      <c r="R7" s="8" t="s">
        <v>74</v>
      </c>
      <c r="S7" s="8" t="s">
        <v>90</v>
      </c>
      <c r="T7" s="62" t="s">
        <v>83</v>
      </c>
      <c r="U7" s="8" t="s">
        <v>99</v>
      </c>
      <c r="V7" s="8" t="s">
        <v>100</v>
      </c>
      <c r="W7" s="4" t="s">
        <v>62</v>
      </c>
      <c r="X7" s="53" t="s">
        <v>63</v>
      </c>
      <c r="Y7" s="82" t="s">
        <v>84</v>
      </c>
      <c r="Z7" s="8" t="s">
        <v>64</v>
      </c>
      <c r="AA7" s="8" t="s">
        <v>91</v>
      </c>
      <c r="AB7" s="82" t="s">
        <v>85</v>
      </c>
      <c r="AC7" s="8" t="s">
        <v>101</v>
      </c>
      <c r="AD7" s="8" t="s">
        <v>102</v>
      </c>
      <c r="AE7" s="8"/>
      <c r="AF7" s="66" t="s">
        <v>46</v>
      </c>
      <c r="AG7" s="67" t="s">
        <v>54</v>
      </c>
      <c r="AH7" s="3"/>
      <c r="AT7" s="83" t="s">
        <v>72</v>
      </c>
    </row>
    <row r="8" spans="2:46" x14ac:dyDescent="0.3">
      <c r="B8" s="22">
        <v>43885</v>
      </c>
      <c r="C8" s="4">
        <v>0</v>
      </c>
      <c r="D8" s="10">
        <f>'dpc-covid19-ita-andamento-naz'!L2</f>
        <v>229</v>
      </c>
      <c r="E8" s="30">
        <f>'dpc-covid19-ita-andamento-naz'!I2</f>
        <v>221</v>
      </c>
      <c r="F8" s="56">
        <f>Tabella211[[#This Row],[Cum_confirmed]]*NOT(ISBLANK(Tabella211[[#This Row],[Cum_confirmed]]))</f>
        <v>229</v>
      </c>
      <c r="G8" s="50">
        <f>K*EXP(-EXP(-(Tabella211[[#This Row],[Day]]-t0)/w))</f>
        <v>25.577256558148914</v>
      </c>
      <c r="H8" s="10">
        <f>Tabella211[[#This Row],[Cum_fit]]*EXP(-(Tabella211[[#This Row],[Day]]-t0)/w)/w</f>
        <v>16.76619387781767</v>
      </c>
      <c r="I8" s="56">
        <f>Tabella211[[#This Row],[Cum_fit]]*NOT(ISBLANK(Tabella211[[#This Row],[Cum_confirmed]]))</f>
        <v>25.577256558148914</v>
      </c>
      <c r="J8" s="10">
        <f>Tabella211[[#This Row],[Cum_fit]]+CI</f>
        <v>2240.9243332863507</v>
      </c>
      <c r="K8" s="10">
        <f>MAX(Tabella211[[#This Row],[Cum_fit]]-CI,0)</f>
        <v>0</v>
      </c>
      <c r="L8" s="54">
        <f>'dpc-covid19-ita-andamento-naz'!G2</f>
        <v>221</v>
      </c>
      <c r="M8" s="54">
        <f>'dpc-covid19-ita-andamento-naz'!H2</f>
        <v>0</v>
      </c>
      <c r="N8" s="54">
        <f>Tabella211[[#This Row],[New_cases_fit]]-Tabella211[[#This Row],[New_Recovered_fit]]-Tabella211[[#This Row],[New_Deaths_fit]]</f>
        <v>1.4002139374440199</v>
      </c>
      <c r="O8" s="10">
        <f>'dpc-covid19-ita-andamento-naz'!J2</f>
        <v>1</v>
      </c>
      <c r="P8" s="52"/>
      <c r="Q8" s="60">
        <f>Tabella211[[#This Row],[Cum_recov]]*NOT(ISBLANK(Tabella211[[#This Row],[Cum_recov]]))</f>
        <v>1</v>
      </c>
      <c r="R8" s="50">
        <f>Kr*EXP(-EXP(-(Tabella211[[#This Row],[Day]]-t0r)/wr))</f>
        <v>57.7342575424545</v>
      </c>
      <c r="S8" s="10">
        <f>Tabella211[[#This Row],[Cum_R_fit]]*EXP(-(Tabella211[[#This Row],[Day]]-t0r)/wr)/wr</f>
        <v>15.301419428165493</v>
      </c>
      <c r="T8" s="60">
        <f>Tabella211[[#This Row],[Cum_R_fit]]*NOT(ISBLANK(Tabella211[[#This Row],[Cum_recov]]))</f>
        <v>57.7342575424545</v>
      </c>
      <c r="U8" s="10">
        <f>Tabella211[[#This Row],[Cum_R_fit]]+CIr</f>
        <v>849.44457020293976</v>
      </c>
      <c r="V8" s="10">
        <f>MAX(Tabella211[[#This Row],[Cum_R_fit]]-CIr,0)</f>
        <v>0</v>
      </c>
      <c r="W8" s="10">
        <f>'dpc-covid19-ita-andamento-naz'!K2</f>
        <v>7</v>
      </c>
      <c r="X8" s="63"/>
      <c r="Y8" s="65">
        <f>Tabella211[[#This Row],[Cum_deaths]]*NOT(ISBLANK(Tabella211[[#This Row],[Cum_deaths]]))</f>
        <v>7</v>
      </c>
      <c r="Z8" s="50">
        <f>Kh*EXP(-EXP(-(Tabella211[[#This Row],[Day]]-t0h)/wh))</f>
        <v>6.4509364932756233E-2</v>
      </c>
      <c r="AA8" s="10">
        <f>Tabella211[[#This Row],[Cum_D_fit]]*EXP(-(Tabella211[[#This Row],[Day]]-t0h)/wh)/wh</f>
        <v>6.4560512208157089E-2</v>
      </c>
      <c r="AB8" s="65">
        <f>Tabella211[[#This Row],[Cum_D_fit]]*NOT(ISBLANK(Tabella211[[#This Row],[Cum_deaths]]))</f>
        <v>6.4509364932756233E-2</v>
      </c>
      <c r="AC8" s="10">
        <f>Tabella211[[#This Row],[Cum_D_fit]]+CIh</f>
        <v>213.70403863913805</v>
      </c>
      <c r="AD8" s="10">
        <f>MAX(Tabella211[[#This Row],[Cum_D_fit]]-CIh,0)</f>
        <v>0</v>
      </c>
      <c r="AE8" s="8"/>
      <c r="AF8" s="98" t="s">
        <v>0</v>
      </c>
      <c r="AG8" s="99">
        <v>202653.80722903772</v>
      </c>
      <c r="AH8" s="3"/>
      <c r="AT8" s="104">
        <f>MAX($AG$14)</f>
        <v>0.99974481484665689</v>
      </c>
    </row>
    <row r="9" spans="2:46" ht="15.6" x14ac:dyDescent="0.35">
      <c r="B9" s="9">
        <v>43886</v>
      </c>
      <c r="C9" s="4">
        <f>C8+1</f>
        <v>1</v>
      </c>
      <c r="D9" s="10">
        <f>'dpc-covid19-ita-andamento-naz'!L3</f>
        <v>322</v>
      </c>
      <c r="E9" s="30">
        <f>'dpc-covid19-ita-andamento-naz'!I3</f>
        <v>93</v>
      </c>
      <c r="F9" s="56">
        <f>Tabella211[[#This Row],[Cum_confirmed]]*NOT(ISBLANK(Tabella211[[#This Row],[Cum_confirmed]]))</f>
        <v>322</v>
      </c>
      <c r="G9" s="50">
        <f>K*EXP(-EXP(-(Tabella211[[#This Row],[Day]]-t0)/w))</f>
        <v>48.127592870918321</v>
      </c>
      <c r="H9" s="10">
        <f>Tabella211[[#This Row],[Cum_fit]]*EXP(-(Tabella211[[#This Row],[Day]]-t0)/w)/w</f>
        <v>29.326746300774978</v>
      </c>
      <c r="I9" s="56">
        <f>Tabella211[[#This Row],[Cum_fit]]*NOT(ISBLANK(Tabella211[[#This Row],[Cum_confirmed]]))</f>
        <v>48.127592870918321</v>
      </c>
      <c r="J9" s="10">
        <f>Tabella211[[#This Row],[Cum_fit]]+CI</f>
        <v>2263.4746695991203</v>
      </c>
      <c r="K9" s="10">
        <f>MAX(Tabella211[[#This Row],[Cum_fit]]-CI,0)</f>
        <v>0</v>
      </c>
      <c r="L9" s="54">
        <f>'dpc-covid19-ita-andamento-naz'!G3</f>
        <v>311</v>
      </c>
      <c r="M9" s="54">
        <f>'dpc-covid19-ita-andamento-naz'!H3</f>
        <v>90</v>
      </c>
      <c r="N9" s="54">
        <f>Tabella211[[#This Row],[New_cases_fit]]-Tabella211[[#This Row],[New_Recovered_fit]]-Tabella211[[#This Row],[New_Deaths_fit]]</f>
        <v>9.9571196474032462</v>
      </c>
      <c r="O9" s="10">
        <f>'dpc-covid19-ita-andamento-naz'!J3</f>
        <v>1</v>
      </c>
      <c r="P9" s="48">
        <f>Tabella211[[#This Row],[Cum_recov]]-O8</f>
        <v>0</v>
      </c>
      <c r="Q9" s="60">
        <f>Tabella211[[#This Row],[Cum_recov]]*NOT(ISBLANK(Tabella211[[#This Row],[Cum_recov]]))</f>
        <v>1</v>
      </c>
      <c r="R9" s="50">
        <f>Kr*EXP(-EXP(-(Tabella211[[#This Row],[Day]]-t0r)/wr))</f>
        <v>74.929685882937449</v>
      </c>
      <c r="S9" s="10">
        <f>Tabella211[[#This Row],[Cum_R_fit]]*EXP(-(Tabella211[[#This Row],[Day]]-t0r)/wr)/wr</f>
        <v>19.213054704702756</v>
      </c>
      <c r="T9" s="60">
        <f>Tabella211[[#This Row],[Cum_R_fit]]*NOT(ISBLANK(Tabella211[[#This Row],[Cum_recov]]))</f>
        <v>74.929685882937449</v>
      </c>
      <c r="U9" s="10">
        <f>Tabella211[[#This Row],[Cum_R_fit]]+CIr</f>
        <v>866.63999854342262</v>
      </c>
      <c r="V9" s="10">
        <f>MAX(Tabella211[[#This Row],[Cum_R_fit]]-CIr,0)</f>
        <v>0</v>
      </c>
      <c r="W9" s="10">
        <f>'dpc-covid19-ita-andamento-naz'!K3</f>
        <v>10</v>
      </c>
      <c r="X9" s="26">
        <f>Tabella211[[#This Row],[Cum_deaths]]-W8</f>
        <v>3</v>
      </c>
      <c r="Y9" s="65">
        <f>Tabella211[[#This Row],[Cum_deaths]]*NOT(ISBLANK(Tabella211[[#This Row],[Cum_deaths]]))</f>
        <v>10</v>
      </c>
      <c r="Z9" s="50">
        <f>Kh*EXP(-EXP(-(Tabella211[[#This Row],[Day]]-t0h)/wh))</f>
        <v>0.16900695770249149</v>
      </c>
      <c r="AA9" s="10">
        <f>Tabella211[[#This Row],[Cum_D_fit]]*EXP(-(Tabella211[[#This Row],[Day]]-t0h)/wh)/wh</f>
        <v>0.15657194866897581</v>
      </c>
      <c r="AB9" s="65">
        <f>Tabella211[[#This Row],[Cum_D_fit]]*NOT(ISBLANK(Tabella211[[#This Row],[Cum_deaths]]))</f>
        <v>0.16900695770249149</v>
      </c>
      <c r="AC9" s="10">
        <f>Tabella211[[#This Row],[Cum_D_fit]]+CIh</f>
        <v>213.80853623190779</v>
      </c>
      <c r="AD9" s="10">
        <f>MAX(Tabella211[[#This Row],[Cum_D_fit]]-CIh,0)</f>
        <v>0</v>
      </c>
      <c r="AE9" s="8"/>
      <c r="AF9" s="98" t="s">
        <v>109</v>
      </c>
      <c r="AG9" s="100">
        <v>30.057847733960028</v>
      </c>
      <c r="AH9" s="3"/>
      <c r="AT9" s="105">
        <f>COUNT($AG$8,$AG$9,$AG$10)</f>
        <v>3</v>
      </c>
    </row>
    <row r="10" spans="2:46" x14ac:dyDescent="0.3">
      <c r="B10" s="9">
        <v>43887</v>
      </c>
      <c r="C10" s="4">
        <f t="shared" ref="C10:C73" si="0">C9+1</f>
        <v>2</v>
      </c>
      <c r="D10" s="10">
        <f>'dpc-covid19-ita-andamento-naz'!L4</f>
        <v>400</v>
      </c>
      <c r="E10" s="30">
        <f>'dpc-covid19-ita-andamento-naz'!I4</f>
        <v>78</v>
      </c>
      <c r="F10" s="56">
        <f>Tabella211[[#This Row],[Cum_confirmed]]*NOT(ISBLANK(Tabella211[[#This Row],[Cum_confirmed]]))</f>
        <v>400</v>
      </c>
      <c r="G10" s="50">
        <f>K*EXP(-EXP(-(Tabella211[[#This Row],[Day]]-t0)/w))</f>
        <v>86.616900640943882</v>
      </c>
      <c r="H10" s="10">
        <f>Tabella211[[#This Row],[Cum_fit]]*EXP(-(Tabella211[[#This Row],[Day]]-t0)/w)/w</f>
        <v>49.063847120651957</v>
      </c>
      <c r="I10" s="56">
        <f>Tabella211[[#This Row],[Cum_fit]]*NOT(ISBLANK(Tabella211[[#This Row],[Cum_confirmed]]))</f>
        <v>86.616900640943882</v>
      </c>
      <c r="J10" s="10">
        <f>Tabella211[[#This Row],[Cum_fit]]+CI</f>
        <v>2301.9639773691461</v>
      </c>
      <c r="K10" s="10">
        <f>MAX(Tabella211[[#This Row],[Cum_fit]]-CI,0)</f>
        <v>0</v>
      </c>
      <c r="L10" s="54">
        <f>'dpc-covid19-ita-andamento-naz'!G4</f>
        <v>385</v>
      </c>
      <c r="M10" s="54">
        <f>'dpc-covid19-ita-andamento-naz'!H4</f>
        <v>74</v>
      </c>
      <c r="N10" s="54">
        <f>Tabella211[[#This Row],[New_cases_fit]]-Tabella211[[#This Row],[New_Recovered_fit]]-Tabella211[[#This Row],[New_Deaths_fit]]</f>
        <v>24.789330899969336</v>
      </c>
      <c r="O10" s="10">
        <f>'dpc-covid19-ita-andamento-naz'!J4</f>
        <v>3</v>
      </c>
      <c r="P10" s="48">
        <f>Tabella211[[#This Row],[Cum_recov]]-O9</f>
        <v>2</v>
      </c>
      <c r="Q10" s="60">
        <f>Tabella211[[#This Row],[Cum_recov]]*NOT(ISBLANK(Tabella211[[#This Row],[Cum_recov]]))</f>
        <v>3</v>
      </c>
      <c r="R10" s="50">
        <f>Kr*EXP(-EXP(-(Tabella211[[#This Row],[Day]]-t0r)/wr))</f>
        <v>96.425725067859375</v>
      </c>
      <c r="S10" s="10">
        <f>Tabella211[[#This Row],[Cum_R_fit]]*EXP(-(Tabella211[[#This Row],[Day]]-t0r)/wr)/wr</f>
        <v>23.921025459629767</v>
      </c>
      <c r="T10" s="60">
        <f>Tabella211[[#This Row],[Cum_R_fit]]*NOT(ISBLANK(Tabella211[[#This Row],[Cum_recov]]))</f>
        <v>96.425725067859375</v>
      </c>
      <c r="U10" s="10">
        <f>Tabella211[[#This Row],[Cum_R_fit]]+CIr</f>
        <v>888.1360377283446</v>
      </c>
      <c r="V10" s="10">
        <f>MAX(Tabella211[[#This Row],[Cum_R_fit]]-CIr,0)</f>
        <v>0</v>
      </c>
      <c r="W10" s="10">
        <f>'dpc-covid19-ita-andamento-naz'!K4</f>
        <v>12</v>
      </c>
      <c r="X10" s="26">
        <f>Tabella211[[#This Row],[Cum_deaths]]-W9</f>
        <v>2</v>
      </c>
      <c r="Y10" s="65">
        <f>Tabella211[[#This Row],[Cum_deaths]]*NOT(ISBLANK(Tabella211[[#This Row],[Cum_deaths]]))</f>
        <v>12</v>
      </c>
      <c r="Z10" s="50">
        <f>Kh*EXP(-EXP(-(Tabella211[[#This Row],[Day]]-t0h)/wh))</f>
        <v>0.41219576260426266</v>
      </c>
      <c r="AA10" s="10">
        <f>Tabella211[[#This Row],[Cum_D_fit]]*EXP(-(Tabella211[[#This Row],[Day]]-t0h)/wh)/wh</f>
        <v>0.35349076105285243</v>
      </c>
      <c r="AB10" s="65">
        <f>Tabella211[[#This Row],[Cum_D_fit]]*NOT(ISBLANK(Tabella211[[#This Row],[Cum_deaths]]))</f>
        <v>0.41219576260426266</v>
      </c>
      <c r="AC10" s="10">
        <f>Tabella211[[#This Row],[Cum_D_fit]]+CIh</f>
        <v>214.05172503680956</v>
      </c>
      <c r="AD10" s="10">
        <f>MAX(Tabella211[[#This Row],[Cum_D_fit]]-CIh,0)</f>
        <v>0</v>
      </c>
      <c r="AE10" s="8"/>
      <c r="AF10" s="98" t="s">
        <v>1</v>
      </c>
      <c r="AG10" s="100">
        <v>13.695482931214375</v>
      </c>
      <c r="AH10" s="3"/>
      <c r="AT10" s="105">
        <f>{32767;32767;0.000001;0;FALSE;FALSE;TRUE;1;1;1;0.0001;TRUE}</f>
        <v>32767</v>
      </c>
    </row>
    <row r="11" spans="2:46" x14ac:dyDescent="0.3">
      <c r="B11" s="9">
        <v>43888</v>
      </c>
      <c r="C11" s="4">
        <f t="shared" si="0"/>
        <v>3</v>
      </c>
      <c r="D11" s="10">
        <f>'dpc-covid19-ita-andamento-naz'!L5</f>
        <v>650</v>
      </c>
      <c r="E11" s="30">
        <f>'dpc-covid19-ita-andamento-naz'!I5</f>
        <v>250</v>
      </c>
      <c r="F11" s="56">
        <f>Tabella211[[#This Row],[Cum_confirmed]]*NOT(ISBLANK(Tabella211[[#This Row],[Cum_confirmed]]))</f>
        <v>650</v>
      </c>
      <c r="G11" s="50">
        <f>K*EXP(-EXP(-(Tabella211[[#This Row],[Day]]-t0)/w))</f>
        <v>149.56869078042106</v>
      </c>
      <c r="H11" s="10">
        <f>Tabella211[[#This Row],[Cum_fit]]*EXP(-(Tabella211[[#This Row],[Day]]-t0)/w)/w</f>
        <v>78.756946272744955</v>
      </c>
      <c r="I11" s="56">
        <f>Tabella211[[#This Row],[Cum_fit]]*NOT(ISBLANK(Tabella211[[#This Row],[Cum_confirmed]]))</f>
        <v>149.56869078042106</v>
      </c>
      <c r="J11" s="10">
        <f>Tabella211[[#This Row],[Cum_fit]]+CI</f>
        <v>2364.915767508623</v>
      </c>
      <c r="K11" s="10">
        <f>MAX(Tabella211[[#This Row],[Cum_fit]]-CI,0)</f>
        <v>0</v>
      </c>
      <c r="L11" s="54">
        <f>'dpc-covid19-ita-andamento-naz'!G5</f>
        <v>588</v>
      </c>
      <c r="M11" s="54">
        <f>'dpc-covid19-ita-andamento-naz'!H5</f>
        <v>203</v>
      </c>
      <c r="N11" s="54">
        <f>Tabella211[[#This Row],[New_cases_fit]]-Tabella211[[#This Row],[New_Recovered_fit]]-Tabella211[[#This Row],[New_Deaths_fit]]</f>
        <v>48.470643757990722</v>
      </c>
      <c r="O11" s="10">
        <f>'dpc-covid19-ita-andamento-naz'!J5</f>
        <v>45</v>
      </c>
      <c r="P11" s="48">
        <f>Tabella211[[#This Row],[Cum_recov]]-O10</f>
        <v>42</v>
      </c>
      <c r="Q11" s="60">
        <f>Tabella211[[#This Row],[Cum_recov]]*NOT(ISBLANK(Tabella211[[#This Row],[Cum_recov]]))</f>
        <v>45</v>
      </c>
      <c r="R11" s="50">
        <f>Kr*EXP(-EXP(-(Tabella211[[#This Row],[Day]]-t0r)/wr))</f>
        <v>123.07512516356167</v>
      </c>
      <c r="S11" s="10">
        <f>Tabella211[[#This Row],[Cum_R_fit]]*EXP(-(Tabella211[[#This Row],[Day]]-t0r)/wr)/wr</f>
        <v>29.539391103629058</v>
      </c>
      <c r="T11" s="60">
        <f>Tabella211[[#This Row],[Cum_R_fit]]*NOT(ISBLANK(Tabella211[[#This Row],[Cum_recov]]))</f>
        <v>123.07512516356167</v>
      </c>
      <c r="U11" s="10">
        <f>Tabella211[[#This Row],[Cum_R_fit]]+CIr</f>
        <v>914.78543782404688</v>
      </c>
      <c r="V11" s="10">
        <f>MAX(Tabella211[[#This Row],[Cum_R_fit]]-CIr,0)</f>
        <v>0</v>
      </c>
      <c r="W11" s="10">
        <f>'dpc-covid19-ita-andamento-naz'!K5</f>
        <v>17</v>
      </c>
      <c r="X11" s="26">
        <f>Tabella211[[#This Row],[Cum_deaths]]-W10</f>
        <v>5</v>
      </c>
      <c r="Y11" s="65">
        <f>Tabella211[[#This Row],[Cum_deaths]]*NOT(ISBLANK(Tabella211[[#This Row],[Cum_deaths]]))</f>
        <v>17</v>
      </c>
      <c r="Z11" s="50">
        <f>Kh*EXP(-EXP(-(Tabella211[[#This Row],[Day]]-t0h)/wh))</f>
        <v>0.94086947367922091</v>
      </c>
      <c r="AA11" s="10">
        <f>Tabella211[[#This Row],[Cum_D_fit]]*EXP(-(Tabella211[[#This Row],[Day]]-t0h)/wh)/wh</f>
        <v>0.74691141112517245</v>
      </c>
      <c r="AB11" s="65">
        <f>Tabella211[[#This Row],[Cum_D_fit]]*NOT(ISBLANK(Tabella211[[#This Row],[Cum_deaths]]))</f>
        <v>0.94086947367922091</v>
      </c>
      <c r="AC11" s="10">
        <f>Tabella211[[#This Row],[Cum_D_fit]]+CIh</f>
        <v>214.58039874788452</v>
      </c>
      <c r="AD11" s="10">
        <f>MAX(Tabella211[[#This Row],[Cum_D_fit]]-CIh,0)</f>
        <v>0</v>
      </c>
      <c r="AE11" s="8"/>
      <c r="AF11" s="68" t="s">
        <v>2</v>
      </c>
      <c r="AG11" s="101">
        <f>AVERAGE(Tabella211[Cum_confirmed])</f>
        <v>59589.4</v>
      </c>
      <c r="AH11" s="3"/>
      <c r="AT11" s="105">
        <f>{0;0;1;100;0;FALSE;TRUE;0.075;0;0;FALSE;30}</f>
        <v>0</v>
      </c>
    </row>
    <row r="12" spans="2:46" x14ac:dyDescent="0.3">
      <c r="B12" s="9">
        <v>43889</v>
      </c>
      <c r="C12" s="4">
        <f t="shared" si="0"/>
        <v>4</v>
      </c>
      <c r="D12" s="10">
        <f>'dpc-covid19-ita-andamento-naz'!L6</f>
        <v>888</v>
      </c>
      <c r="E12" s="30">
        <f>'dpc-covid19-ita-andamento-naz'!I6</f>
        <v>238</v>
      </c>
      <c r="F12" s="56">
        <f>Tabella211[[#This Row],[Cum_confirmed]]*NOT(ISBLANK(Tabella211[[#This Row],[Cum_confirmed]]))</f>
        <v>888</v>
      </c>
      <c r="G12" s="50">
        <f>K*EXP(-EXP(-(Tabella211[[#This Row],[Day]]-t0)/w))</f>
        <v>248.5270605349148</v>
      </c>
      <c r="H12" s="10">
        <f>Tabella211[[#This Row],[Cum_fit]]*EXP(-(Tabella211[[#This Row],[Day]]-t0)/w)/w</f>
        <v>121.64970969740814</v>
      </c>
      <c r="I12" s="56">
        <f>Tabella211[[#This Row],[Cum_fit]]*NOT(ISBLANK(Tabella211[[#This Row],[Cum_confirmed]]))</f>
        <v>248.5270605349148</v>
      </c>
      <c r="J12" s="10">
        <f>Tabella211[[#This Row],[Cum_fit]]+CI</f>
        <v>2463.8741372631166</v>
      </c>
      <c r="K12" s="10">
        <f>MAX(Tabella211[[#This Row],[Cum_fit]]-CI,0)</f>
        <v>0</v>
      </c>
      <c r="L12" s="54">
        <f>'dpc-covid19-ita-andamento-naz'!G6</f>
        <v>821</v>
      </c>
      <c r="M12" s="54">
        <f>'dpc-covid19-ita-andamento-naz'!H6</f>
        <v>233</v>
      </c>
      <c r="N12" s="54">
        <f>Tabella211[[#This Row],[New_cases_fit]]-Tabella211[[#This Row],[New_Recovered_fit]]-Tabella211[[#This Row],[New_Deaths_fit]]</f>
        <v>83.976324477514808</v>
      </c>
      <c r="O12" s="10">
        <f>'dpc-covid19-ita-andamento-naz'!J6</f>
        <v>46</v>
      </c>
      <c r="P12" s="48">
        <f>Tabella211[[#This Row],[Cum_recov]]-O11</f>
        <v>1</v>
      </c>
      <c r="Q12" s="60">
        <f>Tabella211[[#This Row],[Cum_recov]]*NOT(ISBLANK(Tabella211[[#This Row],[Cum_recov]]))</f>
        <v>46</v>
      </c>
      <c r="R12" s="50">
        <f>Kr*EXP(-EXP(-(Tabella211[[#This Row],[Day]]-t0r)/wr))</f>
        <v>155.84821626021267</v>
      </c>
      <c r="S12" s="10">
        <f>Tabella211[[#This Row],[Cum_R_fit]]*EXP(-(Tabella211[[#This Row],[Day]]-t0r)/wr)/wr</f>
        <v>36.18907324742672</v>
      </c>
      <c r="T12" s="60">
        <f>Tabella211[[#This Row],[Cum_R_fit]]*NOT(ISBLANK(Tabella211[[#This Row],[Cum_recov]]))</f>
        <v>155.84821626021267</v>
      </c>
      <c r="U12" s="10">
        <f>Tabella211[[#This Row],[Cum_R_fit]]+CIr</f>
        <v>947.55852892069788</v>
      </c>
      <c r="V12" s="10">
        <f>MAX(Tabella211[[#This Row],[Cum_R_fit]]-CIr,0)</f>
        <v>0</v>
      </c>
      <c r="W12" s="10">
        <f>'dpc-covid19-ita-andamento-naz'!K6</f>
        <v>21</v>
      </c>
      <c r="X12" s="26">
        <f>Tabella211[[#This Row],[Cum_deaths]]-W11</f>
        <v>4</v>
      </c>
      <c r="Y12" s="65">
        <f>Tabella211[[#This Row],[Cum_deaths]]*NOT(ISBLANK(Tabella211[[#This Row],[Cum_deaths]]))</f>
        <v>21</v>
      </c>
      <c r="Z12" s="50">
        <f>Kh*EXP(-EXP(-(Tabella211[[#This Row],[Day]]-t0h)/wh))</f>
        <v>2.0198555048759941</v>
      </c>
      <c r="AA12" s="10">
        <f>Tabella211[[#This Row],[Cum_D_fit]]*EXP(-(Tabella211[[#This Row],[Day]]-t0h)/wh)/wh</f>
        <v>1.4843119724666145</v>
      </c>
      <c r="AB12" s="65">
        <f>Tabella211[[#This Row],[Cum_D_fit]]*NOT(ISBLANK(Tabella211[[#This Row],[Cum_deaths]]))</f>
        <v>2.0198555048759941</v>
      </c>
      <c r="AC12" s="10">
        <f>Tabella211[[#This Row],[Cum_D_fit]]+CIh</f>
        <v>215.65938477908131</v>
      </c>
      <c r="AD12" s="10">
        <f>MAX(Tabella211[[#This Row],[Cum_D_fit]]-CIh,0)</f>
        <v>0</v>
      </c>
      <c r="AE12" s="1"/>
      <c r="AF12" s="68" t="s">
        <v>3</v>
      </c>
      <c r="AG12" s="101">
        <f>COUNT(Tabella211[Cum_confirmed])-COUNT(AG8:AG10)</f>
        <v>47</v>
      </c>
      <c r="AT12" s="105">
        <f>{32767;32767;0.000001;0;FALSE;FALSE;FALSE;1;2;1;0.0001;TRUE}</f>
        <v>32767</v>
      </c>
    </row>
    <row r="13" spans="2:46" x14ac:dyDescent="0.3">
      <c r="B13" s="9">
        <v>43890</v>
      </c>
      <c r="C13" s="4">
        <f t="shared" si="0"/>
        <v>5</v>
      </c>
      <c r="D13" s="10">
        <f>'dpc-covid19-ita-andamento-naz'!L7</f>
        <v>1128</v>
      </c>
      <c r="E13" s="30">
        <f>'dpc-covid19-ita-andamento-naz'!I7</f>
        <v>240</v>
      </c>
      <c r="F13" s="56">
        <f>Tabella211[[#This Row],[Cum_confirmed]]*NOT(ISBLANK(Tabella211[[#This Row],[Cum_confirmed]]))</f>
        <v>1128</v>
      </c>
      <c r="G13" s="50">
        <f>K*EXP(-EXP(-(Tabella211[[#This Row],[Day]]-t0)/w))</f>
        <v>398.45372909558449</v>
      </c>
      <c r="H13" s="10">
        <f>Tabella211[[#This Row],[Cum_fit]]*EXP(-(Tabella211[[#This Row],[Day]]-t0)/w)/w</f>
        <v>181.30279810807014</v>
      </c>
      <c r="I13" s="56">
        <f>Tabella211[[#This Row],[Cum_fit]]*NOT(ISBLANK(Tabella211[[#This Row],[Cum_confirmed]]))</f>
        <v>398.45372909558449</v>
      </c>
      <c r="J13" s="10">
        <f>Tabella211[[#This Row],[Cum_fit]]+CI</f>
        <v>2613.8008058237865</v>
      </c>
      <c r="K13" s="10">
        <f>MAX(Tabella211[[#This Row],[Cum_fit]]-CI,0)</f>
        <v>0</v>
      </c>
      <c r="L13" s="54">
        <f>'dpc-covid19-ita-andamento-naz'!G7</f>
        <v>1049</v>
      </c>
      <c r="M13" s="54">
        <f>'dpc-covid19-ita-andamento-naz'!H7</f>
        <v>228</v>
      </c>
      <c r="N13" s="54">
        <f>Tabella211[[#This Row],[New_cases_fit]]-Tabella211[[#This Row],[New_Recovered_fit]]-Tabella211[[#This Row],[New_Deaths_fit]]</f>
        <v>134.51922180323419</v>
      </c>
      <c r="O13" s="10">
        <f>'dpc-covid19-ita-andamento-naz'!J7</f>
        <v>50</v>
      </c>
      <c r="P13" s="48">
        <f>Tabella211[[#This Row],[Cum_recov]]-O12</f>
        <v>4</v>
      </c>
      <c r="Q13" s="60">
        <f>Tabella211[[#This Row],[Cum_recov]]*NOT(ISBLANK(Tabella211[[#This Row],[Cum_recov]]))</f>
        <v>50</v>
      </c>
      <c r="R13" s="50">
        <f>Kr*EXP(-EXP(-(Tabella211[[#This Row],[Day]]-t0r)/wr))</f>
        <v>195.83918933994372</v>
      </c>
      <c r="S13" s="10">
        <f>Tabella211[[#This Row],[Cum_R_fit]]*EXP(-(Tabella211[[#This Row],[Day]]-t0r)/wr)/wr</f>
        <v>43.996649133659787</v>
      </c>
      <c r="T13" s="60">
        <f>Tabella211[[#This Row],[Cum_R_fit]]*NOT(ISBLANK(Tabella211[[#This Row],[Cum_recov]]))</f>
        <v>195.83918933994372</v>
      </c>
      <c r="U13" s="10">
        <f>Tabella211[[#This Row],[Cum_R_fit]]+CIr</f>
        <v>987.5495020004289</v>
      </c>
      <c r="V13" s="10">
        <f>MAX(Tabella211[[#This Row],[Cum_R_fit]]-CIr,0)</f>
        <v>0</v>
      </c>
      <c r="W13" s="10">
        <f>'dpc-covid19-ita-andamento-naz'!K7</f>
        <v>29</v>
      </c>
      <c r="X13" s="26">
        <f>Tabella211[[#This Row],[Cum_deaths]]-W12</f>
        <v>8</v>
      </c>
      <c r="Y13" s="65">
        <f>Tabella211[[#This Row],[Cum_deaths]]*NOT(ISBLANK(Tabella211[[#This Row],[Cum_deaths]]))</f>
        <v>29</v>
      </c>
      <c r="Z13" s="50">
        <f>Kh*EXP(-EXP(-(Tabella211[[#This Row],[Day]]-t0h)/wh))</f>
        <v>4.0969018506656676</v>
      </c>
      <c r="AA13" s="10">
        <f>Tabella211[[#This Row],[Cum_D_fit]]*EXP(-(Tabella211[[#This Row],[Day]]-t0h)/wh)/wh</f>
        <v>2.7869271711761572</v>
      </c>
      <c r="AB13" s="65">
        <f>Tabella211[[#This Row],[Cum_D_fit]]*NOT(ISBLANK(Tabella211[[#This Row],[Cum_deaths]]))</f>
        <v>4.0969018506656676</v>
      </c>
      <c r="AC13" s="10">
        <f>Tabella211[[#This Row],[Cum_D_fit]]+CIh</f>
        <v>217.73643112487096</v>
      </c>
      <c r="AD13" s="10">
        <f>MAX(Tabella211[[#This Row],[Cum_D_fit]]-CIh,0)</f>
        <v>0</v>
      </c>
      <c r="AE13" s="1"/>
      <c r="AF13" s="68" t="s">
        <v>4</v>
      </c>
      <c r="AG13" s="102" cm="1">
        <f t="array" ref="AG13">SQRT(SUM((Tabella211[Colonna1]-Tabella211[Colonna2])^2)/df)</f>
        <v>1101.209157746169</v>
      </c>
      <c r="AT13" s="106">
        <f>{0;0;1;100;0;FALSE;FALSE;0.075;0;0;FALSE;30}</f>
        <v>0</v>
      </c>
    </row>
    <row r="14" spans="2:46" ht="16.2" x14ac:dyDescent="0.3">
      <c r="B14" s="22">
        <v>43891</v>
      </c>
      <c r="C14" s="4">
        <f t="shared" si="0"/>
        <v>6</v>
      </c>
      <c r="D14" s="10">
        <f>'dpc-covid19-ita-andamento-naz'!L8</f>
        <v>1694</v>
      </c>
      <c r="E14" s="30">
        <f>'dpc-covid19-ita-andamento-naz'!I8</f>
        <v>566</v>
      </c>
      <c r="F14" s="56">
        <f>Tabella211[[#This Row],[Cum_confirmed]]*NOT(ISBLANK(Tabella211[[#This Row],[Cum_confirmed]]))</f>
        <v>1694</v>
      </c>
      <c r="G14" s="50">
        <f>K*EXP(-EXP(-(Tabella211[[#This Row],[Day]]-t0)/w))</f>
        <v>617.94067783470348</v>
      </c>
      <c r="H14" s="10">
        <f>Tabella211[[#This Row],[Cum_fit]]*EXP(-(Tabella211[[#This Row],[Day]]-t0)/w)/w</f>
        <v>261.37413789411426</v>
      </c>
      <c r="I14" s="56">
        <f>Tabella211[[#This Row],[Cum_fit]]*NOT(ISBLANK(Tabella211[[#This Row],[Cum_confirmed]]))</f>
        <v>617.94067783470348</v>
      </c>
      <c r="J14" s="10">
        <f>Tabella211[[#This Row],[Cum_fit]]+CI</f>
        <v>2833.2877545629053</v>
      </c>
      <c r="K14" s="10">
        <f>MAX(Tabella211[[#This Row],[Cum_fit]]-CI,0)</f>
        <v>0</v>
      </c>
      <c r="L14" s="54">
        <f>'dpc-covid19-ita-andamento-naz'!G8</f>
        <v>1577</v>
      </c>
      <c r="M14" s="54">
        <f>'dpc-covid19-ita-andamento-naz'!H8</f>
        <v>528</v>
      </c>
      <c r="N14" s="54">
        <f>Tabella211[[#This Row],[New_cases_fit]]-Tabella211[[#This Row],[New_Recovered_fit]]-Tabella211[[#This Row],[New_Deaths_fit]]</f>
        <v>203.31644006006985</v>
      </c>
      <c r="O14" s="10">
        <f>'dpc-covid19-ita-andamento-naz'!J8</f>
        <v>83</v>
      </c>
      <c r="P14" s="48">
        <f>Tabella211[[#This Row],[Cum_recov]]-O13</f>
        <v>33</v>
      </c>
      <c r="Q14" s="60">
        <f>Tabella211[[#This Row],[Cum_recov]]*NOT(ISBLANK(Tabella211[[#This Row],[Cum_recov]]))</f>
        <v>83</v>
      </c>
      <c r="R14" s="50">
        <f>Kr*EXP(-EXP(-(Tabella211[[#This Row],[Day]]-t0r)/wr))</f>
        <v>244.2710410789542</v>
      </c>
      <c r="S14" s="10">
        <f>Tabella211[[#This Row],[Cum_R_fit]]*EXP(-(Tabella211[[#This Row],[Day]]-t0r)/wr)/wr</f>
        <v>53.092888600443878</v>
      </c>
      <c r="T14" s="60">
        <f>Tabella211[[#This Row],[Cum_R_fit]]*NOT(ISBLANK(Tabella211[[#This Row],[Cum_recov]]))</f>
        <v>244.2710410789542</v>
      </c>
      <c r="U14" s="10">
        <f>Tabella211[[#This Row],[Cum_R_fit]]+CIr</f>
        <v>1035.9813537394393</v>
      </c>
      <c r="V14" s="10">
        <f>MAX(Tabella211[[#This Row],[Cum_R_fit]]-CIr,0)</f>
        <v>0</v>
      </c>
      <c r="W14" s="10">
        <f>'dpc-covid19-ita-andamento-naz'!K8</f>
        <v>34</v>
      </c>
      <c r="X14" s="26">
        <f>Tabella211[[#This Row],[Cum_deaths]]-W13</f>
        <v>5</v>
      </c>
      <c r="Y14" s="65">
        <f>Tabella211[[#This Row],[Cum_deaths]]*NOT(ISBLANK(Tabella211[[#This Row],[Cum_deaths]]))</f>
        <v>34</v>
      </c>
      <c r="Z14" s="50">
        <f>Kh*EXP(-EXP(-(Tabella211[[#This Row],[Day]]-t0h)/wh))</f>
        <v>7.8843761230688827</v>
      </c>
      <c r="AA14" s="10">
        <f>Tabella211[[#This Row],[Cum_D_fit]]*EXP(-(Tabella211[[#This Row],[Day]]-t0h)/wh)/wh</f>
        <v>4.9648092336005343</v>
      </c>
      <c r="AB14" s="65">
        <f>Tabella211[[#This Row],[Cum_D_fit]]*NOT(ISBLANK(Tabella211[[#This Row],[Cum_deaths]]))</f>
        <v>7.8843761230688827</v>
      </c>
      <c r="AC14" s="10">
        <f>Tabella211[[#This Row],[Cum_D_fit]]+CIh</f>
        <v>221.52390539727418</v>
      </c>
      <c r="AD14" s="10">
        <f>MAX(Tabella211[[#This Row],[Cum_D_fit]]-CIh,0)</f>
        <v>0</v>
      </c>
      <c r="AE14" s="1"/>
      <c r="AF14" s="68" t="s">
        <v>110</v>
      </c>
      <c r="AG14" s="103" cm="1">
        <f t="array" ref="AG14">1-SUM((Tabella211[Colonna1]-Tabella211[Colonna2])^2)/SUM((Tabella211[Colonna1]-Mean_of_y)^2)</f>
        <v>0.99974481484665689</v>
      </c>
      <c r="AT14" s="110"/>
    </row>
    <row r="15" spans="2:46" x14ac:dyDescent="0.3">
      <c r="B15" s="9">
        <v>43892</v>
      </c>
      <c r="C15" s="4">
        <f t="shared" si="0"/>
        <v>7</v>
      </c>
      <c r="D15" s="10">
        <f>'dpc-covid19-ita-andamento-naz'!L9</f>
        <v>2036</v>
      </c>
      <c r="E15" s="30">
        <f>'dpc-covid19-ita-andamento-naz'!I9</f>
        <v>342</v>
      </c>
      <c r="F15" s="56">
        <f>Tabella211[[#This Row],[Cum_confirmed]]*NOT(ISBLANK(Tabella211[[#This Row],[Cum_confirmed]]))</f>
        <v>2036</v>
      </c>
      <c r="G15" s="50">
        <f>K*EXP(-EXP(-(Tabella211[[#This Row],[Day]]-t0)/w))</f>
        <v>929.17349036004475</v>
      </c>
      <c r="H15" s="10">
        <f>Tabella211[[#This Row],[Cum_fit]]*EXP(-(Tabella211[[#This Row],[Day]]-t0)/w)/w</f>
        <v>365.34389670050433</v>
      </c>
      <c r="I15" s="56">
        <f>Tabella211[[#This Row],[Cum_fit]]*NOT(ISBLANK(Tabella211[[#This Row],[Cum_confirmed]]))</f>
        <v>929.17349036004475</v>
      </c>
      <c r="J15" s="10">
        <f>Tabella211[[#This Row],[Cum_fit]]+CI</f>
        <v>3144.5205670882469</v>
      </c>
      <c r="K15" s="10">
        <f>MAX(Tabella211[[#This Row],[Cum_fit]]-CI,0)</f>
        <v>0</v>
      </c>
      <c r="L15" s="54">
        <f>'dpc-covid19-ita-andamento-naz'!G9</f>
        <v>1835</v>
      </c>
      <c r="M15" s="54">
        <f>'dpc-covid19-ita-andamento-naz'!H9</f>
        <v>258</v>
      </c>
      <c r="N15" s="54">
        <f>Tabella211[[#This Row],[New_cases_fit]]-Tabella211[[#This Row],[New_Recovered_fit]]-Tabella211[[#This Row],[New_Deaths_fit]]</f>
        <v>293.30818856437679</v>
      </c>
      <c r="O15" s="10">
        <f>'dpc-covid19-ita-andamento-naz'!J9</f>
        <v>149</v>
      </c>
      <c r="P15" s="48">
        <f>Tabella211[[#This Row],[Cum_recov]]-O14</f>
        <v>66</v>
      </c>
      <c r="Q15" s="60">
        <f>Tabella211[[#This Row],[Cum_recov]]*NOT(ISBLANK(Tabella211[[#This Row],[Cum_recov]]))</f>
        <v>149</v>
      </c>
      <c r="R15" s="50">
        <f>Kr*EXP(-EXP(-(Tabella211[[#This Row],[Day]]-t0r)/wr))</f>
        <v>302.4989352439822</v>
      </c>
      <c r="S15" s="10">
        <f>Tabella211[[#This Row],[Cum_R_fit]]*EXP(-(Tabella211[[#This Row],[Day]]-t0r)/wr)/wr</f>
        <v>63.611054366544174</v>
      </c>
      <c r="T15" s="60">
        <f>Tabella211[[#This Row],[Cum_R_fit]]*NOT(ISBLANK(Tabella211[[#This Row],[Cum_recov]]))</f>
        <v>302.4989352439822</v>
      </c>
      <c r="U15" s="10">
        <f>Tabella211[[#This Row],[Cum_R_fit]]+CIr</f>
        <v>1094.2092479044675</v>
      </c>
      <c r="V15" s="10">
        <f>MAX(Tabella211[[#This Row],[Cum_R_fit]]-CIr,0)</f>
        <v>0</v>
      </c>
      <c r="W15" s="10">
        <f>'dpc-covid19-ita-andamento-naz'!K9</f>
        <v>52</v>
      </c>
      <c r="X15" s="26">
        <f>Tabella211[[#This Row],[Cum_deaths]]-W14</f>
        <v>18</v>
      </c>
      <c r="Y15" s="65">
        <f>Tabella211[[#This Row],[Cum_deaths]]*NOT(ISBLANK(Tabella211[[#This Row],[Cum_deaths]]))</f>
        <v>52</v>
      </c>
      <c r="Z15" s="50">
        <f>Kh*EXP(-EXP(-(Tabella211[[#This Row],[Day]]-t0h)/wh))</f>
        <v>14.452788850631316</v>
      </c>
      <c r="AA15" s="10">
        <f>Tabella211[[#This Row],[Cum_D_fit]]*EXP(-(Tabella211[[#This Row],[Day]]-t0h)/wh)/wh</f>
        <v>8.4246537695833492</v>
      </c>
      <c r="AB15" s="65">
        <f>Tabella211[[#This Row],[Cum_D_fit]]*NOT(ISBLANK(Tabella211[[#This Row],[Cum_deaths]]))</f>
        <v>14.452788850631316</v>
      </c>
      <c r="AC15" s="10">
        <f>Tabella211[[#This Row],[Cum_D_fit]]+CIh</f>
        <v>228.09231812483662</v>
      </c>
      <c r="AD15" s="10">
        <f>MAX(Tabella211[[#This Row],[Cum_D_fit]]-CIh,0)</f>
        <v>0</v>
      </c>
      <c r="AE15" s="1"/>
      <c r="AF15" s="68" t="s">
        <v>6</v>
      </c>
      <c r="AG15" s="103">
        <f>TINV(0.05,df)</f>
        <v>2.0117405137297668</v>
      </c>
      <c r="AT15" s="111"/>
    </row>
    <row r="16" spans="2:46" x14ac:dyDescent="0.3">
      <c r="B16" s="9">
        <v>43893</v>
      </c>
      <c r="C16" s="4">
        <f t="shared" si="0"/>
        <v>8</v>
      </c>
      <c r="D16" s="10">
        <f>'dpc-covid19-ita-andamento-naz'!L10</f>
        <v>2502</v>
      </c>
      <c r="E16" s="30">
        <f>'dpc-covid19-ita-andamento-naz'!I10</f>
        <v>466</v>
      </c>
      <c r="F16" s="56">
        <f>Tabella211[[#This Row],[Cum_confirmed]]*NOT(ISBLANK(Tabella211[[#This Row],[Cum_confirmed]]))</f>
        <v>2502</v>
      </c>
      <c r="G16" s="50">
        <f>K*EXP(-EXP(-(Tabella211[[#This Row],[Day]]-t0)/w))</f>
        <v>1357.603219604204</v>
      </c>
      <c r="H16" s="10">
        <f>Tabella211[[#This Row],[Cum_fit]]*EXP(-(Tabella211[[#This Row],[Day]]-t0)/w)/w</f>
        <v>496.21183980892084</v>
      </c>
      <c r="I16" s="56">
        <f>Tabella211[[#This Row],[Cum_fit]]*NOT(ISBLANK(Tabella211[[#This Row],[Cum_confirmed]]))</f>
        <v>1357.603219604204</v>
      </c>
      <c r="J16" s="10">
        <f>Tabella211[[#This Row],[Cum_fit]]+CI</f>
        <v>3572.9502963324057</v>
      </c>
      <c r="K16" s="10">
        <f>MAX(Tabella211[[#This Row],[Cum_fit]]-CI,0)</f>
        <v>0</v>
      </c>
      <c r="L16" s="54">
        <f>'dpc-covid19-ita-andamento-naz'!G10</f>
        <v>2263</v>
      </c>
      <c r="M16" s="54">
        <f>'dpc-covid19-ita-andamento-naz'!H10</f>
        <v>428</v>
      </c>
      <c r="N16" s="54">
        <f>Tabella211[[#This Row],[New_cases_fit]]-Tabella211[[#This Row],[New_Recovered_fit]]-Tabella211[[#This Row],[New_Deaths_fit]]</f>
        <v>406.86076084688767</v>
      </c>
      <c r="O16" s="10">
        <f>'dpc-covid19-ita-andamento-naz'!J10</f>
        <v>160</v>
      </c>
      <c r="P16" s="48">
        <f>Tabella211[[#This Row],[Cum_recov]]-O15</f>
        <v>11</v>
      </c>
      <c r="Q16" s="60">
        <f>Tabella211[[#This Row],[Cum_recov]]*NOT(ISBLANK(Tabella211[[#This Row],[Cum_recov]]))</f>
        <v>160</v>
      </c>
      <c r="R16" s="50">
        <f>Kr*EXP(-EXP(-(Tabella211[[#This Row],[Day]]-t0r)/wr))</f>
        <v>372.01175764171796</v>
      </c>
      <c r="S16" s="10">
        <f>Tabella211[[#This Row],[Cum_R_fit]]*EXP(-(Tabella211[[#This Row],[Day]]-t0r)/wr)/wr</f>
        <v>75.684994341728995</v>
      </c>
      <c r="T16" s="60">
        <f>Tabella211[[#This Row],[Cum_R_fit]]*NOT(ISBLANK(Tabella211[[#This Row],[Cum_recov]]))</f>
        <v>372.01175764171796</v>
      </c>
      <c r="U16" s="10">
        <f>Tabella211[[#This Row],[Cum_R_fit]]+CIr</f>
        <v>1163.7220703022031</v>
      </c>
      <c r="V16" s="10">
        <f>MAX(Tabella211[[#This Row],[Cum_R_fit]]-CIr,0)</f>
        <v>0</v>
      </c>
      <c r="W16" s="10">
        <f>'dpc-covid19-ita-andamento-naz'!K10</f>
        <v>79</v>
      </c>
      <c r="X16" s="26">
        <f>Tabella211[[#This Row],[Cum_deaths]]-W15</f>
        <v>27</v>
      </c>
      <c r="Y16" s="65">
        <f>Tabella211[[#This Row],[Cum_deaths]]*NOT(ISBLANK(Tabella211[[#This Row],[Cum_deaths]]))</f>
        <v>79</v>
      </c>
      <c r="Z16" s="50">
        <f>Kh*EXP(-EXP(-(Tabella211[[#This Row],[Day]]-t0h)/wh))</f>
        <v>25.326695561431375</v>
      </c>
      <c r="AA16" s="10">
        <f>Tabella211[[#This Row],[Cum_D_fit]]*EXP(-(Tabella211[[#This Row],[Day]]-t0h)/wh)/wh</f>
        <v>13.666084620304167</v>
      </c>
      <c r="AB16" s="65">
        <f>Tabella211[[#This Row],[Cum_D_fit]]*NOT(ISBLANK(Tabella211[[#This Row],[Cum_deaths]]))</f>
        <v>25.326695561431375</v>
      </c>
      <c r="AC16" s="10">
        <f>Tabella211[[#This Row],[Cum_D_fit]]+CIh</f>
        <v>238.96622483563667</v>
      </c>
      <c r="AD16" s="10">
        <f>MAX(Tabella211[[#This Row],[Cum_D_fit]]-CIh,0)</f>
        <v>0</v>
      </c>
      <c r="AE16" s="1"/>
      <c r="AF16" s="68" t="s">
        <v>7</v>
      </c>
      <c r="AG16" s="101">
        <f>Critical_t*SE_of_y</f>
        <v>2215.347076728202</v>
      </c>
      <c r="AT16" s="111"/>
    </row>
    <row r="17" spans="2:46" ht="15" thickBot="1" x14ac:dyDescent="0.35">
      <c r="B17" s="9">
        <v>43894</v>
      </c>
      <c r="C17" s="4">
        <f t="shared" si="0"/>
        <v>9</v>
      </c>
      <c r="D17" s="10">
        <f>'dpc-covid19-ita-andamento-naz'!L11</f>
        <v>3089</v>
      </c>
      <c r="E17" s="30">
        <f>'dpc-covid19-ita-andamento-naz'!I11</f>
        <v>587</v>
      </c>
      <c r="F17" s="56">
        <f>Tabella211[[#This Row],[Cum_confirmed]]*NOT(ISBLANK(Tabella211[[#This Row],[Cum_confirmed]]))</f>
        <v>3089</v>
      </c>
      <c r="G17" s="50">
        <f>K*EXP(-EXP(-(Tabella211[[#This Row],[Day]]-t0)/w))</f>
        <v>1931.3157519875299</v>
      </c>
      <c r="H17" s="10">
        <f>Tabella211[[#This Row],[Cum_fit]]*EXP(-(Tabella211[[#This Row],[Day]]-t0)/w)/w</f>
        <v>656.20081174505128</v>
      </c>
      <c r="I17" s="56">
        <f>Tabella211[[#This Row],[Cum_fit]]*NOT(ISBLANK(Tabella211[[#This Row],[Cum_confirmed]]))</f>
        <v>1931.3157519875299</v>
      </c>
      <c r="J17" s="10">
        <f>Tabella211[[#This Row],[Cum_fit]]+CI</f>
        <v>4146.6628287157318</v>
      </c>
      <c r="K17" s="10">
        <f>MAX(Tabella211[[#This Row],[Cum_fit]]-CI,0)</f>
        <v>0</v>
      </c>
      <c r="L17" s="54">
        <f>'dpc-covid19-ita-andamento-naz'!G11</f>
        <v>2706</v>
      </c>
      <c r="M17" s="54">
        <f>'dpc-covid19-ita-andamento-naz'!H11</f>
        <v>443</v>
      </c>
      <c r="N17" s="54">
        <f>Tabella211[[#This Row],[New_cases_fit]]-Tabella211[[#This Row],[New_Recovered_fit]]-Tabella211[[#This Row],[New_Deaths_fit]]</f>
        <v>545.49038228889799</v>
      </c>
      <c r="O17" s="10">
        <f>'dpc-covid19-ita-andamento-naz'!J11</f>
        <v>276</v>
      </c>
      <c r="P17" s="48">
        <f>Tabella211[[#This Row],[Cum_recov]]-O16</f>
        <v>116</v>
      </c>
      <c r="Q17" s="60">
        <f>Tabella211[[#This Row],[Cum_recov]]*NOT(ISBLANK(Tabella211[[#This Row],[Cum_recov]]))</f>
        <v>276</v>
      </c>
      <c r="R17" s="50">
        <f>Kr*EXP(-EXP(-(Tabella211[[#This Row],[Day]]-t0r)/wr))</f>
        <v>454.43167441678514</v>
      </c>
      <c r="S17" s="10">
        <f>Tabella211[[#This Row],[Cum_R_fit]]*EXP(-(Tabella211[[#This Row],[Day]]-t0r)/wr)/wr</f>
        <v>89.447062765244155</v>
      </c>
      <c r="T17" s="60">
        <f>Tabella211[[#This Row],[Cum_R_fit]]*NOT(ISBLANK(Tabella211[[#This Row],[Cum_recov]]))</f>
        <v>454.43167441678514</v>
      </c>
      <c r="U17" s="10">
        <f>Tabella211[[#This Row],[Cum_R_fit]]+CIr</f>
        <v>1246.1419870772704</v>
      </c>
      <c r="V17" s="10">
        <f>MAX(Tabella211[[#This Row],[Cum_R_fit]]-CIr,0)</f>
        <v>0</v>
      </c>
      <c r="W17" s="10">
        <f>'dpc-covid19-ita-andamento-naz'!K11</f>
        <v>107</v>
      </c>
      <c r="X17" s="26">
        <f>Tabella211[[#This Row],[Cum_deaths]]-W16</f>
        <v>28</v>
      </c>
      <c r="Y17" s="65">
        <f>Tabella211[[#This Row],[Cum_deaths]]*NOT(ISBLANK(Tabella211[[#This Row],[Cum_deaths]]))</f>
        <v>107</v>
      </c>
      <c r="Z17" s="50">
        <f>Kh*EXP(-EXP(-(Tabella211[[#This Row],[Day]]-t0h)/wh))</f>
        <v>42.569767804671415</v>
      </c>
      <c r="AA17" s="10">
        <f>Tabella211[[#This Row],[Cum_D_fit]]*EXP(-(Tabella211[[#This Row],[Day]]-t0h)/wh)/wh</f>
        <v>21.263366690909152</v>
      </c>
      <c r="AB17" s="65">
        <f>Tabella211[[#This Row],[Cum_D_fit]]*NOT(ISBLANK(Tabella211[[#This Row],[Cum_deaths]]))</f>
        <v>42.569767804671415</v>
      </c>
      <c r="AC17" s="10">
        <f>Tabella211[[#This Row],[Cum_D_fit]]+CIh</f>
        <v>256.20929707887672</v>
      </c>
      <c r="AD17" s="10">
        <f>MAX(Tabella211[[#This Row],[Cum_D_fit]]-CIh,0)</f>
        <v>0</v>
      </c>
      <c r="AE17" s="1"/>
      <c r="AF17" s="68" t="s">
        <v>111</v>
      </c>
      <c r="AG17" s="33">
        <f>K</f>
        <v>202653.80722903772</v>
      </c>
      <c r="AT17" s="112"/>
    </row>
    <row r="18" spans="2:46" ht="15" thickTop="1" x14ac:dyDescent="0.3">
      <c r="B18" s="22">
        <v>43895</v>
      </c>
      <c r="C18" s="4">
        <f t="shared" si="0"/>
        <v>10</v>
      </c>
      <c r="D18" s="10">
        <f>'dpc-covid19-ita-andamento-naz'!L12</f>
        <v>3858</v>
      </c>
      <c r="E18" s="30">
        <f>'dpc-covid19-ita-andamento-naz'!I12</f>
        <v>769</v>
      </c>
      <c r="F18" s="56">
        <f>Tabella211[[#This Row],[Cum_confirmed]]*NOT(ISBLANK(Tabella211[[#This Row],[Cum_confirmed]]))</f>
        <v>3858</v>
      </c>
      <c r="G18" s="50">
        <f>K*EXP(-EXP(-(Tabella211[[#This Row],[Day]]-t0)/w))</f>
        <v>2680.1221261073588</v>
      </c>
      <c r="H18" s="10">
        <f>Tabella211[[#This Row],[Cum_fit]]*EXP(-(Tabella211[[#This Row],[Day]]-t0)/w)/w</f>
        <v>846.50062318094228</v>
      </c>
      <c r="I18" s="56">
        <f>Tabella211[[#This Row],[Cum_fit]]*NOT(ISBLANK(Tabella211[[#This Row],[Cum_confirmed]]))</f>
        <v>2680.1221261073588</v>
      </c>
      <c r="J18" s="10">
        <f>Tabella211[[#This Row],[Cum_fit]]+CI</f>
        <v>4895.4692028355603</v>
      </c>
      <c r="K18" s="10">
        <f>MAX(Tabella211[[#This Row],[Cum_fit]]-CI,0)</f>
        <v>464.77504937915683</v>
      </c>
      <c r="L18" s="54">
        <f>'dpc-covid19-ita-andamento-naz'!G12</f>
        <v>3296</v>
      </c>
      <c r="M18" s="54">
        <f>'dpc-covid19-ita-andamento-naz'!H12</f>
        <v>590</v>
      </c>
      <c r="N18" s="54">
        <f>Tabella211[[#This Row],[New_cases_fit]]-Tabella211[[#This Row],[New_Recovered_fit]]-Tabella211[[#This Row],[New_Deaths_fit]]</f>
        <v>709.64291174668108</v>
      </c>
      <c r="O18" s="10">
        <f>'dpc-covid19-ita-andamento-naz'!J12</f>
        <v>414</v>
      </c>
      <c r="P18" s="48">
        <f>Tabella211[[#This Row],[Cum_recov]]-O17</f>
        <v>138</v>
      </c>
      <c r="Q18" s="60">
        <f>Tabella211[[#This Row],[Cum_recov]]*NOT(ISBLANK(Tabella211[[#This Row],[Cum_recov]]))</f>
        <v>414</v>
      </c>
      <c r="R18" s="50">
        <f>Kr*EXP(-EXP(-(Tabella211[[#This Row],[Day]]-t0r)/wr))</f>
        <v>551.51154386980943</v>
      </c>
      <c r="S18" s="10">
        <f>Tabella211[[#This Row],[Cum_R_fit]]*EXP(-(Tabella211[[#This Row],[Day]]-t0r)/wr)/wr</f>
        <v>105.02591389800223</v>
      </c>
      <c r="T18" s="60">
        <f>Tabella211[[#This Row],[Cum_R_fit]]*NOT(ISBLANK(Tabella211[[#This Row],[Cum_recov]]))</f>
        <v>551.51154386980943</v>
      </c>
      <c r="U18" s="10">
        <f>Tabella211[[#This Row],[Cum_R_fit]]+CIr</f>
        <v>1343.2218565302946</v>
      </c>
      <c r="V18" s="10">
        <f>MAX(Tabella211[[#This Row],[Cum_R_fit]]-CIr,0)</f>
        <v>0</v>
      </c>
      <c r="W18" s="10">
        <f>'dpc-covid19-ita-andamento-naz'!K12</f>
        <v>148</v>
      </c>
      <c r="X18" s="26">
        <f>Tabella211[[#This Row],[Cum_deaths]]-W17</f>
        <v>41</v>
      </c>
      <c r="Y18" s="65">
        <f>Tabella211[[#This Row],[Cum_deaths]]*NOT(ISBLANK(Tabella211[[#This Row],[Cum_deaths]]))</f>
        <v>148</v>
      </c>
      <c r="Z18" s="50">
        <f>Kh*EXP(-EXP(-(Tabella211[[#This Row],[Day]]-t0h)/wh))</f>
        <v>68.843865048820206</v>
      </c>
      <c r="AA18" s="10">
        <f>Tabella211[[#This Row],[Cum_D_fit]]*EXP(-(Tabella211[[#This Row],[Day]]-t0h)/wh)/wh</f>
        <v>31.831797536258907</v>
      </c>
      <c r="AB18" s="65">
        <f>Tabella211[[#This Row],[Cum_D_fit]]*NOT(ISBLANK(Tabella211[[#This Row],[Cum_deaths]]))</f>
        <v>68.843865048820206</v>
      </c>
      <c r="AC18" s="10">
        <f>Tabella211[[#This Row],[Cum_D_fit]]+CIh</f>
        <v>282.48339432302549</v>
      </c>
      <c r="AD18" s="10">
        <f>MAX(Tabella211[[#This Row],[Cum_D_fit]]-CIh,0)</f>
        <v>0</v>
      </c>
      <c r="AE18" s="1"/>
      <c r="AF18" s="68"/>
      <c r="AG18" s="77"/>
      <c r="AT18" s="107">
        <f>MAX($AG$26)</f>
        <v>0.99905469366792921</v>
      </c>
    </row>
    <row r="19" spans="2:46" ht="19.2" customHeight="1" x14ac:dyDescent="0.3">
      <c r="B19" s="9">
        <v>43896</v>
      </c>
      <c r="C19" s="4">
        <f t="shared" si="0"/>
        <v>11</v>
      </c>
      <c r="D19" s="10">
        <f>'dpc-covid19-ita-andamento-naz'!L13</f>
        <v>4636</v>
      </c>
      <c r="E19" s="30">
        <f>'dpc-covid19-ita-andamento-naz'!I13</f>
        <v>778</v>
      </c>
      <c r="F19" s="56">
        <f>Tabella211[[#This Row],[Cum_confirmed]]*NOT(ISBLANK(Tabella211[[#This Row],[Cum_confirmed]]))</f>
        <v>4636</v>
      </c>
      <c r="G19" s="50">
        <f>K*EXP(-EXP(-(Tabella211[[#This Row],[Day]]-t0)/w))</f>
        <v>3634.425517563388</v>
      </c>
      <c r="H19" s="10">
        <f>Tabella211[[#This Row],[Cum_fit]]*EXP(-(Tabella211[[#This Row],[Day]]-t0)/w)/w</f>
        <v>1067.0817404258862</v>
      </c>
      <c r="I19" s="56">
        <f>Tabella211[[#This Row],[Cum_fit]]*NOT(ISBLANK(Tabella211[[#This Row],[Cum_confirmed]]))</f>
        <v>3634.425517563388</v>
      </c>
      <c r="J19" s="10">
        <f>Tabella211[[#This Row],[Cum_fit]]+CI</f>
        <v>5849.7725942915895</v>
      </c>
      <c r="K19" s="10">
        <f>MAX(Tabella211[[#This Row],[Cum_fit]]-CI,0)</f>
        <v>1419.078440835186</v>
      </c>
      <c r="L19" s="54">
        <f>'dpc-covid19-ita-andamento-naz'!G13</f>
        <v>3916</v>
      </c>
      <c r="M19" s="54">
        <f>'dpc-covid19-ita-andamento-naz'!H13</f>
        <v>620</v>
      </c>
      <c r="N19" s="54">
        <f>Tabella211[[#This Row],[New_cases_fit]]-Tabella211[[#This Row],[New_Recovered_fit]]-Tabella211[[#This Row],[New_Deaths_fit]]</f>
        <v>898.5566861831104</v>
      </c>
      <c r="O19" s="10">
        <f>'dpc-covid19-ita-andamento-naz'!J13</f>
        <v>523</v>
      </c>
      <c r="P19" s="48">
        <f>Tabella211[[#This Row],[Cum_recov]]-O18</f>
        <v>109</v>
      </c>
      <c r="Q19" s="60">
        <f>Tabella211[[#This Row],[Cum_recov]]*NOT(ISBLANK(Tabella211[[#This Row],[Cum_recov]]))</f>
        <v>523</v>
      </c>
      <c r="R19" s="50">
        <f>Kr*EXP(-EXP(-(Tabella211[[#This Row],[Day]]-t0r)/wr))</f>
        <v>665.13007854939519</v>
      </c>
      <c r="S19" s="10">
        <f>Tabella211[[#This Row],[Cum_R_fit]]*EXP(-(Tabella211[[#This Row],[Day]]-t0r)/wr)/wr</f>
        <v>122.54421744035858</v>
      </c>
      <c r="T19" s="60">
        <f>Tabella211[[#This Row],[Cum_R_fit]]*NOT(ISBLANK(Tabella211[[#This Row],[Cum_recov]]))</f>
        <v>665.13007854939519</v>
      </c>
      <c r="U19" s="10">
        <f>Tabella211[[#This Row],[Cum_R_fit]]+CIr</f>
        <v>1456.8403912098804</v>
      </c>
      <c r="V19" s="10">
        <f>MAX(Tabella211[[#This Row],[Cum_R_fit]]-CIr,0)</f>
        <v>0</v>
      </c>
      <c r="W19" s="10">
        <f>'dpc-covid19-ita-andamento-naz'!K13</f>
        <v>197</v>
      </c>
      <c r="X19" s="26">
        <f>Tabella211[[#This Row],[Cum_deaths]]-W18</f>
        <v>49</v>
      </c>
      <c r="Y19" s="65">
        <f>Tabella211[[#This Row],[Cum_deaths]]*NOT(ISBLANK(Tabella211[[#This Row],[Cum_deaths]]))</f>
        <v>197</v>
      </c>
      <c r="Z19" s="50">
        <f>Kh*EXP(-EXP(-(Tabella211[[#This Row],[Day]]-t0h)/wh))</f>
        <v>107.42757679522762</v>
      </c>
      <c r="AA19" s="10">
        <f>Tabella211[[#This Row],[Cum_D_fit]]*EXP(-(Tabella211[[#This Row],[Day]]-t0h)/wh)/wh</f>
        <v>45.98083680241723</v>
      </c>
      <c r="AB19" s="65">
        <f>Tabella211[[#This Row],[Cum_D_fit]]*NOT(ISBLANK(Tabella211[[#This Row],[Cum_deaths]]))</f>
        <v>107.42757679522762</v>
      </c>
      <c r="AC19" s="10">
        <f>Tabella211[[#This Row],[Cum_D_fit]]+CIh</f>
        <v>321.06710606943295</v>
      </c>
      <c r="AD19" s="10">
        <f>MAX(Tabella211[[#This Row],[Cum_D_fit]]-CIh,0)</f>
        <v>0</v>
      </c>
      <c r="AE19" s="1"/>
      <c r="AF19" s="59" t="s">
        <v>81</v>
      </c>
      <c r="AG19" s="75" t="s">
        <v>97</v>
      </c>
      <c r="AT19" s="108">
        <f>COUNT($AG$20,$AG$21,$AG$22)</f>
        <v>3</v>
      </c>
    </row>
    <row r="20" spans="2:46" x14ac:dyDescent="0.3">
      <c r="B20" s="9">
        <v>43897</v>
      </c>
      <c r="C20" s="4">
        <f t="shared" si="0"/>
        <v>12</v>
      </c>
      <c r="D20" s="10">
        <f>'dpc-covid19-ita-andamento-naz'!L14</f>
        <v>5883</v>
      </c>
      <c r="E20" s="30">
        <f>'dpc-covid19-ita-andamento-naz'!I14</f>
        <v>1247</v>
      </c>
      <c r="F20" s="56">
        <f>Tabella211[[#This Row],[Cum_confirmed]]*NOT(ISBLANK(Tabella211[[#This Row],[Cum_confirmed]]))</f>
        <v>5883</v>
      </c>
      <c r="G20" s="50">
        <f>K*EXP(-EXP(-(Tabella211[[#This Row],[Day]]-t0)/w))</f>
        <v>4823.9457290044629</v>
      </c>
      <c r="H20" s="10">
        <f>Tabella211[[#This Row],[Cum_fit]]*EXP(-(Tabella211[[#This Row],[Day]]-t0)/w)/w</f>
        <v>1316.5990761749904</v>
      </c>
      <c r="I20" s="56">
        <f>Tabella211[[#This Row],[Cum_fit]]*NOT(ISBLANK(Tabella211[[#This Row],[Cum_confirmed]]))</f>
        <v>4823.9457290044629</v>
      </c>
      <c r="J20" s="10">
        <f>Tabella211[[#This Row],[Cum_fit]]+CI</f>
        <v>7039.2928057326644</v>
      </c>
      <c r="K20" s="10">
        <f>MAX(Tabella211[[#This Row],[Cum_fit]]-CI,0)</f>
        <v>2608.598652276261</v>
      </c>
      <c r="L20" s="54">
        <f>'dpc-covid19-ita-andamento-naz'!G14</f>
        <v>5061</v>
      </c>
      <c r="M20" s="54">
        <f>'dpc-covid19-ita-andamento-naz'!H14</f>
        <v>1145</v>
      </c>
      <c r="N20" s="54">
        <f>Tabella211[[#This Row],[New_cases_fit]]-Tabella211[[#This Row],[New_Recovered_fit]]-Tabella211[[#This Row],[New_Deaths_fit]]</f>
        <v>1110.224023114281</v>
      </c>
      <c r="O20" s="10">
        <f>'dpc-covid19-ita-andamento-naz'!J14</f>
        <v>589</v>
      </c>
      <c r="P20" s="48">
        <f>Tabella211[[#This Row],[Cum_recov]]-O19</f>
        <v>66</v>
      </c>
      <c r="Q20" s="60">
        <f>Tabella211[[#This Row],[Cum_recov]]*NOT(ISBLANK(Tabella211[[#This Row],[Cum_recov]]))</f>
        <v>589</v>
      </c>
      <c r="R20" s="50">
        <f>Kr*EXP(-EXP(-(Tabella211[[#This Row],[Day]]-t0r)/wr))</f>
        <v>797.28470556597097</v>
      </c>
      <c r="S20" s="10">
        <f>Tabella211[[#This Row],[Cum_R_fit]]*EXP(-(Tabella211[[#This Row],[Day]]-t0r)/wr)/wr</f>
        <v>142.11634859459738</v>
      </c>
      <c r="T20" s="60">
        <f>Tabella211[[#This Row],[Cum_R_fit]]*NOT(ISBLANK(Tabella211[[#This Row],[Cum_recov]]))</f>
        <v>797.28470556597097</v>
      </c>
      <c r="U20" s="10">
        <f>Tabella211[[#This Row],[Cum_R_fit]]+CIr</f>
        <v>1588.9950182264561</v>
      </c>
      <c r="V20" s="10">
        <f>MAX(Tabella211[[#This Row],[Cum_R_fit]]-CIr,0)</f>
        <v>5.5743929054857517</v>
      </c>
      <c r="W20" s="10">
        <f>'dpc-covid19-ita-andamento-naz'!K14</f>
        <v>233</v>
      </c>
      <c r="X20" s="26">
        <f>Tabella211[[#This Row],[Cum_deaths]]-W19</f>
        <v>36</v>
      </c>
      <c r="Y20" s="65">
        <f>Tabella211[[#This Row],[Cum_deaths]]*NOT(ISBLANK(Tabella211[[#This Row],[Cum_deaths]]))</f>
        <v>233</v>
      </c>
      <c r="Z20" s="50">
        <f>Kh*EXP(-EXP(-(Tabella211[[#This Row],[Day]]-t0h)/wh))</f>
        <v>162.18313925623218</v>
      </c>
      <c r="AA20" s="10">
        <f>Tabella211[[#This Row],[Cum_D_fit]]*EXP(-(Tabella211[[#This Row],[Day]]-t0h)/wh)/wh</f>
        <v>64.25870446611205</v>
      </c>
      <c r="AB20" s="65">
        <f>Tabella211[[#This Row],[Cum_D_fit]]*NOT(ISBLANK(Tabella211[[#This Row],[Cum_deaths]]))</f>
        <v>162.18313925623218</v>
      </c>
      <c r="AC20" s="10">
        <f>Tabella211[[#This Row],[Cum_D_fit]]+CIh</f>
        <v>375.82266853043745</v>
      </c>
      <c r="AD20" s="10">
        <f>MAX(Tabella211[[#This Row],[Cum_D_fit]]-CIh,0)</f>
        <v>0</v>
      </c>
      <c r="AE20" s="1"/>
      <c r="AF20" s="124" t="s">
        <v>0</v>
      </c>
      <c r="AG20" s="125">
        <f>K-Kh</f>
        <v>175210.61070304521</v>
      </c>
      <c r="AT20" s="108">
        <f>{32767;32767;0.000001;0;FALSE;FALSE;TRUE;1;1;1;0.0001;TRUE}</f>
        <v>32767</v>
      </c>
    </row>
    <row r="21" spans="2:46" ht="15.6" x14ac:dyDescent="0.35">
      <c r="B21" s="22">
        <v>43898</v>
      </c>
      <c r="C21" s="4">
        <f t="shared" si="0"/>
        <v>13</v>
      </c>
      <c r="D21" s="10">
        <f>'dpc-covid19-ita-andamento-naz'!L15</f>
        <v>7375</v>
      </c>
      <c r="E21" s="30">
        <f>'dpc-covid19-ita-andamento-naz'!I15</f>
        <v>1492</v>
      </c>
      <c r="F21" s="56">
        <f>Tabella211[[#This Row],[Cum_confirmed]]*NOT(ISBLANK(Tabella211[[#This Row],[Cum_confirmed]]))</f>
        <v>7375</v>
      </c>
      <c r="G21" s="50">
        <f>K*EXP(-EXP(-(Tabella211[[#This Row],[Day]]-t0)/w))</f>
        <v>6276.3967146554278</v>
      </c>
      <c r="H21" s="10">
        <f>Tabella211[[#This Row],[Cum_fit]]*EXP(-(Tabella211[[#This Row],[Day]]-t0)/w)/w</f>
        <v>1592.3947483089371</v>
      </c>
      <c r="I21" s="56">
        <f>Tabella211[[#This Row],[Cum_fit]]*NOT(ISBLANK(Tabella211[[#This Row],[Cum_confirmed]]))</f>
        <v>6276.3967146554278</v>
      </c>
      <c r="J21" s="10">
        <f>Tabella211[[#This Row],[Cum_fit]]+CI</f>
        <v>8491.7437913836293</v>
      </c>
      <c r="K21" s="10">
        <f>MAX(Tabella211[[#This Row],[Cum_fit]]-CI,0)</f>
        <v>4061.0496379272258</v>
      </c>
      <c r="L21" s="54">
        <f>'dpc-covid19-ita-andamento-naz'!G15</f>
        <v>6387</v>
      </c>
      <c r="M21" s="54">
        <f>'dpc-covid19-ita-andamento-naz'!H15</f>
        <v>1326</v>
      </c>
      <c r="N21" s="54">
        <f>Tabella211[[#This Row],[New_cases_fit]]-Tabella211[[#This Row],[New_Recovered_fit]]-Tabella211[[#This Row],[New_Deaths_fit]]</f>
        <v>1341.4535657472397</v>
      </c>
      <c r="O21" s="10">
        <f>'dpc-covid19-ita-andamento-naz'!J15</f>
        <v>622</v>
      </c>
      <c r="P21" s="48">
        <f>Tabella211[[#This Row],[Cum_recov]]-O20</f>
        <v>33</v>
      </c>
      <c r="Q21" s="60">
        <f>Tabella211[[#This Row],[Cum_recov]]*NOT(ISBLANK(Tabella211[[#This Row],[Cum_recov]]))</f>
        <v>622</v>
      </c>
      <c r="R21" s="50">
        <f>Kr*EXP(-EXP(-(Tabella211[[#This Row],[Day]]-t0r)/wr))</f>
        <v>950.08212710664395</v>
      </c>
      <c r="S21" s="10">
        <f>Tabella211[[#This Row],[Cum_R_fit]]*EXP(-(Tabella211[[#This Row],[Day]]-t0r)/wr)/wr</f>
        <v>163.84610760272653</v>
      </c>
      <c r="T21" s="60">
        <f>Tabella211[[#This Row],[Cum_R_fit]]*NOT(ISBLANK(Tabella211[[#This Row],[Cum_recov]]))</f>
        <v>950.08212710664395</v>
      </c>
      <c r="U21" s="10">
        <f>Tabella211[[#This Row],[Cum_R_fit]]+CIr</f>
        <v>1741.7924397671291</v>
      </c>
      <c r="V21" s="10">
        <f>MAX(Tabella211[[#This Row],[Cum_R_fit]]-CIr,0)</f>
        <v>158.37181444615874</v>
      </c>
      <c r="W21" s="10">
        <f>'dpc-covid19-ita-andamento-naz'!K15</f>
        <v>366</v>
      </c>
      <c r="X21" s="26">
        <f>Tabella211[[#This Row],[Cum_deaths]]-W20</f>
        <v>133</v>
      </c>
      <c r="Y21" s="65">
        <f>Tabella211[[#This Row],[Cum_deaths]]*NOT(ISBLANK(Tabella211[[#This Row],[Cum_deaths]]))</f>
        <v>366</v>
      </c>
      <c r="Z21" s="50">
        <f>Kh*EXP(-EXP(-(Tabella211[[#This Row],[Day]]-t0h)/wh))</f>
        <v>237.46639679386632</v>
      </c>
      <c r="AA21" s="10">
        <f>Tabella211[[#This Row],[Cum_D_fit]]*EXP(-(Tabella211[[#This Row],[Day]]-t0h)/wh)/wh</f>
        <v>87.095074958970727</v>
      </c>
      <c r="AB21" s="65">
        <f>Tabella211[[#This Row],[Cum_D_fit]]*NOT(ISBLANK(Tabella211[[#This Row],[Cum_deaths]]))</f>
        <v>237.46639679386632</v>
      </c>
      <c r="AC21" s="10">
        <f>Tabella211[[#This Row],[Cum_D_fit]]+CIh</f>
        <v>451.10592606807165</v>
      </c>
      <c r="AD21" s="10">
        <f>MAX(Tabella211[[#This Row],[Cum_D_fit]]-CIh,0)</f>
        <v>23.826867519661022</v>
      </c>
      <c r="AE21" s="1"/>
      <c r="AF21" s="124" t="s">
        <v>112</v>
      </c>
      <c r="AG21" s="126">
        <v>62.976020259755963</v>
      </c>
      <c r="AT21" s="108">
        <f>{0;0;1;100;0;FALSE;TRUE;0.075;0;0;FALSE;30}</f>
        <v>0</v>
      </c>
    </row>
    <row r="22" spans="2:46" x14ac:dyDescent="0.3">
      <c r="B22" s="9">
        <v>43899</v>
      </c>
      <c r="C22" s="4">
        <f t="shared" si="0"/>
        <v>14</v>
      </c>
      <c r="D22" s="10">
        <f>'dpc-covid19-ita-andamento-naz'!L16</f>
        <v>9172</v>
      </c>
      <c r="E22" s="30">
        <f>'dpc-covid19-ita-andamento-naz'!I16</f>
        <v>1797</v>
      </c>
      <c r="F22" s="56">
        <f>Tabella211[[#This Row],[Cum_confirmed]]*NOT(ISBLANK(Tabella211[[#This Row],[Cum_confirmed]]))</f>
        <v>9172</v>
      </c>
      <c r="G22" s="50">
        <f>K*EXP(-EXP(-(Tabella211[[#This Row],[Day]]-t0)/w))</f>
        <v>8016.2156255800492</v>
      </c>
      <c r="H22" s="10">
        <f>Tabella211[[#This Row],[Cum_fit]]*EXP(-(Tabella211[[#This Row],[Day]]-t0)/w)/w</f>
        <v>1890.5969730845879</v>
      </c>
      <c r="I22" s="56">
        <f>Tabella211[[#This Row],[Cum_fit]]*NOT(ISBLANK(Tabella211[[#This Row],[Cum_confirmed]]))</f>
        <v>8016.2156255800492</v>
      </c>
      <c r="J22" s="10">
        <f>Tabella211[[#This Row],[Cum_fit]]+CI</f>
        <v>10231.562702308251</v>
      </c>
      <c r="K22" s="10">
        <f>MAX(Tabella211[[#This Row],[Cum_fit]]-CI,0)</f>
        <v>5800.8685488518477</v>
      </c>
      <c r="L22" s="54">
        <f>'dpc-covid19-ita-andamento-naz'!G16</f>
        <v>7985</v>
      </c>
      <c r="M22" s="54">
        <f>'dpc-covid19-ita-andamento-naz'!H16</f>
        <v>1598</v>
      </c>
      <c r="N22" s="54">
        <f>Tabella211[[#This Row],[New_cases_fit]]-Tabella211[[#This Row],[New_Recovered_fit]]-Tabella211[[#This Row],[New_Deaths_fit]]</f>
        <v>1588.0232630837438</v>
      </c>
      <c r="O22" s="10">
        <f>'dpc-covid19-ita-andamento-naz'!J16</f>
        <v>724</v>
      </c>
      <c r="P22" s="48">
        <f>Tabella211[[#This Row],[Cum_recov]]-O21</f>
        <v>102</v>
      </c>
      <c r="Q22" s="60">
        <f>Tabella211[[#This Row],[Cum_recov]]*NOT(ISBLANK(Tabella211[[#This Row],[Cum_recov]]))</f>
        <v>724</v>
      </c>
      <c r="R22" s="50">
        <f>Kr*EXP(-EXP(-(Tabella211[[#This Row],[Day]]-t0r)/wr))</f>
        <v>1125.7266381314669</v>
      </c>
      <c r="S22" s="10">
        <f>Tabella211[[#This Row],[Cum_R_fit]]*EXP(-(Tabella211[[#This Row],[Day]]-t0r)/wr)/wr</f>
        <v>187.82452361828987</v>
      </c>
      <c r="T22" s="60">
        <f>Tabella211[[#This Row],[Cum_R_fit]]*NOT(ISBLANK(Tabella211[[#This Row],[Cum_recov]]))</f>
        <v>1125.7266381314669</v>
      </c>
      <c r="U22" s="10">
        <f>Tabella211[[#This Row],[Cum_R_fit]]+CIr</f>
        <v>1917.4369507919521</v>
      </c>
      <c r="V22" s="10">
        <f>MAX(Tabella211[[#This Row],[Cum_R_fit]]-CIr,0)</f>
        <v>334.01632547098166</v>
      </c>
      <c r="W22" s="10">
        <f>'dpc-covid19-ita-andamento-naz'!K16</f>
        <v>463</v>
      </c>
      <c r="X22" s="26">
        <f>Tabella211[[#This Row],[Cum_deaths]]-W21</f>
        <v>97</v>
      </c>
      <c r="Y22" s="65">
        <f>Tabella211[[#This Row],[Cum_deaths]]*NOT(ISBLANK(Tabella211[[#This Row],[Cum_deaths]]))</f>
        <v>463</v>
      </c>
      <c r="Z22" s="50">
        <f>Kh*EXP(-EXP(-(Tabella211[[#This Row],[Day]]-t0h)/wh))</f>
        <v>337.98156165544094</v>
      </c>
      <c r="AA22" s="10">
        <f>Tabella211[[#This Row],[Cum_D_fit]]*EXP(-(Tabella211[[#This Row],[Day]]-t0h)/wh)/wh</f>
        <v>114.74918638255416</v>
      </c>
      <c r="AB22" s="65">
        <f>Tabella211[[#This Row],[Cum_D_fit]]*NOT(ISBLANK(Tabella211[[#This Row],[Cum_deaths]]))</f>
        <v>337.98156165544094</v>
      </c>
      <c r="AC22" s="10">
        <f>Tabella211[[#This Row],[Cum_D_fit]]+CIh</f>
        <v>551.62109092964624</v>
      </c>
      <c r="AD22" s="10">
        <f>MAX(Tabella211[[#This Row],[Cum_D_fit]]-CIh,0)</f>
        <v>124.34203238123564</v>
      </c>
      <c r="AE22" s="1"/>
      <c r="AF22" s="124" t="s">
        <v>1</v>
      </c>
      <c r="AG22" s="126">
        <v>30.252560496268416</v>
      </c>
      <c r="AT22" s="108">
        <f>{32767;32767;0.000001;0;FALSE;FALSE;FALSE;1;2;1;0.0001;TRUE}</f>
        <v>32767</v>
      </c>
    </row>
    <row r="23" spans="2:46" ht="15" thickBot="1" x14ac:dyDescent="0.35">
      <c r="B23" s="22">
        <v>43900</v>
      </c>
      <c r="C23" s="4">
        <f t="shared" si="0"/>
        <v>15</v>
      </c>
      <c r="D23" s="10">
        <f>'dpc-covid19-ita-andamento-naz'!L17</f>
        <v>10149</v>
      </c>
      <c r="E23" s="30">
        <f>'dpc-covid19-ita-andamento-naz'!I17</f>
        <v>977</v>
      </c>
      <c r="F23" s="56">
        <f>Tabella211[[#This Row],[Cum_confirmed]]*NOT(ISBLANK(Tabella211[[#This Row],[Cum_confirmed]]))</f>
        <v>10149</v>
      </c>
      <c r="G23" s="50">
        <f>K*EXP(-EXP(-(Tabella211[[#This Row],[Day]]-t0)/w))</f>
        <v>10063.433755753209</v>
      </c>
      <c r="H23" s="10">
        <f>Tabella211[[#This Row],[Cum_fit]]*EXP(-(Tabella211[[#This Row],[Day]]-t0)/w)/w</f>
        <v>2206.3020937589085</v>
      </c>
      <c r="I23" s="56">
        <f>Tabella211[[#This Row],[Cum_fit]]*NOT(ISBLANK(Tabella211[[#This Row],[Cum_confirmed]]))</f>
        <v>10063.433755753209</v>
      </c>
      <c r="J23" s="10">
        <f>Tabella211[[#This Row],[Cum_fit]]+CI</f>
        <v>12278.78083248141</v>
      </c>
      <c r="K23" s="10">
        <f>MAX(Tabella211[[#This Row],[Cum_fit]]-CI,0)</f>
        <v>7848.0866790250075</v>
      </c>
      <c r="L23" s="54">
        <f>'dpc-covid19-ita-andamento-naz'!G17</f>
        <v>8514</v>
      </c>
      <c r="M23" s="54">
        <f>'dpc-covid19-ita-andamento-naz'!H17</f>
        <v>529</v>
      </c>
      <c r="N23" s="54">
        <f>Tabella211[[#This Row],[New_cases_fit]]-Tabella211[[#This Row],[New_Recovered_fit]]-Tabella211[[#This Row],[New_Deaths_fit]]</f>
        <v>1844.9042394276082</v>
      </c>
      <c r="O23" s="10">
        <f>'dpc-covid19-ita-andamento-naz'!J17</f>
        <v>1004</v>
      </c>
      <c r="P23" s="48">
        <f>Tabella211[[#This Row],[Cum_recov]]-O22</f>
        <v>280</v>
      </c>
      <c r="Q23" s="60">
        <f>Tabella211[[#This Row],[Cum_recov]]*NOT(ISBLANK(Tabella211[[#This Row],[Cum_recov]]))</f>
        <v>1004</v>
      </c>
      <c r="R23" s="50">
        <f>Kr*EXP(-EXP(-(Tabella211[[#This Row],[Day]]-t0r)/wr))</f>
        <v>1326.5063123321288</v>
      </c>
      <c r="S23" s="10">
        <f>Tabella211[[#This Row],[Cum_R_fit]]*EXP(-(Tabella211[[#This Row],[Day]]-t0r)/wr)/wr</f>
        <v>214.12779595506279</v>
      </c>
      <c r="T23" s="60">
        <f>Tabella211[[#This Row],[Cum_R_fit]]*NOT(ISBLANK(Tabella211[[#This Row],[Cum_recov]]))</f>
        <v>1326.5063123321288</v>
      </c>
      <c r="U23" s="10">
        <f>Tabella211[[#This Row],[Cum_R_fit]]+CIr</f>
        <v>2118.216624992614</v>
      </c>
      <c r="V23" s="10">
        <f>MAX(Tabella211[[#This Row],[Cum_R_fit]]-CIr,0)</f>
        <v>534.79599967164359</v>
      </c>
      <c r="W23" s="10">
        <f>'dpc-covid19-ita-andamento-naz'!K17</f>
        <v>631</v>
      </c>
      <c r="X23" s="26">
        <f>Tabella211[[#This Row],[Cum_deaths]]-W22</f>
        <v>168</v>
      </c>
      <c r="Y23" s="65">
        <f>Tabella211[[#This Row],[Cum_deaths]]*NOT(ISBLANK(Tabella211[[#This Row],[Cum_deaths]]))</f>
        <v>631</v>
      </c>
      <c r="Z23" s="50">
        <f>Kh*EXP(-EXP(-(Tabella211[[#This Row],[Day]]-t0h)/wh))</f>
        <v>468.58963776790205</v>
      </c>
      <c r="AA23" s="10">
        <f>Tabella211[[#This Row],[Cum_D_fit]]*EXP(-(Tabella211[[#This Row],[Day]]-t0h)/wh)/wh</f>
        <v>147.2700583762375</v>
      </c>
      <c r="AB23" s="65">
        <f>Tabella211[[#This Row],[Cum_D_fit]]*NOT(ISBLANK(Tabella211[[#This Row],[Cum_deaths]]))</f>
        <v>468.58963776790205</v>
      </c>
      <c r="AC23" s="10">
        <f>Tabella211[[#This Row],[Cum_D_fit]]+CIh</f>
        <v>682.22916704210729</v>
      </c>
      <c r="AD23" s="10">
        <f>MAX(Tabella211[[#This Row],[Cum_D_fit]]-CIh,0)</f>
        <v>254.95010849369675</v>
      </c>
      <c r="AE23" s="1"/>
      <c r="AF23" s="127" t="s">
        <v>2</v>
      </c>
      <c r="AG23" s="128">
        <f>AVERAGE(Tabella211[Cum_recov])</f>
        <v>9596.52</v>
      </c>
      <c r="AT23" s="109">
        <f>{0;0;1;100;0;FALSE;FALSE;0.075;0;0;FALSE;30}</f>
        <v>0</v>
      </c>
    </row>
    <row r="24" spans="2:46" x14ac:dyDescent="0.3">
      <c r="B24" s="9">
        <v>43901</v>
      </c>
      <c r="C24" s="4">
        <f t="shared" si="0"/>
        <v>16</v>
      </c>
      <c r="D24" s="10">
        <f>'dpc-covid19-ita-andamento-naz'!L18</f>
        <v>12462</v>
      </c>
      <c r="E24" s="30">
        <f>'dpc-covid19-ita-andamento-naz'!I18</f>
        <v>2313</v>
      </c>
      <c r="F24" s="56">
        <f>Tabella211[[#This Row],[Cum_confirmed]]*NOT(ISBLANK(Tabella211[[#This Row],[Cum_confirmed]]))</f>
        <v>12462</v>
      </c>
      <c r="G24" s="50">
        <f>K*EXP(-EXP(-(Tabella211[[#This Row],[Day]]-t0)/w))</f>
        <v>12432.76281288702</v>
      </c>
      <c r="H24" s="10">
        <f>Tabella211[[#This Row],[Cum_fit]]*EXP(-(Tabella211[[#This Row],[Day]]-t0)/w)/w</f>
        <v>2533.8193642527394</v>
      </c>
      <c r="I24" s="56">
        <f>Tabella211[[#This Row],[Cum_fit]]*NOT(ISBLANK(Tabella211[[#This Row],[Cum_confirmed]]))</f>
        <v>12432.76281288702</v>
      </c>
      <c r="J24" s="10">
        <f>Tabella211[[#This Row],[Cum_fit]]+CI</f>
        <v>14648.109889615222</v>
      </c>
      <c r="K24" s="10">
        <f>MAX(Tabella211[[#This Row],[Cum_fit]]-CI,0)</f>
        <v>10217.415736158819</v>
      </c>
      <c r="L24" s="54">
        <f>'dpc-covid19-ita-andamento-naz'!G18</f>
        <v>10590</v>
      </c>
      <c r="M24" s="54">
        <f>'dpc-covid19-ita-andamento-naz'!H18</f>
        <v>2076</v>
      </c>
      <c r="N24" s="54">
        <f>Tabella211[[#This Row],[New_cases_fit]]-Tabella211[[#This Row],[New_Recovered_fit]]-Tabella211[[#This Row],[New_Deaths_fit]]</f>
        <v>2106.5301745894994</v>
      </c>
      <c r="O24" s="10">
        <f>'dpc-covid19-ita-andamento-naz'!J18</f>
        <v>1045</v>
      </c>
      <c r="P24" s="48">
        <f>Tabella211[[#This Row],[Cum_recov]]-O23</f>
        <v>41</v>
      </c>
      <c r="Q24" s="60">
        <f>Tabella211[[#This Row],[Cum_recov]]*NOT(ISBLANK(Tabella211[[#This Row],[Cum_recov]]))</f>
        <v>1045</v>
      </c>
      <c r="R24" s="50">
        <f>Kr*EXP(-EXP(-(Tabella211[[#This Row],[Day]]-t0r)/wr))</f>
        <v>1554.7772188436115</v>
      </c>
      <c r="S24" s="10">
        <f>Tabella211[[#This Row],[Cum_R_fit]]*EXP(-(Tabella211[[#This Row],[Day]]-t0r)/wr)/wr</f>
        <v>242.81542221521863</v>
      </c>
      <c r="T24" s="60">
        <f>Tabella211[[#This Row],[Cum_R_fit]]*NOT(ISBLANK(Tabella211[[#This Row],[Cum_recov]]))</f>
        <v>1554.7772188436115</v>
      </c>
      <c r="U24" s="10">
        <f>Tabella211[[#This Row],[Cum_R_fit]]+CIr</f>
        <v>2346.4875315040968</v>
      </c>
      <c r="V24" s="10">
        <f>MAX(Tabella211[[#This Row],[Cum_R_fit]]-CIr,0)</f>
        <v>763.06690618312632</v>
      </c>
      <c r="W24" s="10">
        <f>'dpc-covid19-ita-andamento-naz'!K18</f>
        <v>827</v>
      </c>
      <c r="X24" s="26">
        <f>Tabella211[[#This Row],[Cum_deaths]]-W23</f>
        <v>196</v>
      </c>
      <c r="Y24" s="65">
        <f>Tabella211[[#This Row],[Cum_deaths]]*NOT(ISBLANK(Tabella211[[#This Row],[Cum_deaths]]))</f>
        <v>827</v>
      </c>
      <c r="Z24" s="50">
        <f>Kh*EXP(-EXP(-(Tabella211[[#This Row],[Day]]-t0h)/wh))</f>
        <v>634.08527368116449</v>
      </c>
      <c r="AA24" s="10">
        <f>Tabella211[[#This Row],[Cum_D_fit]]*EXP(-(Tabella211[[#This Row],[Day]]-t0h)/wh)/wh</f>
        <v>184.47376744802105</v>
      </c>
      <c r="AB24" s="65">
        <f>Tabella211[[#This Row],[Cum_D_fit]]*NOT(ISBLANK(Tabella211[[#This Row],[Cum_deaths]]))</f>
        <v>634.08527368116449</v>
      </c>
      <c r="AC24" s="10">
        <f>Tabella211[[#This Row],[Cum_D_fit]]+CIh</f>
        <v>847.7248029553698</v>
      </c>
      <c r="AD24" s="10">
        <f>MAX(Tabella211[[#This Row],[Cum_D_fit]]-CIh,0)</f>
        <v>420.44574440695919</v>
      </c>
      <c r="AE24" s="1"/>
      <c r="AF24" s="127" t="s">
        <v>3</v>
      </c>
      <c r="AG24" s="128">
        <f>COUNT(Tabella211[Cum_recov])-COUNT(AG20:AG22)</f>
        <v>47</v>
      </c>
      <c r="AT24" s="113"/>
    </row>
    <row r="25" spans="2:46" x14ac:dyDescent="0.3">
      <c r="B25" s="22">
        <v>43902</v>
      </c>
      <c r="C25" s="4">
        <f t="shared" si="0"/>
        <v>17</v>
      </c>
      <c r="D25" s="10">
        <f>'dpc-covid19-ita-andamento-naz'!L19</f>
        <v>15113</v>
      </c>
      <c r="E25" s="30">
        <f>'dpc-covid19-ita-andamento-naz'!I19</f>
        <v>2651</v>
      </c>
      <c r="F25" s="56">
        <f>Tabella211[[#This Row],[Cum_confirmed]]*NOT(ISBLANK(Tabella211[[#This Row],[Cum_confirmed]]))</f>
        <v>15113</v>
      </c>
      <c r="G25" s="50">
        <f>K*EXP(-EXP(-(Tabella211[[#This Row],[Day]]-t0)/w))</f>
        <v>15132.94726154727</v>
      </c>
      <c r="H25" s="10">
        <f>Tabella211[[#This Row],[Cum_fit]]*EXP(-(Tabella211[[#This Row],[Day]]-t0)/w)/w</f>
        <v>2866.9540895321479</v>
      </c>
      <c r="I25" s="56">
        <f>Tabella211[[#This Row],[Cum_fit]]*NOT(ISBLANK(Tabella211[[#This Row],[Cum_confirmed]]))</f>
        <v>15132.94726154727</v>
      </c>
      <c r="J25" s="10">
        <f>Tabella211[[#This Row],[Cum_fit]]+CI</f>
        <v>17348.294338275471</v>
      </c>
      <c r="K25" s="10">
        <f>MAX(Tabella211[[#This Row],[Cum_fit]]-CI,0)</f>
        <v>12917.600184819068</v>
      </c>
      <c r="L25" s="54">
        <f>'dpc-covid19-ita-andamento-naz'!G19</f>
        <v>12839</v>
      </c>
      <c r="M25" s="54">
        <f>'dpc-covid19-ita-andamento-naz'!H19</f>
        <v>2249</v>
      </c>
      <c r="N25" s="54">
        <f>Tabella211[[#This Row],[New_cases_fit]]-Tabella211[[#This Row],[New_Recovered_fit]]-Tabella211[[#This Row],[New_Deaths_fit]]</f>
        <v>2367.0852456219586</v>
      </c>
      <c r="O25" s="10">
        <f>'dpc-covid19-ita-andamento-naz'!J19</f>
        <v>1258</v>
      </c>
      <c r="P25" s="48">
        <f>Tabella211[[#This Row],[Cum_recov]]-O24</f>
        <v>213</v>
      </c>
      <c r="Q25" s="60">
        <f>Tabella211[[#This Row],[Cum_recov]]*NOT(ISBLANK(Tabella211[[#This Row],[Cum_recov]]))</f>
        <v>1258</v>
      </c>
      <c r="R25" s="50">
        <f>Kr*EXP(-EXP(-(Tabella211[[#This Row],[Day]]-t0r)/wr))</f>
        <v>1812.9458792824801</v>
      </c>
      <c r="S25" s="10">
        <f>Tabella211[[#This Row],[Cum_R_fit]]*EXP(-(Tabella211[[#This Row],[Day]]-t0r)/wr)/wr</f>
        <v>273.92855772356529</v>
      </c>
      <c r="T25" s="60">
        <f>Tabella211[[#This Row],[Cum_R_fit]]*NOT(ISBLANK(Tabella211[[#This Row],[Cum_recov]]))</f>
        <v>1812.9458792824801</v>
      </c>
      <c r="U25" s="10">
        <f>Tabella211[[#This Row],[Cum_R_fit]]+CIr</f>
        <v>2604.6561919429651</v>
      </c>
      <c r="V25" s="10">
        <f>MAX(Tabella211[[#This Row],[Cum_R_fit]]-CIr,0)</f>
        <v>1021.2355666219948</v>
      </c>
      <c r="W25" s="10">
        <f>'dpc-covid19-ita-andamento-naz'!K19</f>
        <v>1016</v>
      </c>
      <c r="X25" s="26">
        <f>Tabella211[[#This Row],[Cum_deaths]]-W24</f>
        <v>189</v>
      </c>
      <c r="Y25" s="65">
        <f>Tabella211[[#This Row],[Cum_deaths]]*NOT(ISBLANK(Tabella211[[#This Row],[Cum_deaths]]))</f>
        <v>1016</v>
      </c>
      <c r="Z25" s="50">
        <f>Kh*EXP(-EXP(-(Tabella211[[#This Row],[Day]]-t0h)/wh))</f>
        <v>838.96057450976843</v>
      </c>
      <c r="AA25" s="10">
        <f>Tabella211[[#This Row],[Cum_D_fit]]*EXP(-(Tabella211[[#This Row],[Day]]-t0h)/wh)/wh</f>
        <v>225.94028618662404</v>
      </c>
      <c r="AB25" s="65">
        <f>Tabella211[[#This Row],[Cum_D_fit]]*NOT(ISBLANK(Tabella211[[#This Row],[Cum_deaths]]))</f>
        <v>838.96057450976843</v>
      </c>
      <c r="AC25" s="10">
        <f>Tabella211[[#This Row],[Cum_D_fit]]+CIh</f>
        <v>1052.6001037839737</v>
      </c>
      <c r="AD25" s="10">
        <f>MAX(Tabella211[[#This Row],[Cum_D_fit]]-CIh,0)</f>
        <v>625.32104523556313</v>
      </c>
      <c r="AE25" s="1"/>
      <c r="AF25" s="127" t="s">
        <v>4</v>
      </c>
      <c r="AG25" s="129" cm="1">
        <f t="array" ref="AG25">SQRT(SUM((Tabella211[Colonna3]-Tabella211[Colonna4])^2)/dfr)</f>
        <v>393.54494640695702</v>
      </c>
      <c r="AT25" s="114"/>
    </row>
    <row r="26" spans="2:46" ht="16.2" x14ac:dyDescent="0.3">
      <c r="B26" s="9">
        <v>43903</v>
      </c>
      <c r="C26" s="4">
        <f t="shared" si="0"/>
        <v>18</v>
      </c>
      <c r="D26" s="10">
        <f>'dpc-covid19-ita-andamento-naz'!L20</f>
        <v>17660</v>
      </c>
      <c r="E26" s="30">
        <f>'dpc-covid19-ita-andamento-naz'!I20</f>
        <v>2547</v>
      </c>
      <c r="F26" s="56">
        <f>Tabella211[[#This Row],[Cum_confirmed]]*NOT(ISBLANK(Tabella211[[#This Row],[Cum_confirmed]]))</f>
        <v>17660</v>
      </c>
      <c r="G26" s="50">
        <f>K*EXP(-EXP(-(Tabella211[[#This Row],[Day]]-t0)/w))</f>
        <v>18166.408477388894</v>
      </c>
      <c r="H26" s="10">
        <f>Tabella211[[#This Row],[Cum_fit]]*EXP(-(Tabella211[[#This Row],[Day]]-t0)/w)/w</f>
        <v>3199.3040250723498</v>
      </c>
      <c r="I26" s="56">
        <f>Tabella211[[#This Row],[Cum_fit]]*NOT(ISBLANK(Tabella211[[#This Row],[Cum_confirmed]]))</f>
        <v>18166.408477388894</v>
      </c>
      <c r="J26" s="10">
        <f>Tabella211[[#This Row],[Cum_fit]]+CI</f>
        <v>20381.755554117095</v>
      </c>
      <c r="K26" s="10">
        <f>MAX(Tabella211[[#This Row],[Cum_fit]]-CI,0)</f>
        <v>15951.061400660692</v>
      </c>
      <c r="L26" s="54">
        <f>'dpc-covid19-ita-andamento-naz'!G20</f>
        <v>14955</v>
      </c>
      <c r="M26" s="54">
        <f>'dpc-covid19-ita-andamento-naz'!H20</f>
        <v>2116</v>
      </c>
      <c r="N26" s="54">
        <f>Tabella211[[#This Row],[New_cases_fit]]-Tabella211[[#This Row],[New_Recovered_fit]]-Tabella211[[#This Row],[New_Deaths_fit]]</f>
        <v>2620.7856171104049</v>
      </c>
      <c r="O26" s="10">
        <f>'dpc-covid19-ita-andamento-naz'!J20</f>
        <v>1439</v>
      </c>
      <c r="P26" s="48">
        <f>Tabella211[[#This Row],[Cum_recov]]-O25</f>
        <v>181</v>
      </c>
      <c r="Q26" s="60">
        <f>Tabella211[[#This Row],[Cum_recov]]*NOT(ISBLANK(Tabella211[[#This Row],[Cum_recov]]))</f>
        <v>1439</v>
      </c>
      <c r="R26" s="50">
        <f>Kr*EXP(-EXP(-(Tabella211[[#This Row],[Day]]-t0r)/wr))</f>
        <v>2103.4502160246079</v>
      </c>
      <c r="S26" s="10">
        <f>Tabella211[[#This Row],[Cum_R_fit]]*EXP(-(Tabella211[[#This Row],[Day]]-t0r)/wr)/wr</f>
        <v>307.48864432696405</v>
      </c>
      <c r="T26" s="60">
        <f>Tabella211[[#This Row],[Cum_R_fit]]*NOT(ISBLANK(Tabella211[[#This Row],[Cum_recov]]))</f>
        <v>2103.4502160246079</v>
      </c>
      <c r="U26" s="10">
        <f>Tabella211[[#This Row],[Cum_R_fit]]+CIr</f>
        <v>2895.1605286850931</v>
      </c>
      <c r="V26" s="10">
        <f>MAX(Tabella211[[#This Row],[Cum_R_fit]]-CIr,0)</f>
        <v>1311.7399033641227</v>
      </c>
      <c r="W26" s="10">
        <f>'dpc-covid19-ita-andamento-naz'!K20</f>
        <v>1266</v>
      </c>
      <c r="X26" s="26">
        <f>Tabella211[[#This Row],[Cum_deaths]]-W25</f>
        <v>250</v>
      </c>
      <c r="Y26" s="65">
        <f>Tabella211[[#This Row],[Cum_deaths]]*NOT(ISBLANK(Tabella211[[#This Row],[Cum_deaths]]))</f>
        <v>1266</v>
      </c>
      <c r="Z26" s="50">
        <f>Kh*EXP(-EXP(-(Tabella211[[#This Row],[Day]]-t0h)/wh))</f>
        <v>1087.1755890559134</v>
      </c>
      <c r="AA26" s="10">
        <f>Tabella211[[#This Row],[Cum_D_fit]]*EXP(-(Tabella211[[#This Row],[Day]]-t0h)/wh)/wh</f>
        <v>271.02976363498044</v>
      </c>
      <c r="AB26" s="65">
        <f>Tabella211[[#This Row],[Cum_D_fit]]*NOT(ISBLANK(Tabella211[[#This Row],[Cum_deaths]]))</f>
        <v>1087.1755890559134</v>
      </c>
      <c r="AC26" s="10">
        <f>Tabella211[[#This Row],[Cum_D_fit]]+CIh</f>
        <v>1300.8151183301188</v>
      </c>
      <c r="AD26" s="10">
        <f>MAX(Tabella211[[#This Row],[Cum_D_fit]]-CIh,0)</f>
        <v>873.5360597817081</v>
      </c>
      <c r="AE26" s="1"/>
      <c r="AF26" s="127" t="s">
        <v>113</v>
      </c>
      <c r="AG26" s="130" cm="1">
        <f t="array" ref="AG26">1-SUM((Tabella211[Colonna3]-Tabella211[Colonna4])^2)/SUM((Tabella211[Colonna3]-Mean_of_yr)^2)</f>
        <v>0.99905469366792921</v>
      </c>
      <c r="AT26" s="114"/>
    </row>
    <row r="27" spans="2:46" ht="15" thickBot="1" x14ac:dyDescent="0.35">
      <c r="B27" s="9">
        <v>43904</v>
      </c>
      <c r="C27" s="4">
        <f t="shared" si="0"/>
        <v>19</v>
      </c>
      <c r="D27" s="10">
        <f>'dpc-covid19-ita-andamento-naz'!L21</f>
        <v>21157</v>
      </c>
      <c r="E27" s="30">
        <f>'dpc-covid19-ita-andamento-naz'!I21</f>
        <v>3497</v>
      </c>
      <c r="F27" s="56">
        <f>Tabella211[[#This Row],[Cum_confirmed]]*NOT(ISBLANK(Tabella211[[#This Row],[Cum_confirmed]]))</f>
        <v>21157</v>
      </c>
      <c r="G27" s="50">
        <f>K*EXP(-EXP(-(Tabella211[[#This Row],[Day]]-t0)/w))</f>
        <v>21529.182201146901</v>
      </c>
      <c r="H27" s="10">
        <f>Tabella211[[#This Row],[Cum_fit]]*EXP(-(Tabella211[[#This Row],[Day]]-t0)/w)/w</f>
        <v>3524.5460383569366</v>
      </c>
      <c r="I27" s="56">
        <f>Tabella211[[#This Row],[Cum_fit]]*NOT(ISBLANK(Tabella211[[#This Row],[Cum_confirmed]]))</f>
        <v>21529.182201146901</v>
      </c>
      <c r="J27" s="10">
        <f>Tabella211[[#This Row],[Cum_fit]]+CI</f>
        <v>23744.529277875103</v>
      </c>
      <c r="K27" s="10">
        <f>MAX(Tabella211[[#This Row],[Cum_fit]]-CI,0)</f>
        <v>19313.8351244187</v>
      </c>
      <c r="L27" s="54">
        <f>'dpc-covid19-ita-andamento-naz'!G21</f>
        <v>17750</v>
      </c>
      <c r="M27" s="54">
        <f>'dpc-covid19-ita-andamento-naz'!H21</f>
        <v>2795</v>
      </c>
      <c r="N27" s="54">
        <f>Tabella211[[#This Row],[New_cases_fit]]-Tabella211[[#This Row],[New_Recovered_fit]]-Tabella211[[#This Row],[New_Deaths_fit]]</f>
        <v>2862.1339205726681</v>
      </c>
      <c r="O27" s="10">
        <f>'dpc-covid19-ita-andamento-naz'!J21</f>
        <v>1966</v>
      </c>
      <c r="P27" s="48">
        <f>Tabella211[[#This Row],[Cum_recov]]-O26</f>
        <v>527</v>
      </c>
      <c r="Q27" s="60">
        <f>Tabella211[[#This Row],[Cum_recov]]*NOT(ISBLANK(Tabella211[[#This Row],[Cum_recov]]))</f>
        <v>1966</v>
      </c>
      <c r="R27" s="50">
        <f>Kr*EXP(-EXP(-(Tabella211[[#This Row],[Day]]-t0r)/wr))</f>
        <v>2428.7392770781707</v>
      </c>
      <c r="S27" s="10">
        <f>Tabella211[[#This Row],[Cum_R_fit]]*EXP(-(Tabella211[[#This Row],[Day]]-t0r)/wr)/wr</f>
        <v>343.49633924317379</v>
      </c>
      <c r="T27" s="60">
        <f>Tabella211[[#This Row],[Cum_R_fit]]*NOT(ISBLANK(Tabella211[[#This Row],[Cum_recov]]))</f>
        <v>2428.7392770781707</v>
      </c>
      <c r="U27" s="10">
        <f>Tabella211[[#This Row],[Cum_R_fit]]+CIr</f>
        <v>3220.449589738656</v>
      </c>
      <c r="V27" s="10">
        <f>MAX(Tabella211[[#This Row],[Cum_R_fit]]-CIr,0)</f>
        <v>1637.0289644176855</v>
      </c>
      <c r="W27" s="10">
        <f>'dpc-covid19-ita-andamento-naz'!K21</f>
        <v>1441</v>
      </c>
      <c r="X27" s="26">
        <f>Tabella211[[#This Row],[Cum_deaths]]-W26</f>
        <v>175</v>
      </c>
      <c r="Y27" s="65">
        <f>Tabella211[[#This Row],[Cum_deaths]]*NOT(ISBLANK(Tabella211[[#This Row],[Cum_deaths]]))</f>
        <v>1441</v>
      </c>
      <c r="Z27" s="50">
        <f>Kh*EXP(-EXP(-(Tabella211[[#This Row],[Day]]-t0h)/wh))</f>
        <v>1381.9538525977396</v>
      </c>
      <c r="AA27" s="10">
        <f>Tabella211[[#This Row],[Cum_D_fit]]*EXP(-(Tabella211[[#This Row],[Day]]-t0h)/wh)/wh</f>
        <v>318.91577854109494</v>
      </c>
      <c r="AB27" s="65">
        <f>Tabella211[[#This Row],[Cum_D_fit]]*NOT(ISBLANK(Tabella211[[#This Row],[Cum_deaths]]))</f>
        <v>1381.9538525977396</v>
      </c>
      <c r="AC27" s="10">
        <f>Tabella211[[#This Row],[Cum_D_fit]]+CIh</f>
        <v>1595.593381871945</v>
      </c>
      <c r="AD27" s="10">
        <f>MAX(Tabella211[[#This Row],[Cum_D_fit]]-CIh,0)</f>
        <v>1168.3143233235342</v>
      </c>
      <c r="AE27" s="1"/>
      <c r="AF27" s="127" t="s">
        <v>6</v>
      </c>
      <c r="AG27" s="130">
        <f>TINV(0.05,dfr)</f>
        <v>2.0117405137297668</v>
      </c>
      <c r="AT27" s="115"/>
    </row>
    <row r="28" spans="2:46" ht="15" thickTop="1" x14ac:dyDescent="0.3">
      <c r="B28" s="9">
        <v>43905</v>
      </c>
      <c r="C28" s="4">
        <f t="shared" si="0"/>
        <v>20</v>
      </c>
      <c r="D28" s="10">
        <f>'dpc-covid19-ita-andamento-naz'!L22</f>
        <v>24747</v>
      </c>
      <c r="E28" s="30">
        <f>'dpc-covid19-ita-andamento-naz'!I22</f>
        <v>3590</v>
      </c>
      <c r="F28" s="56">
        <f>Tabella211[[#This Row],[Cum_confirmed]]*NOT(ISBLANK(Tabella211[[#This Row],[Cum_confirmed]]))</f>
        <v>24747</v>
      </c>
      <c r="G28" s="50">
        <f>K*EXP(-EXP(-(Tabella211[[#This Row],[Day]]-t0)/w))</f>
        <v>25211.129705982854</v>
      </c>
      <c r="H28" s="10">
        <f>Tabella211[[#This Row],[Cum_fit]]*EXP(-(Tabella211[[#This Row],[Day]]-t0)/w)/w</f>
        <v>3836.6941398404656</v>
      </c>
      <c r="I28" s="56">
        <f>Tabella211[[#This Row],[Cum_fit]]*NOT(ISBLANK(Tabella211[[#This Row],[Cum_confirmed]]))</f>
        <v>25211.129705982854</v>
      </c>
      <c r="J28" s="10">
        <f>Tabella211[[#This Row],[Cum_fit]]+CI</f>
        <v>27426.476782711055</v>
      </c>
      <c r="K28" s="10">
        <f>MAX(Tabella211[[#This Row],[Cum_fit]]-CI,0)</f>
        <v>22995.782629254652</v>
      </c>
      <c r="L28" s="54">
        <f>'dpc-covid19-ita-andamento-naz'!G22</f>
        <v>20603</v>
      </c>
      <c r="M28" s="54">
        <f>'dpc-covid19-ita-andamento-naz'!H22</f>
        <v>2853</v>
      </c>
      <c r="N28" s="54">
        <f>Tabella211[[#This Row],[New_cases_fit]]-Tabella211[[#This Row],[New_Recovered_fit]]-Tabella211[[#This Row],[New_Deaths_fit]]</f>
        <v>3086.1320006808023</v>
      </c>
      <c r="O28" s="10">
        <f>'dpc-covid19-ita-andamento-naz'!J22</f>
        <v>2335</v>
      </c>
      <c r="P28" s="48">
        <f>Tabella211[[#This Row],[Cum_recov]]-O27</f>
        <v>369</v>
      </c>
      <c r="Q28" s="60">
        <f>Tabella211[[#This Row],[Cum_recov]]*NOT(ISBLANK(Tabella211[[#This Row],[Cum_recov]]))</f>
        <v>2335</v>
      </c>
      <c r="R28" s="50">
        <f>Kr*EXP(-EXP(-(Tabella211[[#This Row],[Day]]-t0r)/wr))</f>
        <v>2791.2520495999206</v>
      </c>
      <c r="S28" s="10">
        <f>Tabella211[[#This Row],[Cum_R_fit]]*EXP(-(Tabella211[[#This Row],[Day]]-t0r)/wr)/wr</f>
        <v>381.93076656893726</v>
      </c>
      <c r="T28" s="60">
        <f>Tabella211[[#This Row],[Cum_R_fit]]*NOT(ISBLANK(Tabella211[[#This Row],[Cum_recov]]))</f>
        <v>2791.2520495999206</v>
      </c>
      <c r="U28" s="10">
        <f>Tabella211[[#This Row],[Cum_R_fit]]+CIr</f>
        <v>3582.9623622604058</v>
      </c>
      <c r="V28" s="10">
        <f>MAX(Tabella211[[#This Row],[Cum_R_fit]]-CIr,0)</f>
        <v>1999.5417369394354</v>
      </c>
      <c r="W28" s="10">
        <f>'dpc-covid19-ita-andamento-naz'!K22</f>
        <v>1809</v>
      </c>
      <c r="X28" s="26">
        <f>Tabella211[[#This Row],[Cum_deaths]]-W27</f>
        <v>368</v>
      </c>
      <c r="Y28" s="65">
        <f>Tabella211[[#This Row],[Cum_deaths]]*NOT(ISBLANK(Tabella211[[#This Row],[Cum_deaths]]))</f>
        <v>1809</v>
      </c>
      <c r="Z28" s="50">
        <f>Kh*EXP(-EXP(-(Tabella211[[#This Row],[Day]]-t0h)/wh))</f>
        <v>1725.6179739349398</v>
      </c>
      <c r="AA28" s="10">
        <f>Tabella211[[#This Row],[Cum_D_fit]]*EXP(-(Tabella211[[#This Row],[Day]]-t0h)/wh)/wh</f>
        <v>368.63137259072624</v>
      </c>
      <c r="AB28" s="65">
        <f>Tabella211[[#This Row],[Cum_D_fit]]*NOT(ISBLANK(Tabella211[[#This Row],[Cum_deaths]]))</f>
        <v>1725.6179739349398</v>
      </c>
      <c r="AC28" s="10">
        <f>Tabella211[[#This Row],[Cum_D_fit]]+CIh</f>
        <v>1939.2575032091449</v>
      </c>
      <c r="AD28" s="10">
        <f>MAX(Tabella211[[#This Row],[Cum_D_fit]]-CIh,0)</f>
        <v>1511.9784446607346</v>
      </c>
      <c r="AE28" s="1"/>
      <c r="AF28" s="127" t="s">
        <v>7</v>
      </c>
      <c r="AG28" s="128">
        <f>Critical_tr*SE_of_yr</f>
        <v>791.71031266048522</v>
      </c>
      <c r="AT28" s="84">
        <f>MAX($AG$38)</f>
        <v>0.99984471102097194</v>
      </c>
    </row>
    <row r="29" spans="2:46" x14ac:dyDescent="0.3">
      <c r="B29" s="9">
        <v>43906</v>
      </c>
      <c r="C29" s="4">
        <f t="shared" si="0"/>
        <v>21</v>
      </c>
      <c r="D29" s="10">
        <f>'dpc-covid19-ita-andamento-naz'!L23</f>
        <v>27980</v>
      </c>
      <c r="E29" s="30">
        <f>'dpc-covid19-ita-andamento-naz'!I23</f>
        <v>3233</v>
      </c>
      <c r="F29" s="56">
        <f>Tabella211[[#This Row],[Cum_confirmed]]*NOT(ISBLANK(Tabella211[[#This Row],[Cum_confirmed]]))</f>
        <v>27980</v>
      </c>
      <c r="G29" s="50">
        <f>K*EXP(-EXP(-(Tabella211[[#This Row],[Day]]-t0)/w))</f>
        <v>29196.386754718893</v>
      </c>
      <c r="H29" s="10">
        <f>Tabella211[[#This Row],[Cum_fit]]*EXP(-(Tabella211[[#This Row],[Day]]-t0)/w)/w</f>
        <v>4130.3152167953949</v>
      </c>
      <c r="I29" s="56">
        <f>Tabella211[[#This Row],[Cum_fit]]*NOT(ISBLANK(Tabella211[[#This Row],[Cum_confirmed]]))</f>
        <v>29196.386754718893</v>
      </c>
      <c r="J29" s="10">
        <f>Tabella211[[#This Row],[Cum_fit]]+CI</f>
        <v>31411.733831447094</v>
      </c>
      <c r="K29" s="10">
        <f>MAX(Tabella211[[#This Row],[Cum_fit]]-CI,0)</f>
        <v>26981.039677990691</v>
      </c>
      <c r="L29" s="54">
        <f>'dpc-covid19-ita-andamento-naz'!G23</f>
        <v>23073</v>
      </c>
      <c r="M29" s="54">
        <f>'dpc-covid19-ita-andamento-naz'!H23</f>
        <v>2470</v>
      </c>
      <c r="N29" s="54">
        <f>Tabella211[[#This Row],[New_cases_fit]]-Tabella211[[#This Row],[New_Recovered_fit]]-Tabella211[[#This Row],[New_Deaths_fit]]</f>
        <v>3288.443380200154</v>
      </c>
      <c r="O29" s="10">
        <f>'dpc-covid19-ita-andamento-naz'!J23</f>
        <v>2749</v>
      </c>
      <c r="P29" s="48">
        <f>Tabella211[[#This Row],[Cum_recov]]-O28</f>
        <v>414</v>
      </c>
      <c r="Q29" s="60">
        <f>Tabella211[[#This Row],[Cum_recov]]*NOT(ISBLANK(Tabella211[[#This Row],[Cum_recov]]))</f>
        <v>2749</v>
      </c>
      <c r="R29" s="50">
        <f>Kr*EXP(-EXP(-(Tabella211[[#This Row],[Day]]-t0r)/wr))</f>
        <v>3193.3956925023044</v>
      </c>
      <c r="S29" s="10">
        <f>Tabella211[[#This Row],[Cum_R_fit]]*EXP(-(Tabella211[[#This Row],[Day]]-t0r)/wr)/wr</f>
        <v>422.7491055987191</v>
      </c>
      <c r="T29" s="60">
        <f>Tabella211[[#This Row],[Cum_R_fit]]*NOT(ISBLANK(Tabella211[[#This Row],[Cum_recov]]))</f>
        <v>3193.3956925023044</v>
      </c>
      <c r="U29" s="10">
        <f>Tabella211[[#This Row],[Cum_R_fit]]+CIr</f>
        <v>3985.1060051627896</v>
      </c>
      <c r="V29" s="10">
        <f>MAX(Tabella211[[#This Row],[Cum_R_fit]]-CIr,0)</f>
        <v>2401.6853798418192</v>
      </c>
      <c r="W29" s="10">
        <f>'dpc-covid19-ita-andamento-naz'!K23</f>
        <v>2158</v>
      </c>
      <c r="X29" s="26">
        <f>Tabella211[[#This Row],[Cum_deaths]]-W28</f>
        <v>349</v>
      </c>
      <c r="Y29" s="65">
        <f>Tabella211[[#This Row],[Cum_deaths]]*NOT(ISBLANK(Tabella211[[#This Row],[Cum_deaths]]))</f>
        <v>2158</v>
      </c>
      <c r="Z29" s="50">
        <f>Kh*EXP(-EXP(-(Tabella211[[#This Row],[Day]]-t0h)/wh))</f>
        <v>2119.4755249005889</v>
      </c>
      <c r="AA29" s="10">
        <f>Tabella211[[#This Row],[Cum_D_fit]]*EXP(-(Tabella211[[#This Row],[Day]]-t0h)/wh)/wh</f>
        <v>419.12273099652163</v>
      </c>
      <c r="AB29" s="65">
        <f>Tabella211[[#This Row],[Cum_D_fit]]*NOT(ISBLANK(Tabella211[[#This Row],[Cum_deaths]]))</f>
        <v>2119.4755249005889</v>
      </c>
      <c r="AC29" s="10">
        <f>Tabella211[[#This Row],[Cum_D_fit]]+CIh</f>
        <v>2333.1150541747943</v>
      </c>
      <c r="AD29" s="10">
        <f>MAX(Tabella211[[#This Row],[Cum_D_fit]]-CIh,0)</f>
        <v>1905.8359956263835</v>
      </c>
      <c r="AE29" s="1"/>
      <c r="AF29" s="89" t="s">
        <v>111</v>
      </c>
      <c r="AG29" s="128">
        <f>Kr</f>
        <v>175210.61070304521</v>
      </c>
      <c r="AT29" s="85">
        <f>COUNT($AG$32,$AG$33,$AG$34)</f>
        <v>3</v>
      </c>
    </row>
    <row r="30" spans="2:46" x14ac:dyDescent="0.3">
      <c r="B30" s="9">
        <v>43907</v>
      </c>
      <c r="C30" s="4">
        <f t="shared" si="0"/>
        <v>22</v>
      </c>
      <c r="D30" s="10">
        <f>'dpc-covid19-ita-andamento-naz'!L24</f>
        <v>31506</v>
      </c>
      <c r="E30" s="30">
        <f>'dpc-covid19-ita-andamento-naz'!I24</f>
        <v>3526</v>
      </c>
      <c r="F30" s="56">
        <f>Tabella211[[#This Row],[Cum_confirmed]]*NOT(ISBLANK(Tabella211[[#This Row],[Cum_confirmed]]))</f>
        <v>31506</v>
      </c>
      <c r="G30" s="50">
        <f>K*EXP(-EXP(-(Tabella211[[#This Row],[Day]]-t0)/w))</f>
        <v>33464.003526984117</v>
      </c>
      <c r="H30" s="10">
        <f>Tabella211[[#This Row],[Cum_fit]]*EXP(-(Tabella211[[#This Row],[Day]]-t0)/w)/w</f>
        <v>4400.6943338460978</v>
      </c>
      <c r="I30" s="56">
        <f>Tabella211[[#This Row],[Cum_fit]]*NOT(ISBLANK(Tabella211[[#This Row],[Cum_confirmed]]))</f>
        <v>33464.003526984117</v>
      </c>
      <c r="J30" s="10">
        <f>Tabella211[[#This Row],[Cum_fit]]+CI</f>
        <v>35679.350603712322</v>
      </c>
      <c r="K30" s="10">
        <f>MAX(Tabella211[[#This Row],[Cum_fit]]-CI,0)</f>
        <v>31248.656450255916</v>
      </c>
      <c r="L30" s="54">
        <f>'dpc-covid19-ita-andamento-naz'!G24</f>
        <v>26062</v>
      </c>
      <c r="M30" s="54">
        <f>'dpc-covid19-ita-andamento-naz'!H24</f>
        <v>2989</v>
      </c>
      <c r="N30" s="54">
        <f>Tabella211[[#This Row],[New_cases_fit]]-Tabella211[[#This Row],[New_Recovered_fit]]-Tabella211[[#This Row],[New_Deaths_fit]]</f>
        <v>3465.5025914260837</v>
      </c>
      <c r="O30" s="10">
        <f>'dpc-covid19-ita-andamento-naz'!J24</f>
        <v>2941</v>
      </c>
      <c r="P30" s="48">
        <f>Tabella211[[#This Row],[Cum_recov]]-O29</f>
        <v>192</v>
      </c>
      <c r="Q30" s="60">
        <f>Tabella211[[#This Row],[Cum_recov]]*NOT(ISBLANK(Tabella211[[#This Row],[Cum_recov]]))</f>
        <v>2941</v>
      </c>
      <c r="R30" s="50">
        <f>Kr*EXP(-EXP(-(Tabella211[[#This Row],[Day]]-t0r)/wr))</f>
        <v>3637.5235284773339</v>
      </c>
      <c r="S30" s="10">
        <f>Tabella211[[#This Row],[Cum_R_fit]]*EXP(-(Tabella211[[#This Row],[Day]]-t0r)/wr)/wr</f>
        <v>465.88652157172044</v>
      </c>
      <c r="T30" s="60">
        <f>Tabella211[[#This Row],[Cum_R_fit]]*NOT(ISBLANK(Tabella211[[#This Row],[Cum_recov]]))</f>
        <v>3637.5235284773339</v>
      </c>
      <c r="U30" s="10">
        <f>Tabella211[[#This Row],[Cum_R_fit]]+CIr</f>
        <v>4429.2338411378187</v>
      </c>
      <c r="V30" s="10">
        <f>MAX(Tabella211[[#This Row],[Cum_R_fit]]-CIr,0)</f>
        <v>2845.8132158168487</v>
      </c>
      <c r="W30" s="10">
        <f>'dpc-covid19-ita-andamento-naz'!K24</f>
        <v>2503</v>
      </c>
      <c r="X30" s="26">
        <f>Tabella211[[#This Row],[Cum_deaths]]-W29</f>
        <v>345</v>
      </c>
      <c r="Y30" s="65">
        <f>Tabella211[[#This Row],[Cum_deaths]]*NOT(ISBLANK(Tabella211[[#This Row],[Cum_deaths]]))</f>
        <v>2503</v>
      </c>
      <c r="Z30" s="50">
        <f>Kh*EXP(-EXP(-(Tabella211[[#This Row],[Day]]-t0h)/wh))</f>
        <v>2563.7602180180406</v>
      </c>
      <c r="AA30" s="10">
        <f>Tabella211[[#This Row],[Cum_D_fit]]*EXP(-(Tabella211[[#This Row],[Day]]-t0h)/wh)/wh</f>
        <v>469.30522084829374</v>
      </c>
      <c r="AB30" s="65">
        <f>Tabella211[[#This Row],[Cum_D_fit]]*NOT(ISBLANK(Tabella211[[#This Row],[Cum_deaths]]))</f>
        <v>2563.7602180180406</v>
      </c>
      <c r="AC30" s="10">
        <f>Tabella211[[#This Row],[Cum_D_fit]]+CIh</f>
        <v>2777.399747292246</v>
      </c>
      <c r="AD30" s="10">
        <f>MAX(Tabella211[[#This Row],[Cum_D_fit]]-CIh,0)</f>
        <v>2350.1206887438352</v>
      </c>
      <c r="AE30" s="1"/>
      <c r="AF30" s="89"/>
      <c r="AG30" s="90"/>
      <c r="AT30" s="85">
        <f>{32767;32767;0.000001;0;FALSE;FALSE;TRUE;1;1;1;0.0001;TRUE}</f>
        <v>32767</v>
      </c>
    </row>
    <row r="31" spans="2:46" ht="14.4" customHeight="1" x14ac:dyDescent="0.3">
      <c r="B31" s="9">
        <v>43908</v>
      </c>
      <c r="C31" s="4">
        <f t="shared" si="0"/>
        <v>23</v>
      </c>
      <c r="D31" s="10">
        <f>'dpc-covid19-ita-andamento-naz'!L25</f>
        <v>35713</v>
      </c>
      <c r="E31" s="30">
        <f>'dpc-covid19-ita-andamento-naz'!I25</f>
        <v>4207</v>
      </c>
      <c r="F31" s="56">
        <f>Tabella211[[#This Row],[Cum_confirmed]]*NOT(ISBLANK(Tabella211[[#This Row],[Cum_confirmed]]))</f>
        <v>35713</v>
      </c>
      <c r="G31" s="50">
        <f>K*EXP(-EXP(-(Tabella211[[#This Row],[Day]]-t0)/w))</f>
        <v>37988.723201363435</v>
      </c>
      <c r="H31" s="10">
        <f>Tabella211[[#This Row],[Cum_fit]]*EXP(-(Tabella211[[#This Row],[Day]]-t0)/w)/w</f>
        <v>4643.9466442858147</v>
      </c>
      <c r="I31" s="56">
        <f>Tabella211[[#This Row],[Cum_fit]]*NOT(ISBLANK(Tabella211[[#This Row],[Cum_confirmed]]))</f>
        <v>37988.723201363435</v>
      </c>
      <c r="J31" s="10">
        <f>Tabella211[[#This Row],[Cum_fit]]+CI</f>
        <v>40204.07027809164</v>
      </c>
      <c r="K31" s="10">
        <f>MAX(Tabella211[[#This Row],[Cum_fit]]-CI,0)</f>
        <v>35773.37612463523</v>
      </c>
      <c r="L31" s="54">
        <f>'dpc-covid19-ita-andamento-naz'!G25</f>
        <v>28710</v>
      </c>
      <c r="M31" s="54">
        <f>'dpc-covid19-ita-andamento-naz'!H25</f>
        <v>2648</v>
      </c>
      <c r="N31" s="54">
        <f>Tabella211[[#This Row],[New_cases_fit]]-Tabella211[[#This Row],[New_Recovered_fit]]-Tabella211[[#This Row],[New_Deaths_fit]]</f>
        <v>3614.5732127986757</v>
      </c>
      <c r="O31" s="10">
        <f>'dpc-covid19-ita-andamento-naz'!J25</f>
        <v>4025</v>
      </c>
      <c r="P31" s="48">
        <f>Tabella211[[#This Row],[Cum_recov]]-O30</f>
        <v>1084</v>
      </c>
      <c r="Q31" s="60">
        <f>Tabella211[[#This Row],[Cum_recov]]*NOT(ISBLANK(Tabella211[[#This Row],[Cum_recov]]))</f>
        <v>4025</v>
      </c>
      <c r="R31" s="50">
        <f>Kr*EXP(-EXP(-(Tabella211[[#This Row],[Day]]-t0r)/wr))</f>
        <v>4125.9131371915228</v>
      </c>
      <c r="S31" s="10">
        <f>Tabella211[[#This Row],[Cum_R_fit]]*EXP(-(Tabella211[[#This Row],[Day]]-t0r)/wr)/wr</f>
        <v>511.25643614436677</v>
      </c>
      <c r="T31" s="60">
        <f>Tabella211[[#This Row],[Cum_R_fit]]*NOT(ISBLANK(Tabella211[[#This Row],[Cum_recov]]))</f>
        <v>4125.9131371915228</v>
      </c>
      <c r="U31" s="10">
        <f>Tabella211[[#This Row],[Cum_R_fit]]+CIr</f>
        <v>4917.623449852008</v>
      </c>
      <c r="V31" s="10">
        <f>MAX(Tabella211[[#This Row],[Cum_R_fit]]-CIr,0)</f>
        <v>3334.2028245310375</v>
      </c>
      <c r="W31" s="10">
        <f>'dpc-covid19-ita-andamento-naz'!K25</f>
        <v>2978</v>
      </c>
      <c r="X31" s="26">
        <f>Tabella211[[#This Row],[Cum_deaths]]-W30</f>
        <v>475</v>
      </c>
      <c r="Y31" s="65">
        <f>Tabella211[[#This Row],[Cum_deaths]]*NOT(ISBLANK(Tabella211[[#This Row],[Cum_deaths]]))</f>
        <v>2978</v>
      </c>
      <c r="Z31" s="50">
        <f>Kh*EXP(-EXP(-(Tabella211[[#This Row],[Day]]-t0h)/wh))</f>
        <v>3057.6282703423171</v>
      </c>
      <c r="AA31" s="10">
        <f>Tabella211[[#This Row],[Cum_D_fit]]*EXP(-(Tabella211[[#This Row],[Day]]-t0h)/wh)/wh</f>
        <v>518.1169953427725</v>
      </c>
      <c r="AB31" s="65">
        <f>Tabella211[[#This Row],[Cum_D_fit]]*NOT(ISBLANK(Tabella211[[#This Row],[Cum_deaths]]))</f>
        <v>3057.6282703423171</v>
      </c>
      <c r="AC31" s="10">
        <f>Tabella211[[#This Row],[Cum_D_fit]]+CIh</f>
        <v>3271.2677996165226</v>
      </c>
      <c r="AD31" s="10">
        <f>MAX(Tabella211[[#This Row],[Cum_D_fit]]-CIh,0)</f>
        <v>2843.9887410681117</v>
      </c>
      <c r="AE31" s="1"/>
      <c r="AF31" s="23" t="s">
        <v>53</v>
      </c>
      <c r="AG31" s="69" t="s">
        <v>55</v>
      </c>
      <c r="AT31" s="85">
        <f>{0;0;1;100;0;FALSE;TRUE;0.075;0;0;FALSE;30}</f>
        <v>0</v>
      </c>
    </row>
    <row r="32" spans="2:46" x14ac:dyDescent="0.3">
      <c r="B32" s="9">
        <v>43909</v>
      </c>
      <c r="C32" s="4">
        <f t="shared" si="0"/>
        <v>24</v>
      </c>
      <c r="D32" s="10">
        <f>'dpc-covid19-ita-andamento-naz'!L26</f>
        <v>41035</v>
      </c>
      <c r="E32" s="30">
        <f>'dpc-covid19-ita-andamento-naz'!I26</f>
        <v>5322</v>
      </c>
      <c r="F32" s="56">
        <f>Tabella211[[#This Row],[Cum_confirmed]]*NOT(ISBLANK(Tabella211[[#This Row],[Cum_confirmed]]))</f>
        <v>41035</v>
      </c>
      <c r="G32" s="50">
        <f>K*EXP(-EXP(-(Tabella211[[#This Row],[Day]]-t0)/w))</f>
        <v>42741.846192360237</v>
      </c>
      <c r="H32" s="10">
        <f>Tabella211[[#This Row],[Cum_fit]]*EXP(-(Tabella211[[#This Row],[Day]]-t0)/w)/w</f>
        <v>4857.0773383495443</v>
      </c>
      <c r="I32" s="56">
        <f>Tabella211[[#This Row],[Cum_fit]]*NOT(ISBLANK(Tabella211[[#This Row],[Cum_confirmed]]))</f>
        <v>42741.846192360237</v>
      </c>
      <c r="J32" s="10">
        <f>Tabella211[[#This Row],[Cum_fit]]+CI</f>
        <v>44957.193269088442</v>
      </c>
      <c r="K32" s="10">
        <f>MAX(Tabella211[[#This Row],[Cum_fit]]-CI,0)</f>
        <v>40526.499115632032</v>
      </c>
      <c r="L32" s="54">
        <f>'dpc-covid19-ita-andamento-naz'!G26</f>
        <v>33190</v>
      </c>
      <c r="M32" s="54">
        <f>'dpc-covid19-ita-andamento-naz'!H26</f>
        <v>4480</v>
      </c>
      <c r="N32" s="54">
        <f>Tabella211[[#This Row],[New_cases_fit]]-Tabella211[[#This Row],[New_Recovered_fit]]-Tabella211[[#This Row],[New_Deaths_fit]]</f>
        <v>3733.7598867018014</v>
      </c>
      <c r="O32" s="10">
        <f>'dpc-covid19-ita-andamento-naz'!J26</f>
        <v>4440</v>
      </c>
      <c r="P32" s="48">
        <f>Tabella211[[#This Row],[Cum_recov]]-O31</f>
        <v>415</v>
      </c>
      <c r="Q32" s="60">
        <f>Tabella211[[#This Row],[Cum_recov]]*NOT(ISBLANK(Tabella211[[#This Row],[Cum_recov]]))</f>
        <v>4440</v>
      </c>
      <c r="R32" s="50">
        <f>Kr*EXP(-EXP(-(Tabella211[[#This Row],[Day]]-t0r)/wr))</f>
        <v>4660.7448847297737</v>
      </c>
      <c r="S32" s="10">
        <f>Tabella211[[#This Row],[Cum_R_fit]]*EXP(-(Tabella211[[#This Row],[Day]]-t0r)/wr)/wr</f>
        <v>558.75112703665968</v>
      </c>
      <c r="T32" s="60">
        <f>Tabella211[[#This Row],[Cum_R_fit]]*NOT(ISBLANK(Tabella211[[#This Row],[Cum_recov]]))</f>
        <v>4660.7448847297737</v>
      </c>
      <c r="U32" s="10">
        <f>Tabella211[[#This Row],[Cum_R_fit]]+CIr</f>
        <v>5452.4551973902589</v>
      </c>
      <c r="V32" s="10">
        <f>MAX(Tabella211[[#This Row],[Cum_R_fit]]-CIr,0)</f>
        <v>3869.0345720692885</v>
      </c>
      <c r="W32" s="10">
        <f>'dpc-covid19-ita-andamento-naz'!K26</f>
        <v>3405</v>
      </c>
      <c r="X32" s="26">
        <f>Tabella211[[#This Row],[Cum_deaths]]-W31</f>
        <v>427</v>
      </c>
      <c r="Y32" s="65">
        <f>Tabella211[[#This Row],[Cum_deaths]]*NOT(ISBLANK(Tabella211[[#This Row],[Cum_deaths]]))</f>
        <v>3405</v>
      </c>
      <c r="Z32" s="50">
        <f>Kh*EXP(-EXP(-(Tabella211[[#This Row],[Day]]-t0h)/wh))</f>
        <v>3599.2055072270082</v>
      </c>
      <c r="AA32" s="10">
        <f>Tabella211[[#This Row],[Cum_D_fit]]*EXP(-(Tabella211[[#This Row],[Day]]-t0h)/wh)/wh</f>
        <v>564.56632461108359</v>
      </c>
      <c r="AB32" s="65">
        <f>Tabella211[[#This Row],[Cum_D_fit]]*NOT(ISBLANK(Tabella211[[#This Row],[Cum_deaths]]))</f>
        <v>3599.2055072270082</v>
      </c>
      <c r="AC32" s="10">
        <f>Tabella211[[#This Row],[Cum_D_fit]]+CIh</f>
        <v>3812.8450365012136</v>
      </c>
      <c r="AD32" s="10">
        <f>MAX(Tabella211[[#This Row],[Cum_D_fit]]-CIh,0)</f>
        <v>3385.5659779528028</v>
      </c>
      <c r="AE32" s="1"/>
      <c r="AF32" s="70" t="s">
        <v>0</v>
      </c>
      <c r="AG32" s="97">
        <v>27443.196525992516</v>
      </c>
      <c r="AT32" s="85"/>
    </row>
    <row r="33" spans="2:46" ht="16.2" thickBot="1" x14ac:dyDescent="0.4">
      <c r="B33" s="9">
        <v>43910</v>
      </c>
      <c r="C33" s="4">
        <f t="shared" si="0"/>
        <v>25</v>
      </c>
      <c r="D33" s="10">
        <f>'dpc-covid19-ita-andamento-naz'!L27</f>
        <v>47021</v>
      </c>
      <c r="E33" s="30">
        <f>'dpc-covid19-ita-andamento-naz'!I27</f>
        <v>5986</v>
      </c>
      <c r="F33" s="56">
        <f>Tabella211[[#This Row],[Cum_confirmed]]*NOT(ISBLANK(Tabella211[[#This Row],[Cum_confirmed]]))</f>
        <v>47021</v>
      </c>
      <c r="G33" s="50">
        <f>K*EXP(-EXP(-(Tabella211[[#This Row],[Day]]-t0)/w))</f>
        <v>47692.130231004034</v>
      </c>
      <c r="H33" s="10">
        <f>Tabella211[[#This Row],[Cum_fit]]*EXP(-(Tabella211[[#This Row],[Day]]-t0)/w)/w</f>
        <v>5037.9943968491807</v>
      </c>
      <c r="I33" s="56">
        <f>Tabella211[[#This Row],[Cum_fit]]*NOT(ISBLANK(Tabella211[[#This Row],[Cum_confirmed]]))</f>
        <v>47692.130231004034</v>
      </c>
      <c r="J33" s="10">
        <f>Tabella211[[#This Row],[Cum_fit]]+CI</f>
        <v>49907.477307732239</v>
      </c>
      <c r="K33" s="10">
        <f>MAX(Tabella211[[#This Row],[Cum_fit]]-CI,0)</f>
        <v>45476.783154275829</v>
      </c>
      <c r="L33" s="54">
        <f>'dpc-covid19-ita-andamento-naz'!G27</f>
        <v>37860</v>
      </c>
      <c r="M33" s="54">
        <f>'dpc-covid19-ita-andamento-naz'!H27</f>
        <v>4670</v>
      </c>
      <c r="N33" s="54">
        <f>Tabella211[[#This Row],[New_cases_fit]]-Tabella211[[#This Row],[New_Recovered_fit]]-Tabella211[[#This Row],[New_Deaths_fit]]</f>
        <v>3821.9817553969929</v>
      </c>
      <c r="O33" s="10">
        <f>'dpc-covid19-ita-andamento-naz'!J27</f>
        <v>5129</v>
      </c>
      <c r="P33" s="48">
        <f>Tabella211[[#This Row],[Cum_recov]]-O32</f>
        <v>689</v>
      </c>
      <c r="Q33" s="60">
        <f>Tabella211[[#This Row],[Cum_recov]]*NOT(ISBLANK(Tabella211[[#This Row],[Cum_recov]]))</f>
        <v>5129</v>
      </c>
      <c r="R33" s="50">
        <f>Kr*EXP(-EXP(-(Tabella211[[#This Row],[Day]]-t0r)/wr))</f>
        <v>5244.0812101703596</v>
      </c>
      <c r="S33" s="10">
        <f>Tabella211[[#This Row],[Cum_R_fit]]*EXP(-(Tabella211[[#This Row],[Day]]-t0r)/wr)/wr</f>
        <v>608.24263914352139</v>
      </c>
      <c r="T33" s="60">
        <f>Tabella211[[#This Row],[Cum_R_fit]]*NOT(ISBLANK(Tabella211[[#This Row],[Cum_recov]]))</f>
        <v>5244.0812101703596</v>
      </c>
      <c r="U33" s="10">
        <f>Tabella211[[#This Row],[Cum_R_fit]]+CIr</f>
        <v>6035.7915228308448</v>
      </c>
      <c r="V33" s="10">
        <f>MAX(Tabella211[[#This Row],[Cum_R_fit]]-CIr,0)</f>
        <v>4452.3708975098743</v>
      </c>
      <c r="W33" s="10">
        <f>'dpc-covid19-ita-andamento-naz'!K27</f>
        <v>4032</v>
      </c>
      <c r="X33" s="26">
        <f>Tabella211[[#This Row],[Cum_deaths]]-W32</f>
        <v>627</v>
      </c>
      <c r="Y33" s="65">
        <f>Tabella211[[#This Row],[Cum_deaths]]*NOT(ISBLANK(Tabella211[[#This Row],[Cum_deaths]]))</f>
        <v>4032</v>
      </c>
      <c r="Z33" s="50">
        <f>Kh*EXP(-EXP(-(Tabella211[[#This Row],[Day]]-t0h)/wh))</f>
        <v>4185.6775038492224</v>
      </c>
      <c r="AA33" s="10">
        <f>Tabella211[[#This Row],[Cum_D_fit]]*EXP(-(Tabella211[[#This Row],[Day]]-t0h)/wh)/wh</f>
        <v>607.77000230866679</v>
      </c>
      <c r="AB33" s="65">
        <f>Tabella211[[#This Row],[Cum_D_fit]]*NOT(ISBLANK(Tabella211[[#This Row],[Cum_deaths]]))</f>
        <v>4185.6775038492224</v>
      </c>
      <c r="AC33" s="10">
        <f>Tabella211[[#This Row],[Cum_D_fit]]+CIh</f>
        <v>4399.3170331234278</v>
      </c>
      <c r="AD33" s="10">
        <f>MAX(Tabella211[[#This Row],[Cum_D_fit]]-CIh,0)</f>
        <v>3972.037974575017</v>
      </c>
      <c r="AE33" s="1"/>
      <c r="AF33" s="70" t="s">
        <v>86</v>
      </c>
      <c r="AG33" s="71">
        <v>33.178414440120477</v>
      </c>
      <c r="AT33" s="86"/>
    </row>
    <row r="34" spans="2:46" x14ac:dyDescent="0.3">
      <c r="B34" s="9">
        <v>43911</v>
      </c>
      <c r="C34" s="4">
        <f t="shared" si="0"/>
        <v>26</v>
      </c>
      <c r="D34" s="10">
        <f>'dpc-covid19-ita-andamento-naz'!L28</f>
        <v>53578</v>
      </c>
      <c r="E34" s="30">
        <f>'dpc-covid19-ita-andamento-naz'!I28</f>
        <v>6557</v>
      </c>
      <c r="F34" s="56">
        <f>Tabella211[[#This Row],[Cum_confirmed]]*NOT(ISBLANK(Tabella211[[#This Row],[Cum_confirmed]]))</f>
        <v>53578</v>
      </c>
      <c r="G34" s="50">
        <f>K*EXP(-EXP(-(Tabella211[[#This Row],[Day]]-t0)/w))</f>
        <v>52806.682456220762</v>
      </c>
      <c r="H34" s="10">
        <f>Tabella211[[#This Row],[Cum_fit]]*EXP(-(Tabella211[[#This Row],[Day]]-t0)/w)/w</f>
        <v>5185.4811567458501</v>
      </c>
      <c r="I34" s="56">
        <f>Tabella211[[#This Row],[Cum_fit]]*NOT(ISBLANK(Tabella211[[#This Row],[Cum_confirmed]]))</f>
        <v>52806.682456220762</v>
      </c>
      <c r="J34" s="10">
        <f>Tabella211[[#This Row],[Cum_fit]]+CI</f>
        <v>55022.029532948967</v>
      </c>
      <c r="K34" s="10">
        <f>MAX(Tabella211[[#This Row],[Cum_fit]]-CI,0)</f>
        <v>50591.335379492557</v>
      </c>
      <c r="L34" s="54">
        <f>'dpc-covid19-ita-andamento-naz'!G28</f>
        <v>42681</v>
      </c>
      <c r="M34" s="54">
        <f>'dpc-covid19-ita-andamento-naz'!H28</f>
        <v>4821</v>
      </c>
      <c r="N34" s="54">
        <f>Tabella211[[#This Row],[New_cases_fit]]-Tabella211[[#This Row],[New_Recovered_fit]]-Tabella211[[#This Row],[New_Deaths_fit]]</f>
        <v>3878.9157699406937</v>
      </c>
      <c r="O34" s="10">
        <f>'dpc-covid19-ita-andamento-naz'!J28</f>
        <v>6072</v>
      </c>
      <c r="P34" s="48">
        <f>Tabella211[[#This Row],[Cum_recov]]-O33</f>
        <v>943</v>
      </c>
      <c r="Q34" s="60">
        <f>Tabella211[[#This Row],[Cum_recov]]*NOT(ISBLANK(Tabella211[[#This Row],[Cum_recov]]))</f>
        <v>6072</v>
      </c>
      <c r="R34" s="50">
        <f>Kr*EXP(-EXP(-(Tabella211[[#This Row],[Day]]-t0r)/wr))</f>
        <v>5877.8469692408817</v>
      </c>
      <c r="S34" s="10">
        <f>Tabella211[[#This Row],[Cum_R_fit]]*EXP(-(Tabella211[[#This Row],[Day]]-t0r)/wr)/wr</f>
        <v>659.58398311269093</v>
      </c>
      <c r="T34" s="60">
        <f>Tabella211[[#This Row],[Cum_R_fit]]*NOT(ISBLANK(Tabella211[[#This Row],[Cum_recov]]))</f>
        <v>5877.8469692408817</v>
      </c>
      <c r="U34" s="10">
        <f>Tabella211[[#This Row],[Cum_R_fit]]+CIr</f>
        <v>6669.5572819013669</v>
      </c>
      <c r="V34" s="10">
        <f>MAX(Tabella211[[#This Row],[Cum_R_fit]]-CIr,0)</f>
        <v>5086.1366565803964</v>
      </c>
      <c r="W34" s="10">
        <f>'dpc-covid19-ita-andamento-naz'!K28</f>
        <v>4825</v>
      </c>
      <c r="X34" s="26">
        <f>Tabella211[[#This Row],[Cum_deaths]]-W33</f>
        <v>793</v>
      </c>
      <c r="Y34" s="65">
        <f>Tabella211[[#This Row],[Cum_deaths]]*NOT(ISBLANK(Tabella211[[#This Row],[Cum_deaths]]))</f>
        <v>4825</v>
      </c>
      <c r="Z34" s="50">
        <f>Kh*EXP(-EXP(-(Tabella211[[#This Row],[Day]]-t0h)/wh))</f>
        <v>4813.4130287373437</v>
      </c>
      <c r="AA34" s="10">
        <f>Tabella211[[#This Row],[Cum_D_fit]]*EXP(-(Tabella211[[#This Row],[Day]]-t0h)/wh)/wh</f>
        <v>646.98140369246482</v>
      </c>
      <c r="AB34" s="65">
        <f>Tabella211[[#This Row],[Cum_D_fit]]*NOT(ISBLANK(Tabella211[[#This Row],[Cum_deaths]]))</f>
        <v>4813.4130287373437</v>
      </c>
      <c r="AC34" s="10">
        <f>Tabella211[[#This Row],[Cum_D_fit]]+CIh</f>
        <v>5027.0525580115491</v>
      </c>
      <c r="AD34" s="10">
        <f>MAX(Tabella211[[#This Row],[Cum_D_fit]]-CIh,0)</f>
        <v>4599.7734994631383</v>
      </c>
      <c r="AE34" s="1"/>
      <c r="AF34" s="70" t="s">
        <v>1</v>
      </c>
      <c r="AG34" s="71">
        <v>12.950550389758135</v>
      </c>
    </row>
    <row r="35" spans="2:46" x14ac:dyDescent="0.3">
      <c r="B35" s="9">
        <v>43912</v>
      </c>
      <c r="C35" s="4">
        <f t="shared" si="0"/>
        <v>27</v>
      </c>
      <c r="D35" s="10">
        <f>'dpc-covid19-ita-andamento-naz'!L29</f>
        <v>59138</v>
      </c>
      <c r="E35" s="30">
        <f>'dpc-covid19-ita-andamento-naz'!I29</f>
        <v>5560</v>
      </c>
      <c r="F35" s="56">
        <f>Tabella211[[#This Row],[Cum_confirmed]]*NOT(ISBLANK(Tabella211[[#This Row],[Cum_confirmed]]))</f>
        <v>59138</v>
      </c>
      <c r="G35" s="50">
        <f>K*EXP(-EXP(-(Tabella211[[#This Row],[Day]]-t0)/w))</f>
        <v>58051.80737300207</v>
      </c>
      <c r="H35" s="10">
        <f>Tabella211[[#This Row],[Cum_fit]]*EXP(-(Tabella211[[#This Row],[Day]]-t0)/w)/w</f>
        <v>5299.1368984068476</v>
      </c>
      <c r="I35" s="56">
        <f>Tabella211[[#This Row],[Cum_fit]]*NOT(ISBLANK(Tabella211[[#This Row],[Cum_confirmed]]))</f>
        <v>58051.80737300207</v>
      </c>
      <c r="J35" s="10">
        <f>Tabella211[[#This Row],[Cum_fit]]+CI</f>
        <v>60267.154449730275</v>
      </c>
      <c r="K35" s="10">
        <f>MAX(Tabella211[[#This Row],[Cum_fit]]-CI,0)</f>
        <v>55836.460296273865</v>
      </c>
      <c r="L35" s="54">
        <f>'dpc-covid19-ita-andamento-naz'!G29</f>
        <v>46638</v>
      </c>
      <c r="M35" s="54">
        <f>'dpc-covid19-ita-andamento-naz'!H29</f>
        <v>3957</v>
      </c>
      <c r="N35" s="54">
        <f>Tabella211[[#This Row],[New_cases_fit]]-Tabella211[[#This Row],[New_Recovered_fit]]-Tabella211[[#This Row],[New_Deaths_fit]]</f>
        <v>3904.9184226093826</v>
      </c>
      <c r="O35" s="10">
        <f>'dpc-covid19-ita-andamento-naz'!J29</f>
        <v>7024</v>
      </c>
      <c r="P35" s="48">
        <f>Tabella211[[#This Row],[Cum_recov]]-O34</f>
        <v>952</v>
      </c>
      <c r="Q35" s="60">
        <f>Tabella211[[#This Row],[Cum_recov]]*NOT(ISBLANK(Tabella211[[#This Row],[Cum_recov]]))</f>
        <v>7024</v>
      </c>
      <c r="R35" s="50">
        <f>Kr*EXP(-EXP(-(Tabella211[[#This Row],[Day]]-t0r)/wr))</f>
        <v>6563.8111082734995</v>
      </c>
      <c r="S35" s="10">
        <f>Tabella211[[#This Row],[Cum_R_fit]]*EXP(-(Tabella211[[#This Row],[Day]]-t0r)/wr)/wr</f>
        <v>712.61059209876419</v>
      </c>
      <c r="T35" s="60">
        <f>Tabella211[[#This Row],[Cum_R_fit]]*NOT(ISBLANK(Tabella211[[#This Row],[Cum_recov]]))</f>
        <v>6563.8111082734995</v>
      </c>
      <c r="U35" s="10">
        <f>Tabella211[[#This Row],[Cum_R_fit]]+CIr</f>
        <v>7355.5214209339847</v>
      </c>
      <c r="V35" s="10">
        <f>MAX(Tabella211[[#This Row],[Cum_R_fit]]-CIr,0)</f>
        <v>5772.1007956130143</v>
      </c>
      <c r="W35" s="10">
        <f>'dpc-covid19-ita-andamento-naz'!K29</f>
        <v>5476</v>
      </c>
      <c r="X35" s="26">
        <f>Tabella211[[#This Row],[Cum_deaths]]-W34</f>
        <v>651</v>
      </c>
      <c r="Y35" s="65">
        <f>Tabella211[[#This Row],[Cum_deaths]]*NOT(ISBLANK(Tabella211[[#This Row],[Cum_deaths]]))</f>
        <v>5476</v>
      </c>
      <c r="Z35" s="50">
        <f>Kh*EXP(-EXP(-(Tabella211[[#This Row],[Day]]-t0h)/wh))</f>
        <v>5478.1102000321353</v>
      </c>
      <c r="AA35" s="10">
        <f>Tabella211[[#This Row],[Cum_D_fit]]*EXP(-(Tabella211[[#This Row],[Day]]-t0h)/wh)/wh</f>
        <v>681.60788369870136</v>
      </c>
      <c r="AB35" s="65">
        <f>Tabella211[[#This Row],[Cum_D_fit]]*NOT(ISBLANK(Tabella211[[#This Row],[Cum_deaths]]))</f>
        <v>5478.1102000321353</v>
      </c>
      <c r="AC35" s="10">
        <f>Tabella211[[#This Row],[Cum_D_fit]]+CIh</f>
        <v>5691.7497293063407</v>
      </c>
      <c r="AD35" s="10">
        <f>MAX(Tabella211[[#This Row],[Cum_D_fit]]-CIh,0)</f>
        <v>5264.4706707579298</v>
      </c>
      <c r="AF35" s="72" t="s">
        <v>2</v>
      </c>
      <c r="AG35" s="35">
        <f>AVERAGE(Tabella211[Cum_deaths])</f>
        <v>6758.82</v>
      </c>
      <c r="AJ35" s="1"/>
    </row>
    <row r="36" spans="2:46" x14ac:dyDescent="0.3">
      <c r="B36" s="22">
        <v>43913</v>
      </c>
      <c r="C36" s="4">
        <f t="shared" si="0"/>
        <v>28</v>
      </c>
      <c r="D36" s="10">
        <f>'dpc-covid19-ita-andamento-naz'!L30</f>
        <v>63927</v>
      </c>
      <c r="E36" s="30">
        <f>'dpc-covid19-ita-andamento-naz'!I30</f>
        <v>4789</v>
      </c>
      <c r="F36" s="56">
        <f>Tabella211[[#This Row],[Cum_confirmed]]*NOT(ISBLANK(Tabella211[[#This Row],[Cum_confirmed]]))</f>
        <v>63927</v>
      </c>
      <c r="G36" s="50">
        <f>K*EXP(-EXP(-(Tabella211[[#This Row],[Day]]-t0)/w))</f>
        <v>63393.782970125125</v>
      </c>
      <c r="H36" s="10">
        <f>Tabella211[[#This Row],[Cum_fit]]*EXP(-(Tabella211[[#This Row],[Day]]-t0)/w)/w</f>
        <v>5379.2939872692614</v>
      </c>
      <c r="I36" s="56">
        <f>Tabella211[[#This Row],[Cum_fit]]*NOT(ISBLANK(Tabella211[[#This Row],[Cum_confirmed]]))</f>
        <v>63393.782970125125</v>
      </c>
      <c r="J36" s="10">
        <f>Tabella211[[#This Row],[Cum_fit]]+CI</f>
        <v>65609.13004685333</v>
      </c>
      <c r="K36" s="10">
        <f>MAX(Tabella211[[#This Row],[Cum_fit]]-CI,0)</f>
        <v>61178.43589339692</v>
      </c>
      <c r="L36" s="54">
        <f>'dpc-covid19-ita-andamento-naz'!G30</f>
        <v>50418</v>
      </c>
      <c r="M36" s="54">
        <f>'dpc-covid19-ita-andamento-naz'!H30</f>
        <v>3780</v>
      </c>
      <c r="N36" s="54">
        <f>Tabella211[[#This Row],[New_cases_fit]]-Tabella211[[#This Row],[New_Recovered_fit]]-Tabella211[[#This Row],[New_Deaths_fit]]</f>
        <v>3900.9338783298767</v>
      </c>
      <c r="O36" s="10">
        <f>'dpc-covid19-ita-andamento-naz'!J30</f>
        <v>7432</v>
      </c>
      <c r="P36" s="48">
        <f>Tabella211[[#This Row],[Cum_recov]]-O35</f>
        <v>408</v>
      </c>
      <c r="Q36" s="60">
        <f>Tabella211[[#This Row],[Cum_recov]]*NOT(ISBLANK(Tabella211[[#This Row],[Cum_recov]]))</f>
        <v>7432</v>
      </c>
      <c r="R36" s="50">
        <f>Kr*EXP(-EXP(-(Tabella211[[#This Row],[Day]]-t0r)/wr))</f>
        <v>7303.5699101892878</v>
      </c>
      <c r="S36" s="10">
        <f>Tabella211[[#This Row],[Cum_R_fit]]*EXP(-(Tabella211[[#This Row],[Day]]-t0r)/wr)/wr</f>
        <v>767.14200319179656</v>
      </c>
      <c r="T36" s="60">
        <f>Tabella211[[#This Row],[Cum_R_fit]]*NOT(ISBLANK(Tabella211[[#This Row],[Cum_recov]]))</f>
        <v>7303.5699101892878</v>
      </c>
      <c r="U36" s="10">
        <f>Tabella211[[#This Row],[Cum_R_fit]]+CIr</f>
        <v>8095.2802228497731</v>
      </c>
      <c r="V36" s="10">
        <f>MAX(Tabella211[[#This Row],[Cum_R_fit]]-CIr,0)</f>
        <v>6511.8595975288026</v>
      </c>
      <c r="W36" s="10">
        <f>'dpc-covid19-ita-andamento-naz'!K30</f>
        <v>6077</v>
      </c>
      <c r="X36" s="26">
        <f>Tabella211[[#This Row],[Cum_deaths]]-W35</f>
        <v>601</v>
      </c>
      <c r="Y36" s="65">
        <f>Tabella211[[#This Row],[Cum_deaths]]*NOT(ISBLANK(Tabella211[[#This Row],[Cum_deaths]]))</f>
        <v>6077</v>
      </c>
      <c r="Z36" s="50">
        <f>Kh*EXP(-EXP(-(Tabella211[[#This Row],[Day]]-t0h)/wh))</f>
        <v>6174.9549249675711</v>
      </c>
      <c r="AA36" s="10">
        <f>Tabella211[[#This Row],[Cum_D_fit]]*EXP(-(Tabella211[[#This Row],[Day]]-t0h)/wh)/wh</f>
        <v>711.21810574758774</v>
      </c>
      <c r="AB36" s="65">
        <f>Tabella211[[#This Row],[Cum_D_fit]]*NOT(ISBLANK(Tabella211[[#This Row],[Cum_deaths]]))</f>
        <v>6174.9549249675711</v>
      </c>
      <c r="AC36" s="10">
        <f>Tabella211[[#This Row],[Cum_D_fit]]+CIh</f>
        <v>6388.5944542417765</v>
      </c>
      <c r="AD36" s="10">
        <f>MAX(Tabella211[[#This Row],[Cum_D_fit]]-CIh,0)</f>
        <v>5961.3153956933656</v>
      </c>
      <c r="AF36" s="72" t="s">
        <v>3</v>
      </c>
      <c r="AG36" s="35">
        <f>COUNT(Tabella211[Cum_deaths])-COUNT(AG32:AG34)</f>
        <v>47</v>
      </c>
    </row>
    <row r="37" spans="2:46" x14ac:dyDescent="0.3">
      <c r="B37" s="9">
        <v>43914</v>
      </c>
      <c r="C37" s="4">
        <f t="shared" si="0"/>
        <v>29</v>
      </c>
      <c r="D37" s="10">
        <f>'dpc-covid19-ita-andamento-naz'!L31</f>
        <v>69176</v>
      </c>
      <c r="E37" s="30">
        <f>'dpc-covid19-ita-andamento-naz'!I31</f>
        <v>5249</v>
      </c>
      <c r="F37" s="56">
        <f>Tabella211[[#This Row],[Cum_confirmed]]*NOT(ISBLANK(Tabella211[[#This Row],[Cum_confirmed]]))</f>
        <v>69176</v>
      </c>
      <c r="G37" s="50">
        <f>K*EXP(-EXP(-(Tabella211[[#This Row],[Day]]-t0)/w))</f>
        <v>68799.545691244086</v>
      </c>
      <c r="H37" s="10">
        <f>Tabella211[[#This Row],[Cum_fit]]*EXP(-(Tabella211[[#This Row],[Day]]-t0)/w)/w</f>
        <v>5426.9197428674006</v>
      </c>
      <c r="I37" s="56">
        <f>Tabella211[[#This Row],[Cum_fit]]*NOT(ISBLANK(Tabella211[[#This Row],[Cum_confirmed]]))</f>
        <v>68799.545691244086</v>
      </c>
      <c r="J37" s="10">
        <f>Tabella211[[#This Row],[Cum_fit]]+CI</f>
        <v>71014.892767972284</v>
      </c>
      <c r="K37" s="10">
        <f>MAX(Tabella211[[#This Row],[Cum_fit]]-CI,0)</f>
        <v>66584.198614515888</v>
      </c>
      <c r="L37" s="54">
        <f>'dpc-covid19-ita-andamento-naz'!G31</f>
        <v>54030</v>
      </c>
      <c r="M37" s="54">
        <f>'dpc-covid19-ita-andamento-naz'!H31</f>
        <v>3612</v>
      </c>
      <c r="N37" s="54">
        <f>Tabella211[[#This Row],[New_cases_fit]]-Tabella211[[#This Row],[New_Recovered_fit]]-Tabella211[[#This Row],[New_Deaths_fit]]</f>
        <v>3868.3954765766775</v>
      </c>
      <c r="O37" s="10">
        <f>'dpc-covid19-ita-andamento-naz'!J31</f>
        <v>8326</v>
      </c>
      <c r="P37" s="48">
        <f>Tabella211[[#This Row],[Cum_recov]]-O36</f>
        <v>894</v>
      </c>
      <c r="Q37" s="60">
        <f>Tabella211[[#This Row],[Cum_recov]]*NOT(ISBLANK(Tabella211[[#This Row],[Cum_recov]]))</f>
        <v>8326</v>
      </c>
      <c r="R37" s="50">
        <f>Kr*EXP(-EXP(-(Tabella211[[#This Row],[Day]]-t0r)/wr))</f>
        <v>8098.5320191003802</v>
      </c>
      <c r="S37" s="10">
        <f>Tabella211[[#This Row],[Cum_R_fit]]*EXP(-(Tabella211[[#This Row],[Day]]-t0r)/wr)/wr</f>
        <v>822.98372692697615</v>
      </c>
      <c r="T37" s="60">
        <f>Tabella211[[#This Row],[Cum_R_fit]]*NOT(ISBLANK(Tabella211[[#This Row],[Cum_recov]]))</f>
        <v>8098.5320191003802</v>
      </c>
      <c r="U37" s="10">
        <f>Tabella211[[#This Row],[Cum_R_fit]]+CIr</f>
        <v>8890.2423317608664</v>
      </c>
      <c r="V37" s="10">
        <f>MAX(Tabella211[[#This Row],[Cum_R_fit]]-CIr,0)</f>
        <v>7306.821706439895</v>
      </c>
      <c r="W37" s="10">
        <f>'dpc-covid19-ita-andamento-naz'!K31</f>
        <v>6820</v>
      </c>
      <c r="X37" s="26">
        <f>Tabella211[[#This Row],[Cum_deaths]]-W36</f>
        <v>743</v>
      </c>
      <c r="Y37" s="65">
        <f>Tabella211[[#This Row],[Cum_deaths]]*NOT(ISBLANK(Tabella211[[#This Row],[Cum_deaths]]))</f>
        <v>6820</v>
      </c>
      <c r="Z37" s="50">
        <f>Kh*EXP(-EXP(-(Tabella211[[#This Row],[Day]]-t0h)/wh))</f>
        <v>6898.7821293261377</v>
      </c>
      <c r="AA37" s="10">
        <f>Tabella211[[#This Row],[Cum_D_fit]]*EXP(-(Tabella211[[#This Row],[Day]]-t0h)/wh)/wh</f>
        <v>735.54053936374669</v>
      </c>
      <c r="AB37" s="65">
        <f>Tabella211[[#This Row],[Cum_D_fit]]*NOT(ISBLANK(Tabella211[[#This Row],[Cum_deaths]]))</f>
        <v>6898.7821293261377</v>
      </c>
      <c r="AC37" s="10">
        <f>Tabella211[[#This Row],[Cum_D_fit]]+CIh</f>
        <v>7112.4216586003431</v>
      </c>
      <c r="AD37" s="10">
        <f>MAX(Tabella211[[#This Row],[Cum_D_fit]]-CIh,0)</f>
        <v>6685.1426000519323</v>
      </c>
      <c r="AF37" s="72" t="s">
        <v>4</v>
      </c>
      <c r="AG37" s="73" cm="1">
        <f t="array" ref="AG37">SQRT(SUM((Tabella211[Colonna5]-Tabella211[Colonna6])^2)/dfh)</f>
        <v>106.19636469820733</v>
      </c>
    </row>
    <row r="38" spans="2:46" ht="16.2" x14ac:dyDescent="0.3">
      <c r="B38" s="9">
        <v>43915</v>
      </c>
      <c r="C38" s="4">
        <f t="shared" si="0"/>
        <v>30</v>
      </c>
      <c r="D38" s="10">
        <f>'dpc-covid19-ita-andamento-naz'!L32</f>
        <v>74386</v>
      </c>
      <c r="E38" s="30">
        <f>'dpc-covid19-ita-andamento-naz'!I32</f>
        <v>5210</v>
      </c>
      <c r="F38" s="56">
        <f>Tabella211[[#This Row],[Cum_confirmed]]*NOT(ISBLANK(Tabella211[[#This Row],[Cum_confirmed]]))</f>
        <v>74386</v>
      </c>
      <c r="G38" s="50">
        <f>K*EXP(-EXP(-(Tabella211[[#This Row],[Day]]-t0)/w))</f>
        <v>74237.272739251086</v>
      </c>
      <c r="H38" s="10">
        <f>Tabella211[[#This Row],[Cum_fit]]*EXP(-(Tabella211[[#This Row],[Day]]-t0)/w)/w</f>
        <v>5443.5103715552286</v>
      </c>
      <c r="I38" s="56">
        <f>Tabella211[[#This Row],[Cum_fit]]*NOT(ISBLANK(Tabella211[[#This Row],[Cum_confirmed]]))</f>
        <v>74237.272739251086</v>
      </c>
      <c r="J38" s="10">
        <f>Tabella211[[#This Row],[Cum_fit]]+CI</f>
        <v>76452.619815979284</v>
      </c>
      <c r="K38" s="10">
        <f>MAX(Tabella211[[#This Row],[Cum_fit]]-CI,0)</f>
        <v>72021.925662522888</v>
      </c>
      <c r="L38" s="54">
        <f>'dpc-covid19-ita-andamento-naz'!G32</f>
        <v>57521</v>
      </c>
      <c r="M38" s="54">
        <f>'dpc-covid19-ita-andamento-naz'!H32</f>
        <v>3491</v>
      </c>
      <c r="N38" s="54">
        <f>Tabella211[[#This Row],[New_cases_fit]]-Tabella211[[#This Row],[New_Recovered_fit]]-Tabella211[[#This Row],[New_Deaths_fit]]</f>
        <v>3809.1263496134629</v>
      </c>
      <c r="O38" s="10">
        <f>'dpc-covid19-ita-andamento-naz'!J32</f>
        <v>9362</v>
      </c>
      <c r="P38" s="48">
        <f>Tabella211[[#This Row],[Cum_recov]]-O37</f>
        <v>1036</v>
      </c>
      <c r="Q38" s="60">
        <f>Tabella211[[#This Row],[Cum_recov]]*NOT(ISBLANK(Tabella211[[#This Row],[Cum_recov]]))</f>
        <v>9362</v>
      </c>
      <c r="R38" s="50">
        <f>Kr*EXP(-EXP(-(Tabella211[[#This Row],[Day]]-t0r)/wr))</f>
        <v>8949.9054124453323</v>
      </c>
      <c r="S38" s="10">
        <f>Tabella211[[#This Row],[Cum_R_fit]]*EXP(-(Tabella211[[#This Row],[Day]]-t0r)/wr)/wr</f>
        <v>879.92926630634213</v>
      </c>
      <c r="T38" s="60">
        <f>Tabella211[[#This Row],[Cum_R_fit]]*NOT(ISBLANK(Tabella211[[#This Row],[Cum_recov]]))</f>
        <v>8949.9054124453323</v>
      </c>
      <c r="U38" s="10">
        <f>Tabella211[[#This Row],[Cum_R_fit]]+CIr</f>
        <v>9741.6157251058175</v>
      </c>
      <c r="V38" s="10">
        <f>MAX(Tabella211[[#This Row],[Cum_R_fit]]-CIr,0)</f>
        <v>8158.1950997848471</v>
      </c>
      <c r="W38" s="10">
        <f>'dpc-covid19-ita-andamento-naz'!K32</f>
        <v>7503</v>
      </c>
      <c r="X38" s="26">
        <f>Tabella211[[#This Row],[Cum_deaths]]-W37</f>
        <v>683</v>
      </c>
      <c r="Y38" s="65">
        <f>Tabella211[[#This Row],[Cum_deaths]]*NOT(ISBLANK(Tabella211[[#This Row],[Cum_deaths]]))</f>
        <v>7503</v>
      </c>
      <c r="Z38" s="50">
        <f>Kh*EXP(-EXP(-(Tabella211[[#This Row],[Day]]-t0h)/wh))</f>
        <v>7644.2317377260533</v>
      </c>
      <c r="AA38" s="10">
        <f>Tabella211[[#This Row],[Cum_D_fit]]*EXP(-(Tabella211[[#This Row],[Day]]-t0h)/wh)/wh</f>
        <v>754.45475563542323</v>
      </c>
      <c r="AB38" s="65">
        <f>Tabella211[[#This Row],[Cum_D_fit]]*NOT(ISBLANK(Tabella211[[#This Row],[Cum_deaths]]))</f>
        <v>7644.2317377260533</v>
      </c>
      <c r="AC38" s="10">
        <f>Tabella211[[#This Row],[Cum_D_fit]]+CIh</f>
        <v>7857.8712670002587</v>
      </c>
      <c r="AD38" s="10">
        <f>MAX(Tabella211[[#This Row],[Cum_D_fit]]-CIh,0)</f>
        <v>7430.5922084518479</v>
      </c>
      <c r="AF38" s="72" t="s">
        <v>87</v>
      </c>
      <c r="AG38" s="74" cm="1">
        <f t="array" ref="AG38">1-SUM((Tabella211[Colonna5]-Tabella211[Colonna6])^2)/SUM((Tabella211[Colonna5]-Mean_of_yh)^2)</f>
        <v>0.99984471102097194</v>
      </c>
    </row>
    <row r="39" spans="2:46" x14ac:dyDescent="0.3">
      <c r="B39" s="9">
        <v>43916</v>
      </c>
      <c r="C39" s="4">
        <f t="shared" si="0"/>
        <v>31</v>
      </c>
      <c r="D39" s="10">
        <f>'dpc-covid19-ita-andamento-naz'!L33</f>
        <v>80539</v>
      </c>
      <c r="E39" s="30">
        <f>'dpc-covid19-ita-andamento-naz'!I33</f>
        <v>6153</v>
      </c>
      <c r="F39" s="56">
        <f>Tabella211[[#This Row],[Cum_confirmed]]*NOT(ISBLANK(Tabella211[[#This Row],[Cum_confirmed]]))</f>
        <v>80539</v>
      </c>
      <c r="G39" s="50">
        <f>K*EXP(-EXP(-(Tabella211[[#This Row],[Day]]-t0)/w))</f>
        <v>79676.856985222621</v>
      </c>
      <c r="H39" s="10">
        <f>Tabella211[[#This Row],[Cum_fit]]*EXP(-(Tabella211[[#This Row],[Day]]-t0)/w)/w</f>
        <v>5430.9831761005362</v>
      </c>
      <c r="I39" s="56">
        <f>Tabella211[[#This Row],[Cum_fit]]*NOT(ISBLANK(Tabella211[[#This Row],[Cum_confirmed]]))</f>
        <v>79676.856985222621</v>
      </c>
      <c r="J39" s="10">
        <f>Tabella211[[#This Row],[Cum_fit]]+CI</f>
        <v>81892.204061950819</v>
      </c>
      <c r="K39" s="10">
        <f>MAX(Tabella211[[#This Row],[Cum_fit]]-CI,0)</f>
        <v>77461.509908494423</v>
      </c>
      <c r="L39" s="54">
        <f>'dpc-covid19-ita-andamento-naz'!G33</f>
        <v>62013</v>
      </c>
      <c r="M39" s="54">
        <f>'dpc-covid19-ita-andamento-naz'!H33</f>
        <v>4492</v>
      </c>
      <c r="N39" s="54">
        <f>Tabella211[[#This Row],[New_cases_fit]]-Tabella211[[#This Row],[New_Recovered_fit]]-Tabella211[[#This Row],[New_Deaths_fit]]</f>
        <v>3725.2436179972733</v>
      </c>
      <c r="O39" s="10">
        <f>'dpc-covid19-ita-andamento-naz'!J33</f>
        <v>10361</v>
      </c>
      <c r="P39" s="48">
        <f>Tabella211[[#This Row],[Cum_recov]]-O38</f>
        <v>999</v>
      </c>
      <c r="Q39" s="60">
        <f>Tabella211[[#This Row],[Cum_recov]]*NOT(ISBLANK(Tabella211[[#This Row],[Cum_recov]]))</f>
        <v>10361</v>
      </c>
      <c r="R39" s="50">
        <f>Kr*EXP(-EXP(-(Tabella211[[#This Row],[Day]]-t0r)/wr))</f>
        <v>9858.6864504676596</v>
      </c>
      <c r="S39" s="10">
        <f>Tabella211[[#This Row],[Cum_R_fit]]*EXP(-(Tabella211[[#This Row],[Day]]-t0r)/wr)/wr</f>
        <v>937.76224586508806</v>
      </c>
      <c r="T39" s="60">
        <f>Tabella211[[#This Row],[Cum_R_fit]]*NOT(ISBLANK(Tabella211[[#This Row],[Cum_recov]]))</f>
        <v>9858.6864504676596</v>
      </c>
      <c r="U39" s="10">
        <f>Tabella211[[#This Row],[Cum_R_fit]]+CIr</f>
        <v>10650.396763128145</v>
      </c>
      <c r="V39" s="10">
        <f>MAX(Tabella211[[#This Row],[Cum_R_fit]]-CIr,0)</f>
        <v>9066.9761378071744</v>
      </c>
      <c r="W39" s="10">
        <f>'dpc-covid19-ita-andamento-naz'!K33</f>
        <v>8165</v>
      </c>
      <c r="X39" s="26">
        <f>Tabella211[[#This Row],[Cum_deaths]]-W38</f>
        <v>662</v>
      </c>
      <c r="Y39" s="65">
        <f>Tabella211[[#This Row],[Cum_deaths]]*NOT(ISBLANK(Tabella211[[#This Row],[Cum_deaths]]))</f>
        <v>8165</v>
      </c>
      <c r="Z39" s="50">
        <f>Kh*EXP(-EXP(-(Tabella211[[#This Row],[Day]]-t0h)/wh))</f>
        <v>8405.8930932789026</v>
      </c>
      <c r="AA39" s="10">
        <f>Tabella211[[#This Row],[Cum_D_fit]]*EXP(-(Tabella211[[#This Row],[Day]]-t0h)/wh)/wh</f>
        <v>767.97731223817448</v>
      </c>
      <c r="AB39" s="65">
        <f>Tabella211[[#This Row],[Cum_D_fit]]*NOT(ISBLANK(Tabella211[[#This Row],[Cum_deaths]]))</f>
        <v>8405.8930932789026</v>
      </c>
      <c r="AC39" s="10">
        <f>Tabella211[[#This Row],[Cum_D_fit]]+CIh</f>
        <v>8619.532622553108</v>
      </c>
      <c r="AD39" s="10">
        <f>MAX(Tabella211[[#This Row],[Cum_D_fit]]-CIh,0)</f>
        <v>8192.2535640046972</v>
      </c>
      <c r="AF39" s="72" t="s">
        <v>6</v>
      </c>
      <c r="AG39" s="74">
        <f>TINV(0.05,dfh)</f>
        <v>2.0117405137297668</v>
      </c>
    </row>
    <row r="40" spans="2:46" x14ac:dyDescent="0.3">
      <c r="B40" s="9">
        <v>43917</v>
      </c>
      <c r="C40" s="4">
        <f t="shared" si="0"/>
        <v>32</v>
      </c>
      <c r="D40" s="10">
        <f>'dpc-covid19-ita-andamento-naz'!L34</f>
        <v>86498</v>
      </c>
      <c r="E40" s="30">
        <f>'dpc-covid19-ita-andamento-naz'!I34</f>
        <v>5959</v>
      </c>
      <c r="F40" s="56">
        <f>Tabella211[[#This Row],[Cum_confirmed]]*NOT(ISBLANK(Tabella211[[#This Row],[Cum_confirmed]]))</f>
        <v>86498</v>
      </c>
      <c r="G40" s="50">
        <f>K*EXP(-EXP(-(Tabella211[[#This Row],[Day]]-t0)/w))</f>
        <v>85090.275346612354</v>
      </c>
      <c r="H40" s="10">
        <f>Tabella211[[#This Row],[Cum_fit]]*EXP(-(Tabella211[[#This Row],[Day]]-t0)/w)/w</f>
        <v>5391.5720061783841</v>
      </c>
      <c r="I40" s="56">
        <f>Tabella211[[#This Row],[Cum_fit]]*NOT(ISBLANK(Tabella211[[#This Row],[Cum_confirmed]]))</f>
        <v>85090.275346612354</v>
      </c>
      <c r="J40" s="10">
        <f>Tabella211[[#This Row],[Cum_fit]]+CI</f>
        <v>87305.622423340552</v>
      </c>
      <c r="K40" s="10">
        <f>MAX(Tabella211[[#This Row],[Cum_fit]]-CI,0)</f>
        <v>82874.928269884156</v>
      </c>
      <c r="L40" s="54">
        <f>'dpc-covid19-ita-andamento-naz'!G34</f>
        <v>66414</v>
      </c>
      <c r="M40" s="54">
        <f>'dpc-covid19-ita-andamento-naz'!H34</f>
        <v>4401</v>
      </c>
      <c r="N40" s="54">
        <f>Tabella211[[#This Row],[New_cases_fit]]-Tabella211[[#This Row],[New_Recovered_fit]]-Tabella211[[#This Row],[New_Deaths_fit]]</f>
        <v>3619.0693954129133</v>
      </c>
      <c r="O40" s="10">
        <f>'dpc-covid19-ita-andamento-naz'!J34</f>
        <v>10950</v>
      </c>
      <c r="P40" s="48">
        <f>Tabella211[[#This Row],[Cum_recov]]-O39</f>
        <v>589</v>
      </c>
      <c r="Q40" s="60">
        <f>Tabella211[[#This Row],[Cum_recov]]*NOT(ISBLANK(Tabella211[[#This Row],[Cum_recov]]))</f>
        <v>10950</v>
      </c>
      <c r="R40" s="50">
        <f>Kr*EXP(-EXP(-(Tabella211[[#This Row],[Day]]-t0r)/wr))</f>
        <v>10825.651093354003</v>
      </c>
      <c r="S40" s="10">
        <f>Tabella211[[#This Row],[Cum_R_fit]]*EXP(-(Tabella211[[#This Row],[Day]]-t0r)/wr)/wr</f>
        <v>996.258611423552</v>
      </c>
      <c r="T40" s="60">
        <f>Tabella211[[#This Row],[Cum_R_fit]]*NOT(ISBLANK(Tabella211[[#This Row],[Cum_recov]]))</f>
        <v>10825.651093354003</v>
      </c>
      <c r="U40" s="10">
        <f>Tabella211[[#This Row],[Cum_R_fit]]+CIr</f>
        <v>11617.361406014488</v>
      </c>
      <c r="V40" s="10">
        <f>MAX(Tabella211[[#This Row],[Cum_R_fit]]-CIr,0)</f>
        <v>10033.940780693518</v>
      </c>
      <c r="W40" s="10">
        <f>'dpc-covid19-ita-andamento-naz'!K34</f>
        <v>9134</v>
      </c>
      <c r="X40" s="26">
        <f>Tabella211[[#This Row],[Cum_deaths]]-W39</f>
        <v>969</v>
      </c>
      <c r="Y40" s="65">
        <f>Tabella211[[#This Row],[Cum_deaths]]*NOT(ISBLANK(Tabella211[[#This Row],[Cum_deaths]]))</f>
        <v>9134</v>
      </c>
      <c r="Z40" s="50">
        <f>Kh*EXP(-EXP(-(Tabella211[[#This Row],[Day]]-t0h)/wh))</f>
        <v>9178.4332998261943</v>
      </c>
      <c r="AA40" s="10">
        <f>Tabella211[[#This Row],[Cum_D_fit]]*EXP(-(Tabella211[[#This Row],[Day]]-t0h)/wh)/wh</f>
        <v>776.24399934191888</v>
      </c>
      <c r="AB40" s="65">
        <f>Tabella211[[#This Row],[Cum_D_fit]]*NOT(ISBLANK(Tabella211[[#This Row],[Cum_deaths]]))</f>
        <v>9178.4332998261943</v>
      </c>
      <c r="AC40" s="10">
        <f>Tabella211[[#This Row],[Cum_D_fit]]+CIh</f>
        <v>9392.0728291003998</v>
      </c>
      <c r="AD40" s="10">
        <f>MAX(Tabella211[[#This Row],[Cum_D_fit]]-CIh,0)</f>
        <v>8964.7937705519889</v>
      </c>
      <c r="AF40" s="72" t="s">
        <v>7</v>
      </c>
      <c r="AG40" s="35">
        <f>Critical_th*SE_of_yh</f>
        <v>213.6395292742053</v>
      </c>
    </row>
    <row r="41" spans="2:46" x14ac:dyDescent="0.3">
      <c r="B41" s="9">
        <v>43918</v>
      </c>
      <c r="C41" s="4">
        <f t="shared" si="0"/>
        <v>33</v>
      </c>
      <c r="D41" s="10">
        <f>'dpc-covid19-ita-andamento-naz'!L35</f>
        <v>92472</v>
      </c>
      <c r="E41" s="30">
        <f>'dpc-covid19-ita-andamento-naz'!I35</f>
        <v>5974</v>
      </c>
      <c r="F41" s="56">
        <f>Tabella211[[#This Row],[Cum_confirmed]]*NOT(ISBLANK(Tabella211[[#This Row],[Cum_confirmed]]))</f>
        <v>92472</v>
      </c>
      <c r="G41" s="50">
        <f>K*EXP(-EXP(-(Tabella211[[#This Row],[Day]]-t0)/w))</f>
        <v>90451.855833976413</v>
      </c>
      <c r="H41" s="10">
        <f>Tabella211[[#This Row],[Cum_fit]]*EXP(-(Tabella211[[#This Row],[Day]]-t0)/w)/w</f>
        <v>5327.7296631617346</v>
      </c>
      <c r="I41" s="56">
        <f>Tabella211[[#This Row],[Cum_fit]]*NOT(ISBLANK(Tabella211[[#This Row],[Cum_confirmed]]))</f>
        <v>90451.855833976413</v>
      </c>
      <c r="J41" s="10">
        <f>Tabella211[[#This Row],[Cum_fit]]+CI</f>
        <v>92667.202910704611</v>
      </c>
      <c r="K41" s="10">
        <f>MAX(Tabella211[[#This Row],[Cum_fit]]-CI,0)</f>
        <v>88236.508757248215</v>
      </c>
      <c r="L41" s="54">
        <f>'dpc-covid19-ita-andamento-naz'!G35</f>
        <v>70065</v>
      </c>
      <c r="M41" s="54">
        <f>'dpc-covid19-ita-andamento-naz'!H35</f>
        <v>3651</v>
      </c>
      <c r="N41" s="54">
        <f>Tabella211[[#This Row],[New_cases_fit]]-Tabella211[[#This Row],[New_Recovered_fit]]-Tabella211[[#This Row],[New_Deaths_fit]]</f>
        <v>3493.0507355444229</v>
      </c>
      <c r="O41" s="10">
        <f>'dpc-covid19-ita-andamento-naz'!J35</f>
        <v>12384</v>
      </c>
      <c r="P41" s="48">
        <f>Tabella211[[#This Row],[Cum_recov]]-O40</f>
        <v>1434</v>
      </c>
      <c r="Q41" s="60">
        <f>Tabella211[[#This Row],[Cum_recov]]*NOT(ISBLANK(Tabella211[[#This Row],[Cum_recov]]))</f>
        <v>12384</v>
      </c>
      <c r="R41" s="50">
        <f>Kr*EXP(-EXP(-(Tabella211[[#This Row],[Day]]-t0r)/wr))</f>
        <v>11851.348337428435</v>
      </c>
      <c r="S41" s="10">
        <f>Tabella211[[#This Row],[Cum_R_fit]]*EXP(-(Tabella211[[#This Row],[Day]]-t0r)/wr)/wr</f>
        <v>1055.1888621869543</v>
      </c>
      <c r="T41" s="60">
        <f>Tabella211[[#This Row],[Cum_R_fit]]*NOT(ISBLANK(Tabella211[[#This Row],[Cum_recov]]))</f>
        <v>11851.348337428435</v>
      </c>
      <c r="U41" s="10">
        <f>Tabella211[[#This Row],[Cum_R_fit]]+CIr</f>
        <v>12643.05865008892</v>
      </c>
      <c r="V41" s="10">
        <f>MAX(Tabella211[[#This Row],[Cum_R_fit]]-CIr,0)</f>
        <v>11059.63802476795</v>
      </c>
      <c r="W41" s="10">
        <f>'dpc-covid19-ita-andamento-naz'!K35</f>
        <v>10023</v>
      </c>
      <c r="X41" s="26">
        <f>Tabella211[[#This Row],[Cum_deaths]]-W40</f>
        <v>889</v>
      </c>
      <c r="Y41" s="65">
        <f>Tabella211[[#This Row],[Cum_deaths]]*NOT(ISBLANK(Tabella211[[#This Row],[Cum_deaths]]))</f>
        <v>10023</v>
      </c>
      <c r="Z41" s="50">
        <f>Kh*EXP(-EXP(-(Tabella211[[#This Row],[Day]]-t0h)/wh))</f>
        <v>9956.7066739943511</v>
      </c>
      <c r="AA41" s="10">
        <f>Tabella211[[#This Row],[Cum_D_fit]]*EXP(-(Tabella211[[#This Row],[Day]]-t0h)/wh)/wh</f>
        <v>779.49006543035796</v>
      </c>
      <c r="AB41" s="65">
        <f>Tabella211[[#This Row],[Cum_D_fit]]*NOT(ISBLANK(Tabella211[[#This Row],[Cum_deaths]]))</f>
        <v>9956.7066739943511</v>
      </c>
      <c r="AC41" s="10">
        <f>Tabella211[[#This Row],[Cum_D_fit]]+CIh</f>
        <v>10170.346203268557</v>
      </c>
      <c r="AD41" s="10">
        <f>MAX(Tabella211[[#This Row],[Cum_D_fit]]-CIh,0)</f>
        <v>9743.0671447201457</v>
      </c>
      <c r="AF41" s="34" t="s">
        <v>111</v>
      </c>
      <c r="AG41" s="35">
        <f>Kh</f>
        <v>27443.196525992516</v>
      </c>
    </row>
    <row r="42" spans="2:46" x14ac:dyDescent="0.3">
      <c r="B42" s="9">
        <v>43919</v>
      </c>
      <c r="C42" s="4">
        <f t="shared" si="0"/>
        <v>34</v>
      </c>
      <c r="D42" s="10">
        <f>'dpc-covid19-ita-andamento-naz'!L36</f>
        <v>97689</v>
      </c>
      <c r="E42" s="30">
        <f>'dpc-covid19-ita-andamento-naz'!I36</f>
        <v>5217</v>
      </c>
      <c r="F42" s="56">
        <f>Tabella211[[#This Row],[Cum_confirmed]]*NOT(ISBLANK(Tabella211[[#This Row],[Cum_confirmed]]))</f>
        <v>97689</v>
      </c>
      <c r="G42" s="50">
        <f>K*EXP(-EXP(-(Tabella211[[#This Row],[Day]]-t0)/w))</f>
        <v>95738.451586957133</v>
      </c>
      <c r="H42" s="10">
        <f>Tabella211[[#This Row],[Cum_fit]]*EXP(-(Tabella211[[#This Row],[Day]]-t0)/w)/w</f>
        <v>5242.0398086824134</v>
      </c>
      <c r="I42" s="56">
        <f>Tabella211[[#This Row],[Cum_fit]]*NOT(ISBLANK(Tabella211[[#This Row],[Cum_confirmed]]))</f>
        <v>95738.451586957133</v>
      </c>
      <c r="J42" s="10">
        <f>Tabella211[[#This Row],[Cum_fit]]+CI</f>
        <v>97953.798663685331</v>
      </c>
      <c r="K42" s="10">
        <f>MAX(Tabella211[[#This Row],[Cum_fit]]-CI,0)</f>
        <v>93523.104510228935</v>
      </c>
      <c r="L42" s="54">
        <f>'dpc-covid19-ita-andamento-naz'!G36</f>
        <v>73880</v>
      </c>
      <c r="M42" s="54">
        <f>'dpc-covid19-ita-andamento-naz'!H36</f>
        <v>3815</v>
      </c>
      <c r="N42" s="54">
        <f>Tabella211[[#This Row],[New_cases_fit]]-Tabella211[[#This Row],[New_Recovered_fit]]-Tabella211[[#This Row],[New_Deaths_fit]]</f>
        <v>3349.6897227123759</v>
      </c>
      <c r="O42" s="10">
        <f>'dpc-covid19-ita-andamento-naz'!J36</f>
        <v>13030</v>
      </c>
      <c r="P42" s="48">
        <f>Tabella211[[#This Row],[Cum_recov]]-O41</f>
        <v>646</v>
      </c>
      <c r="Q42" s="60">
        <f>Tabella211[[#This Row],[Cum_recov]]*NOT(ISBLANK(Tabella211[[#This Row],[Cum_recov]]))</f>
        <v>13030</v>
      </c>
      <c r="R42" s="50">
        <f>Kr*EXP(-EXP(-(Tabella211[[#This Row],[Day]]-t0r)/wr))</f>
        <v>12936.095884310156</v>
      </c>
      <c r="S42" s="10">
        <f>Tabella211[[#This Row],[Cum_R_fit]]*EXP(-(Tabella211[[#This Row],[Day]]-t0r)/wr)/wr</f>
        <v>1114.3202786754844</v>
      </c>
      <c r="T42" s="60">
        <f>Tabella211[[#This Row],[Cum_R_fit]]*NOT(ISBLANK(Tabella211[[#This Row],[Cum_recov]]))</f>
        <v>12936.095884310156</v>
      </c>
      <c r="U42" s="10">
        <f>Tabella211[[#This Row],[Cum_R_fit]]+CIr</f>
        <v>13727.806196970641</v>
      </c>
      <c r="V42" s="10">
        <f>MAX(Tabella211[[#This Row],[Cum_R_fit]]-CIr,0)</f>
        <v>12144.385571649671</v>
      </c>
      <c r="W42" s="10">
        <f>'dpc-covid19-ita-andamento-naz'!K36</f>
        <v>10779</v>
      </c>
      <c r="X42" s="26">
        <f>Tabella211[[#This Row],[Cum_deaths]]-W41</f>
        <v>756</v>
      </c>
      <c r="Y42" s="65">
        <f>Tabella211[[#This Row],[Cum_deaths]]*NOT(ISBLANK(Tabella211[[#This Row],[Cum_deaths]]))</f>
        <v>10779</v>
      </c>
      <c r="Z42" s="50">
        <f>Kh*EXP(-EXP(-(Tabella211[[#This Row],[Day]]-t0h)/wh))</f>
        <v>10735.844000920955</v>
      </c>
      <c r="AA42" s="10">
        <f>Tabella211[[#This Row],[Cum_D_fit]]*EXP(-(Tabella211[[#This Row],[Day]]-t0h)/wh)/wh</f>
        <v>778.02980729455305</v>
      </c>
      <c r="AB42" s="65">
        <f>Tabella211[[#This Row],[Cum_D_fit]]*NOT(ISBLANK(Tabella211[[#This Row],[Cum_deaths]]))</f>
        <v>10735.844000920955</v>
      </c>
      <c r="AC42" s="10">
        <f>Tabella211[[#This Row],[Cum_D_fit]]+CIh</f>
        <v>10949.483530195161</v>
      </c>
      <c r="AD42" s="10">
        <f>MAX(Tabella211[[#This Row],[Cum_D_fit]]-CIh,0)</f>
        <v>10522.20447164675</v>
      </c>
      <c r="AF42" s="34"/>
      <c r="AG42" s="76"/>
    </row>
    <row r="43" spans="2:46" x14ac:dyDescent="0.3">
      <c r="B43" s="9">
        <v>43920</v>
      </c>
      <c r="C43" s="4">
        <f t="shared" si="0"/>
        <v>35</v>
      </c>
      <c r="D43" s="10">
        <f>'dpc-covid19-ita-andamento-naz'!L37</f>
        <v>101739</v>
      </c>
      <c r="E43" s="30">
        <f>'dpc-covid19-ita-andamento-naz'!I37</f>
        <v>4050</v>
      </c>
      <c r="F43" s="56">
        <f>Tabella211[[#This Row],[Cum_confirmed]]*NOT(ISBLANK(Tabella211[[#This Row],[Cum_confirmed]]))</f>
        <v>101739</v>
      </c>
      <c r="G43" s="50">
        <f>K*EXP(-EXP(-(Tabella211[[#This Row],[Day]]-t0)/w))</f>
        <v>100929.53224542168</v>
      </c>
      <c r="H43" s="10">
        <f>Tabella211[[#This Row],[Cum_fit]]*EXP(-(Tabella211[[#This Row],[Day]]-t0)/w)/w</f>
        <v>5137.1399045945191</v>
      </c>
      <c r="I43" s="56">
        <f>Tabella211[[#This Row],[Cum_fit]]*NOT(ISBLANK(Tabella211[[#This Row],[Cum_confirmed]]))</f>
        <v>100929.53224542168</v>
      </c>
      <c r="J43" s="10">
        <f>Tabella211[[#This Row],[Cum_fit]]+CI</f>
        <v>103144.87932214988</v>
      </c>
      <c r="K43" s="10">
        <f>MAX(Tabella211[[#This Row],[Cum_fit]]-CI,0)</f>
        <v>98714.185168693482</v>
      </c>
      <c r="L43" s="54">
        <f>'dpc-covid19-ita-andamento-naz'!G37</f>
        <v>75528</v>
      </c>
      <c r="M43" s="54">
        <f>'dpc-covid19-ita-andamento-naz'!H37</f>
        <v>1648</v>
      </c>
      <c r="N43" s="54">
        <f>Tabella211[[#This Row],[New_cases_fit]]-Tabella211[[#This Row],[New_Recovered_fit]]-Tabella211[[#This Row],[New_Deaths_fit]]</f>
        <v>3191.4841582857148</v>
      </c>
      <c r="O43" s="10">
        <f>'dpc-covid19-ita-andamento-naz'!J37</f>
        <v>14620</v>
      </c>
      <c r="P43" s="48">
        <f>Tabella211[[#This Row],[Cum_recov]]-O42</f>
        <v>1590</v>
      </c>
      <c r="Q43" s="60">
        <f>Tabella211[[#This Row],[Cum_recov]]*NOT(ISBLANK(Tabella211[[#This Row],[Cum_recov]]))</f>
        <v>14620</v>
      </c>
      <c r="R43" s="50">
        <f>Kr*EXP(-EXP(-(Tabella211[[#This Row],[Day]]-t0r)/wr))</f>
        <v>14079.978021621182</v>
      </c>
      <c r="S43" s="10">
        <f>Tabella211[[#This Row],[Cum_R_fit]]*EXP(-(Tabella211[[#This Row],[Day]]-t0r)/wr)/wr</f>
        <v>1173.4191124626152</v>
      </c>
      <c r="T43" s="60">
        <f>Tabella211[[#This Row],[Cum_R_fit]]*NOT(ISBLANK(Tabella211[[#This Row],[Cum_recov]]))</f>
        <v>14079.978021621182</v>
      </c>
      <c r="U43" s="10">
        <f>Tabella211[[#This Row],[Cum_R_fit]]+CIr</f>
        <v>14871.688334281667</v>
      </c>
      <c r="V43" s="10">
        <f>MAX(Tabella211[[#This Row],[Cum_R_fit]]-CIr,0)</f>
        <v>13288.267708960697</v>
      </c>
      <c r="W43" s="10">
        <f>'dpc-covid19-ita-andamento-naz'!K37</f>
        <v>11591</v>
      </c>
      <c r="X43" s="26">
        <f>Tabella211[[#This Row],[Cum_deaths]]-W42</f>
        <v>812</v>
      </c>
      <c r="Y43" s="65">
        <f>Tabella211[[#This Row],[Cum_deaths]]*NOT(ISBLANK(Tabella211[[#This Row],[Cum_deaths]]))</f>
        <v>11591</v>
      </c>
      <c r="Z43" s="50">
        <f>Kh*EXP(-EXP(-(Tabella211[[#This Row],[Day]]-t0h)/wh))</f>
        <v>11511.321536236797</v>
      </c>
      <c r="AA43" s="10">
        <f>Tabella211[[#This Row],[Cum_D_fit]]*EXP(-(Tabella211[[#This Row],[Day]]-t0h)/wh)/wh</f>
        <v>772.23663384618942</v>
      </c>
      <c r="AB43" s="65">
        <f>Tabella211[[#This Row],[Cum_D_fit]]*NOT(ISBLANK(Tabella211[[#This Row],[Cum_deaths]]))</f>
        <v>11511.321536236797</v>
      </c>
      <c r="AC43" s="10">
        <f>Tabella211[[#This Row],[Cum_D_fit]]+CIh</f>
        <v>11724.961065511003</v>
      </c>
      <c r="AD43" s="10">
        <f>MAX(Tabella211[[#This Row],[Cum_D_fit]]-CIh,0)</f>
        <v>11297.682006962592</v>
      </c>
    </row>
    <row r="44" spans="2:46" x14ac:dyDescent="0.3">
      <c r="B44" s="9">
        <v>43921</v>
      </c>
      <c r="C44" s="4">
        <f t="shared" si="0"/>
        <v>36</v>
      </c>
      <c r="D44" s="10">
        <f>'dpc-covid19-ita-andamento-naz'!L38</f>
        <v>105792</v>
      </c>
      <c r="E44" s="30">
        <f>'dpc-covid19-ita-andamento-naz'!I38</f>
        <v>4053</v>
      </c>
      <c r="F44" s="56">
        <f>Tabella211[[#This Row],[Cum_confirmed]]*NOT(ISBLANK(Tabella211[[#This Row],[Cum_confirmed]]))</f>
        <v>105792</v>
      </c>
      <c r="G44" s="50">
        <f>K*EXP(-EXP(-(Tabella211[[#This Row],[Day]]-t0)/w))</f>
        <v>106007.20408872546</v>
      </c>
      <c r="H44" s="10">
        <f>Tabella211[[#This Row],[Cum_fit]]*EXP(-(Tabella211[[#This Row],[Day]]-t0)/w)/w</f>
        <v>5015.6558603730027</v>
      </c>
      <c r="I44" s="56">
        <f>Tabella211[[#This Row],[Cum_fit]]*NOT(ISBLANK(Tabella211[[#This Row],[Cum_confirmed]]))</f>
        <v>106007.20408872546</v>
      </c>
      <c r="J44" s="10">
        <f>Tabella211[[#This Row],[Cum_fit]]+CI</f>
        <v>108222.55116545365</v>
      </c>
      <c r="K44" s="10">
        <f>MAX(Tabella211[[#This Row],[Cum_fit]]-CI,0)</f>
        <v>103791.85701199726</v>
      </c>
      <c r="L44" s="54">
        <f>'dpc-covid19-ita-andamento-naz'!G38</f>
        <v>77635</v>
      </c>
      <c r="M44" s="54">
        <f>'dpc-covid19-ita-andamento-naz'!H38</f>
        <v>2107</v>
      </c>
      <c r="N44" s="54">
        <f>Tabella211[[#This Row],[New_cases_fit]]-Tabella211[[#This Row],[New_Recovered_fit]]-Tabella211[[#This Row],[New_Deaths_fit]]</f>
        <v>3020.8787212525172</v>
      </c>
      <c r="O44" s="10">
        <f>'dpc-covid19-ita-andamento-naz'!J38</f>
        <v>15729</v>
      </c>
      <c r="P44" s="48">
        <f>Tabella211[[#This Row],[Cum_recov]]-O43</f>
        <v>1109</v>
      </c>
      <c r="Q44" s="60">
        <f>Tabella211[[#This Row],[Cum_recov]]*NOT(ISBLANK(Tabella211[[#This Row],[Cum_recov]]))</f>
        <v>15729</v>
      </c>
      <c r="R44" s="50">
        <f>Kr*EXP(-EXP(-(Tabella211[[#This Row],[Day]]-t0r)/wr))</f>
        <v>15282.845661288422</v>
      </c>
      <c r="S44" s="10">
        <f>Tabella211[[#This Row],[Cum_R_fit]]*EXP(-(Tabella211[[#This Row],[Day]]-t0r)/wr)/wr</f>
        <v>1232.2527067385474</v>
      </c>
      <c r="T44" s="60">
        <f>Tabella211[[#This Row],[Cum_R_fit]]*NOT(ISBLANK(Tabella211[[#This Row],[Cum_recov]]))</f>
        <v>15282.845661288422</v>
      </c>
      <c r="U44" s="10">
        <f>Tabella211[[#This Row],[Cum_R_fit]]+CIr</f>
        <v>16074.555973948907</v>
      </c>
      <c r="V44" s="10">
        <f>MAX(Tabella211[[#This Row],[Cum_R_fit]]-CIr,0)</f>
        <v>14491.135348627937</v>
      </c>
      <c r="W44" s="10">
        <f>'dpc-covid19-ita-andamento-naz'!K38</f>
        <v>12428</v>
      </c>
      <c r="X44" s="26">
        <f>Tabella211[[#This Row],[Cum_deaths]]-W43</f>
        <v>837</v>
      </c>
      <c r="Y44" s="65">
        <f>Tabella211[[#This Row],[Cum_deaths]]*NOT(ISBLANK(Tabella211[[#This Row],[Cum_deaths]]))</f>
        <v>12428</v>
      </c>
      <c r="Z44" s="50">
        <f>Kh*EXP(-EXP(-(Tabella211[[#This Row],[Day]]-t0h)/wh))</f>
        <v>12279.010665423908</v>
      </c>
      <c r="AA44" s="10">
        <f>Tabella211[[#This Row],[Cum_D_fit]]*EXP(-(Tabella211[[#This Row],[Day]]-t0h)/wh)/wh</f>
        <v>762.52443238193848</v>
      </c>
      <c r="AB44" s="65">
        <f>Tabella211[[#This Row],[Cum_D_fit]]*NOT(ISBLANK(Tabella211[[#This Row],[Cum_deaths]]))</f>
        <v>12279.010665423908</v>
      </c>
      <c r="AC44" s="10">
        <f>Tabella211[[#This Row],[Cum_D_fit]]+CIh</f>
        <v>12492.650194698113</v>
      </c>
      <c r="AD44" s="10">
        <f>MAX(Tabella211[[#This Row],[Cum_D_fit]]-CIh,0)</f>
        <v>12065.371136149703</v>
      </c>
    </row>
    <row r="45" spans="2:46" x14ac:dyDescent="0.3">
      <c r="B45" s="9">
        <v>43922</v>
      </c>
      <c r="C45" s="4">
        <f t="shared" si="0"/>
        <v>37</v>
      </c>
      <c r="D45" s="10">
        <f>'dpc-covid19-ita-andamento-naz'!L39</f>
        <v>110574</v>
      </c>
      <c r="E45" s="30">
        <f>'dpc-covid19-ita-andamento-naz'!I39</f>
        <v>4782</v>
      </c>
      <c r="F45" s="56">
        <f>Tabella211[[#This Row],[Cum_confirmed]]*NOT(ISBLANK(Tabella211[[#This Row],[Cum_confirmed]]))</f>
        <v>110574</v>
      </c>
      <c r="G45" s="50">
        <f>K*EXP(-EXP(-(Tabella211[[#This Row],[Day]]-t0)/w))</f>
        <v>110956.17070038547</v>
      </c>
      <c r="H45" s="10">
        <f>Tabella211[[#This Row],[Cum_fit]]*EXP(-(Tabella211[[#This Row],[Day]]-t0)/w)/w</f>
        <v>4880.1483898601018</v>
      </c>
      <c r="I45" s="56">
        <f>Tabella211[[#This Row],[Cum_fit]]*NOT(ISBLANK(Tabella211[[#This Row],[Cum_confirmed]]))</f>
        <v>110956.17070038547</v>
      </c>
      <c r="J45" s="10">
        <f>Tabella211[[#This Row],[Cum_fit]]+CI</f>
        <v>113171.51777711367</v>
      </c>
      <c r="K45" s="10">
        <f>MAX(Tabella211[[#This Row],[Cum_fit]]-CI,0)</f>
        <v>108740.82362365727</v>
      </c>
      <c r="L45" s="54">
        <f>'dpc-covid19-ita-andamento-naz'!G39</f>
        <v>80572</v>
      </c>
      <c r="M45" s="54">
        <f>'dpc-covid19-ita-andamento-naz'!H39</f>
        <v>2937</v>
      </c>
      <c r="N45" s="54">
        <f>Tabella211[[#This Row],[New_cases_fit]]-Tabella211[[#This Row],[New_Recovered_fit]]-Tabella211[[#This Row],[New_Deaths_fit]]</f>
        <v>2840.2260673749824</v>
      </c>
      <c r="O45" s="10">
        <f>'dpc-covid19-ita-andamento-naz'!J39</f>
        <v>16847</v>
      </c>
      <c r="P45" s="48">
        <f>Tabella211[[#This Row],[Cum_recov]]-O44</f>
        <v>1118</v>
      </c>
      <c r="Q45" s="60">
        <f>Tabella211[[#This Row],[Cum_recov]]*NOT(ISBLANK(Tabella211[[#This Row],[Cum_recov]]))</f>
        <v>16847</v>
      </c>
      <c r="R45" s="50">
        <f>Kr*EXP(-EXP(-(Tabella211[[#This Row],[Day]]-t0r)/wr))</f>
        <v>16544.318452197669</v>
      </c>
      <c r="S45" s="10">
        <f>Tabella211[[#This Row],[Cum_R_fit]]*EXP(-(Tabella211[[#This Row],[Day]]-t0r)/wr)/wr</f>
        <v>1290.5915201663477</v>
      </c>
      <c r="T45" s="60">
        <f>Tabella211[[#This Row],[Cum_R_fit]]*NOT(ISBLANK(Tabella211[[#This Row],[Cum_recov]]))</f>
        <v>16544.318452197669</v>
      </c>
      <c r="U45" s="10">
        <f>Tabella211[[#This Row],[Cum_R_fit]]+CIr</f>
        <v>17336.028764858154</v>
      </c>
      <c r="V45" s="10">
        <f>MAX(Tabella211[[#This Row],[Cum_R_fit]]-CIr,0)</f>
        <v>15752.608139537184</v>
      </c>
      <c r="W45" s="10">
        <f>'dpc-covid19-ita-andamento-naz'!K39</f>
        <v>13155</v>
      </c>
      <c r="X45" s="26">
        <f>Tabella211[[#This Row],[Cum_deaths]]-W44</f>
        <v>727</v>
      </c>
      <c r="Y45" s="65">
        <f>Tabella211[[#This Row],[Cum_deaths]]*NOT(ISBLANK(Tabella211[[#This Row],[Cum_deaths]]))</f>
        <v>13155</v>
      </c>
      <c r="Z45" s="50">
        <f>Kh*EXP(-EXP(-(Tabella211[[#This Row],[Day]]-t0h)/wh))</f>
        <v>13035.209826297079</v>
      </c>
      <c r="AA45" s="10">
        <f>Tabella211[[#This Row],[Cum_D_fit]]*EXP(-(Tabella211[[#This Row],[Day]]-t0h)/wh)/wh</f>
        <v>749.3308023187717</v>
      </c>
      <c r="AB45" s="65">
        <f>Tabella211[[#This Row],[Cum_D_fit]]*NOT(ISBLANK(Tabella211[[#This Row],[Cum_deaths]]))</f>
        <v>13035.209826297079</v>
      </c>
      <c r="AC45" s="10">
        <f>Tabella211[[#This Row],[Cum_D_fit]]+CIh</f>
        <v>13248.849355571285</v>
      </c>
      <c r="AD45" s="10">
        <f>MAX(Tabella211[[#This Row],[Cum_D_fit]]-CIh,0)</f>
        <v>12821.570297022874</v>
      </c>
    </row>
    <row r="46" spans="2:46" x14ac:dyDescent="0.3">
      <c r="B46" s="9">
        <v>43923</v>
      </c>
      <c r="C46" s="4">
        <f t="shared" si="0"/>
        <v>38</v>
      </c>
      <c r="D46" s="10">
        <f>'dpc-covid19-ita-andamento-naz'!L40</f>
        <v>115242</v>
      </c>
      <c r="E46" s="30">
        <f>'dpc-covid19-ita-andamento-naz'!I40</f>
        <v>4668</v>
      </c>
      <c r="F46" s="56">
        <f>Tabella211[[#This Row],[Cum_confirmed]]*NOT(ISBLANK(Tabella211[[#This Row],[Cum_confirmed]]))</f>
        <v>115242</v>
      </c>
      <c r="G46" s="50">
        <f>K*EXP(-EXP(-(Tabella211[[#This Row],[Day]]-t0)/w))</f>
        <v>115763.64565169488</v>
      </c>
      <c r="H46" s="10">
        <f>Tabella211[[#This Row],[Cum_fit]]*EXP(-(Tabella211[[#This Row],[Day]]-t0)/w)/w</f>
        <v>4733.0705750495772</v>
      </c>
      <c r="I46" s="56">
        <f>Tabella211[[#This Row],[Cum_fit]]*NOT(ISBLANK(Tabella211[[#This Row],[Cum_confirmed]]))</f>
        <v>115763.64565169488</v>
      </c>
      <c r="J46" s="10">
        <f>Tabella211[[#This Row],[Cum_fit]]+CI</f>
        <v>117978.99272842308</v>
      </c>
      <c r="K46" s="10">
        <f>MAX(Tabella211[[#This Row],[Cum_fit]]-CI,0)</f>
        <v>113548.29857496668</v>
      </c>
      <c r="L46" s="54">
        <f>'dpc-covid19-ita-andamento-naz'!G40</f>
        <v>83049</v>
      </c>
      <c r="M46" s="54">
        <f>'dpc-covid19-ita-andamento-naz'!H40</f>
        <v>2477</v>
      </c>
      <c r="N46" s="54">
        <f>Tabella211[[#This Row],[New_cases_fit]]-Tabella211[[#This Row],[New_Recovered_fit]]-Tabella211[[#This Row],[New_Deaths_fit]]</f>
        <v>2651.7570546611823</v>
      </c>
      <c r="O46" s="10">
        <f>'dpc-covid19-ita-andamento-naz'!J40</f>
        <v>18278</v>
      </c>
      <c r="P46" s="48">
        <f>Tabella211[[#This Row],[Cum_recov]]-O45</f>
        <v>1431</v>
      </c>
      <c r="Q46" s="60">
        <f>Tabella211[[#This Row],[Cum_recov]]*NOT(ISBLANK(Tabella211[[#This Row],[Cum_recov]]))</f>
        <v>18278</v>
      </c>
      <c r="R46" s="50">
        <f>Kr*EXP(-EXP(-(Tabella211[[#This Row],[Day]]-t0r)/wr))</f>
        <v>17863.788858273234</v>
      </c>
      <c r="S46" s="10">
        <f>Tabella211[[#This Row],[Cum_R_fit]]*EXP(-(Tabella211[[#This Row],[Day]]-t0r)/wr)/wr</f>
        <v>1348.2110302321601</v>
      </c>
      <c r="T46" s="60">
        <f>Tabella211[[#This Row],[Cum_R_fit]]*NOT(ISBLANK(Tabella211[[#This Row],[Cum_recov]]))</f>
        <v>17863.788858273234</v>
      </c>
      <c r="U46" s="10">
        <f>Tabella211[[#This Row],[Cum_R_fit]]+CIr</f>
        <v>18655.499170933719</v>
      </c>
      <c r="V46" s="10">
        <f>MAX(Tabella211[[#This Row],[Cum_R_fit]]-CIr,0)</f>
        <v>17072.078545612749</v>
      </c>
      <c r="W46" s="10">
        <f>'dpc-covid19-ita-andamento-naz'!K40</f>
        <v>13915</v>
      </c>
      <c r="X46" s="26">
        <f>Tabella211[[#This Row],[Cum_deaths]]-W45</f>
        <v>760</v>
      </c>
      <c r="Y46" s="65">
        <f>Tabella211[[#This Row],[Cum_deaths]]*NOT(ISBLANK(Tabella211[[#This Row],[Cum_deaths]]))</f>
        <v>13915</v>
      </c>
      <c r="Z46" s="50">
        <f>Kh*EXP(-EXP(-(Tabella211[[#This Row],[Day]]-t0h)/wh))</f>
        <v>13776.660746633459</v>
      </c>
      <c r="AA46" s="10">
        <f>Tabella211[[#This Row],[Cum_D_fit]]*EXP(-(Tabella211[[#This Row],[Day]]-t0h)/wh)/wh</f>
        <v>733.10249015623492</v>
      </c>
      <c r="AB46" s="65">
        <f>Tabella211[[#This Row],[Cum_D_fit]]*NOT(ISBLANK(Tabella211[[#This Row],[Cum_deaths]]))</f>
        <v>13776.660746633459</v>
      </c>
      <c r="AC46" s="10">
        <f>Tabella211[[#This Row],[Cum_D_fit]]+CIh</f>
        <v>13990.300275907664</v>
      </c>
      <c r="AD46" s="10">
        <f>MAX(Tabella211[[#This Row],[Cum_D_fit]]-CIh,0)</f>
        <v>13563.021217359254</v>
      </c>
    </row>
    <row r="47" spans="2:46" x14ac:dyDescent="0.3">
      <c r="B47" s="9">
        <v>43924</v>
      </c>
      <c r="C47" s="4">
        <f t="shared" si="0"/>
        <v>39</v>
      </c>
      <c r="D47" s="10">
        <f>'dpc-covid19-ita-andamento-naz'!L41</f>
        <v>119827</v>
      </c>
      <c r="E47" s="30">
        <f>'dpc-covid19-ita-andamento-naz'!I41</f>
        <v>4585</v>
      </c>
      <c r="F47" s="56">
        <f>Tabella211[[#This Row],[Cum_confirmed]]*NOT(ISBLANK(Tabella211[[#This Row],[Cum_confirmed]]))</f>
        <v>119827</v>
      </c>
      <c r="G47" s="50">
        <f>K*EXP(-EXP(-(Tabella211[[#This Row],[Day]]-t0)/w))</f>
        <v>120419.22800794897</v>
      </c>
      <c r="H47" s="10">
        <f>Tabella211[[#This Row],[Cum_fit]]*EXP(-(Tabella211[[#This Row],[Day]]-t0)/w)/w</f>
        <v>4576.7357832233738</v>
      </c>
      <c r="I47" s="56">
        <f>Tabella211[[#This Row],[Cum_fit]]*NOT(ISBLANK(Tabella211[[#This Row],[Cum_confirmed]]))</f>
        <v>120419.22800794897</v>
      </c>
      <c r="J47" s="10">
        <f>Tabella211[[#This Row],[Cum_fit]]+CI</f>
        <v>122634.57508467717</v>
      </c>
      <c r="K47" s="10">
        <f>MAX(Tabella211[[#This Row],[Cum_fit]]-CI,0)</f>
        <v>118203.88093122077</v>
      </c>
      <c r="L47" s="54">
        <f>'dpc-covid19-ita-andamento-naz'!G41</f>
        <v>85388</v>
      </c>
      <c r="M47" s="54">
        <f>'dpc-covid19-ita-andamento-naz'!H41</f>
        <v>2339</v>
      </c>
      <c r="N47" s="54">
        <f>Tabella211[[#This Row],[New_cases_fit]]-Tabella211[[#This Row],[New_Recovered_fit]]-Tabella211[[#This Row],[New_Deaths_fit]]</f>
        <v>2457.5591189515935</v>
      </c>
      <c r="O47" s="10">
        <f>'dpc-covid19-ita-andamento-naz'!J41</f>
        <v>19758</v>
      </c>
      <c r="P47" s="48">
        <f>Tabella211[[#This Row],[Cum_recov]]-O46</f>
        <v>1480</v>
      </c>
      <c r="Q47" s="60">
        <f>Tabella211[[#This Row],[Cum_recov]]*NOT(ISBLANK(Tabella211[[#This Row],[Cum_recov]]))</f>
        <v>19758</v>
      </c>
      <c r="R47" s="50">
        <f>Kr*EXP(-EXP(-(Tabella211[[#This Row],[Day]]-t0r)/wr))</f>
        <v>19240.42807119749</v>
      </c>
      <c r="S47" s="10">
        <f>Tabella211[[#This Row],[Cum_R_fit]]*EXP(-(Tabella211[[#This Row],[Day]]-t0r)/wr)/wr</f>
        <v>1404.8934961864347</v>
      </c>
      <c r="T47" s="60">
        <f>Tabella211[[#This Row],[Cum_R_fit]]*NOT(ISBLANK(Tabella211[[#This Row],[Cum_recov]]))</f>
        <v>19240.42807119749</v>
      </c>
      <c r="U47" s="10">
        <f>Tabella211[[#This Row],[Cum_R_fit]]+CIr</f>
        <v>20032.138383857975</v>
      </c>
      <c r="V47" s="10">
        <f>MAX(Tabella211[[#This Row],[Cum_R_fit]]-CIr,0)</f>
        <v>18448.717758537005</v>
      </c>
      <c r="W47" s="10">
        <f>'dpc-covid19-ita-andamento-naz'!K41</f>
        <v>14681</v>
      </c>
      <c r="X47" s="26">
        <f>Tabella211[[#This Row],[Cum_deaths]]-W46</f>
        <v>766</v>
      </c>
      <c r="Y47" s="65">
        <f>Tabella211[[#This Row],[Cum_deaths]]*NOT(ISBLANK(Tabella211[[#This Row],[Cum_deaths]]))</f>
        <v>14681</v>
      </c>
      <c r="Z47" s="50">
        <f>Kh*EXP(-EXP(-(Tabella211[[#This Row],[Day]]-t0h)/wh))</f>
        <v>14500.551283581302</v>
      </c>
      <c r="AA47" s="10">
        <f>Tabella211[[#This Row],[Cum_D_fit]]*EXP(-(Tabella211[[#This Row],[Day]]-t0h)/wh)/wh</f>
        <v>714.28316808534566</v>
      </c>
      <c r="AB47" s="65">
        <f>Tabella211[[#This Row],[Cum_D_fit]]*NOT(ISBLANK(Tabella211[[#This Row],[Cum_deaths]]))</f>
        <v>14500.551283581302</v>
      </c>
      <c r="AC47" s="10">
        <f>Tabella211[[#This Row],[Cum_D_fit]]+CIh</f>
        <v>14714.190812855508</v>
      </c>
      <c r="AD47" s="10">
        <f>MAX(Tabella211[[#This Row],[Cum_D_fit]]-CIh,0)</f>
        <v>14286.911754307097</v>
      </c>
    </row>
    <row r="48" spans="2:46" x14ac:dyDescent="0.3">
      <c r="B48" s="9">
        <v>43925</v>
      </c>
      <c r="C48" s="4">
        <f t="shared" si="0"/>
        <v>40</v>
      </c>
      <c r="D48" s="10">
        <f>'dpc-covid19-ita-andamento-naz'!L42</f>
        <v>124632</v>
      </c>
      <c r="E48" s="30">
        <f>'dpc-covid19-ita-andamento-naz'!I42</f>
        <v>4805</v>
      </c>
      <c r="F48" s="56">
        <f>Tabella211[[#This Row],[Cum_confirmed]]*NOT(ISBLANK(Tabella211[[#This Row],[Cum_confirmed]]))</f>
        <v>124632</v>
      </c>
      <c r="G48" s="50">
        <f>K*EXP(-EXP(-(Tabella211[[#This Row],[Day]]-t0)/w))</f>
        <v>124914.75048702143</v>
      </c>
      <c r="H48" s="10">
        <f>Tabella211[[#This Row],[Cum_fit]]*EXP(-(Tabella211[[#This Row],[Day]]-t0)/w)/w</f>
        <v>4413.2948630595956</v>
      </c>
      <c r="I48" s="56">
        <f>Tabella211[[#This Row],[Cum_fit]]*NOT(ISBLANK(Tabella211[[#This Row],[Cum_confirmed]]))</f>
        <v>124914.75048702143</v>
      </c>
      <c r="J48" s="10">
        <f>Tabella211[[#This Row],[Cum_fit]]+CI</f>
        <v>127130.09756374963</v>
      </c>
      <c r="K48" s="10">
        <f>MAX(Tabella211[[#This Row],[Cum_fit]]-CI,0)</f>
        <v>122699.40341029323</v>
      </c>
      <c r="L48" s="54">
        <f>'dpc-covid19-ita-andamento-naz'!G42</f>
        <v>88274</v>
      </c>
      <c r="M48" s="54">
        <f>'dpc-covid19-ita-andamento-naz'!H42</f>
        <v>2886</v>
      </c>
      <c r="N48" s="54">
        <f>Tabella211[[#This Row],[New_cases_fit]]-Tabella211[[#This Row],[New_Recovered_fit]]-Tabella211[[#This Row],[New_Deaths_fit]]</f>
        <v>2259.5617482256757</v>
      </c>
      <c r="O48" s="10">
        <f>'dpc-covid19-ita-andamento-naz'!J42</f>
        <v>20996</v>
      </c>
      <c r="P48" s="48">
        <f>Tabella211[[#This Row],[Cum_recov]]-O47</f>
        <v>1238</v>
      </c>
      <c r="Q48" s="60">
        <f>Tabella211[[#This Row],[Cum_recov]]*NOT(ISBLANK(Tabella211[[#This Row],[Cum_recov]]))</f>
        <v>20996</v>
      </c>
      <c r="R48" s="50">
        <f>Kr*EXP(-EXP(-(Tabella211[[#This Row],[Day]]-t0r)/wr))</f>
        <v>20673.193609054561</v>
      </c>
      <c r="S48" s="10">
        <f>Tabella211[[#This Row],[Cum_R_fit]]*EXP(-(Tabella211[[#This Row],[Day]]-t0r)/wr)/wr</f>
        <v>1460.4295656191953</v>
      </c>
      <c r="T48" s="60">
        <f>Tabella211[[#This Row],[Cum_R_fit]]*NOT(ISBLANK(Tabella211[[#This Row],[Cum_recov]]))</f>
        <v>20673.193609054561</v>
      </c>
      <c r="U48" s="10">
        <f>Tabella211[[#This Row],[Cum_R_fit]]+CIr</f>
        <v>21464.903921715046</v>
      </c>
      <c r="V48" s="10">
        <f>MAX(Tabella211[[#This Row],[Cum_R_fit]]-CIr,0)</f>
        <v>19881.483296394075</v>
      </c>
      <c r="W48" s="10">
        <f>'dpc-covid19-ita-andamento-naz'!K42</f>
        <v>15362</v>
      </c>
      <c r="X48" s="26">
        <f>Tabella211[[#This Row],[Cum_deaths]]-W47</f>
        <v>681</v>
      </c>
      <c r="Y48" s="65">
        <f>Tabella211[[#This Row],[Cum_deaths]]*NOT(ISBLANK(Tabella211[[#This Row],[Cum_deaths]]))</f>
        <v>15362</v>
      </c>
      <c r="Z48" s="50">
        <f>Kh*EXP(-EXP(-(Tabella211[[#This Row],[Day]]-t0h)/wh))</f>
        <v>15204.507215717409</v>
      </c>
      <c r="AA48" s="10">
        <f>Tabella211[[#This Row],[Cum_D_fit]]*EXP(-(Tabella211[[#This Row],[Day]]-t0h)/wh)/wh</f>
        <v>693.30354921472474</v>
      </c>
      <c r="AB48" s="65">
        <f>Tabella211[[#This Row],[Cum_D_fit]]*NOT(ISBLANK(Tabella211[[#This Row],[Cum_deaths]]))</f>
        <v>15204.507215717409</v>
      </c>
      <c r="AC48" s="10">
        <f>Tabella211[[#This Row],[Cum_D_fit]]+CIh</f>
        <v>15418.146744991614</v>
      </c>
      <c r="AD48" s="10">
        <f>MAX(Tabella211[[#This Row],[Cum_D_fit]]-CIh,0)</f>
        <v>14990.867686443204</v>
      </c>
    </row>
    <row r="49" spans="2:30" x14ac:dyDescent="0.3">
      <c r="B49" s="9">
        <v>43926</v>
      </c>
      <c r="C49" s="4">
        <f t="shared" si="0"/>
        <v>41</v>
      </c>
      <c r="D49" s="10">
        <f>'dpc-covid19-ita-andamento-naz'!L43</f>
        <v>128948</v>
      </c>
      <c r="E49" s="30">
        <f>'dpc-covid19-ita-andamento-naz'!I43</f>
        <v>4316</v>
      </c>
      <c r="F49" s="56">
        <f>Tabella211[[#This Row],[Cum_confirmed]]*NOT(ISBLANK(Tabella211[[#This Row],[Cum_confirmed]]))</f>
        <v>128948</v>
      </c>
      <c r="G49" s="50">
        <f>K*EXP(-EXP(-(Tabella211[[#This Row],[Day]]-t0)/w))</f>
        <v>129244.10896075536</v>
      </c>
      <c r="H49" s="10">
        <f>Tabella211[[#This Row],[Cum_fit]]*EXP(-(Tabella211[[#This Row],[Day]]-t0)/w)/w</f>
        <v>4244.7214313242521</v>
      </c>
      <c r="I49" s="56">
        <f>Tabella211[[#This Row],[Cum_fit]]*NOT(ISBLANK(Tabella211[[#This Row],[Cum_confirmed]]))</f>
        <v>129244.10896075536</v>
      </c>
      <c r="J49" s="10">
        <f>Tabella211[[#This Row],[Cum_fit]]+CI</f>
        <v>131459.45603748356</v>
      </c>
      <c r="K49" s="10">
        <f>MAX(Tabella211[[#This Row],[Cum_fit]]-CI,0)</f>
        <v>127028.76188402716</v>
      </c>
      <c r="L49" s="54">
        <f>'dpc-covid19-ita-andamento-naz'!G43</f>
        <v>91246</v>
      </c>
      <c r="M49" s="54">
        <f>'dpc-covid19-ita-andamento-naz'!H43</f>
        <v>2972</v>
      </c>
      <c r="N49" s="54">
        <f>Tabella211[[#This Row],[New_cases_fit]]-Tabella211[[#This Row],[New_Recovered_fit]]-Tabella211[[#This Row],[New_Deaths_fit]]</f>
        <v>2059.5279958493779</v>
      </c>
      <c r="O49" s="10">
        <f>'dpc-covid19-ita-andamento-naz'!J43</f>
        <v>21815</v>
      </c>
      <c r="P49" s="48">
        <f>Tabella211[[#This Row],[Cum_recov]]-O48</f>
        <v>819</v>
      </c>
      <c r="Q49" s="60">
        <f>Tabella211[[#This Row],[Cum_recov]]*NOT(ISBLANK(Tabella211[[#This Row],[Cum_recov]]))</f>
        <v>21815</v>
      </c>
      <c r="R49" s="50">
        <f>Kr*EXP(-EXP(-(Tabella211[[#This Row],[Day]]-t0r)/wr))</f>
        <v>22160.838438182087</v>
      </c>
      <c r="S49" s="10">
        <f>Tabella211[[#This Row],[Cum_R_fit]]*EXP(-(Tabella211[[#This Row],[Day]]-t0r)/wr)/wr</f>
        <v>1514.6197126099355</v>
      </c>
      <c r="T49" s="60">
        <f>Tabella211[[#This Row],[Cum_R_fit]]*NOT(ISBLANK(Tabella211[[#This Row],[Cum_recov]]))</f>
        <v>22160.838438182087</v>
      </c>
      <c r="U49" s="10">
        <f>Tabella211[[#This Row],[Cum_R_fit]]+CIr</f>
        <v>22952.548750842572</v>
      </c>
      <c r="V49" s="10">
        <f>MAX(Tabella211[[#This Row],[Cum_R_fit]]-CIr,0)</f>
        <v>21369.128125521602</v>
      </c>
      <c r="W49" s="10">
        <f>'dpc-covid19-ita-andamento-naz'!K43</f>
        <v>15887</v>
      </c>
      <c r="X49" s="26">
        <f>Tabella211[[#This Row],[Cum_deaths]]-W48</f>
        <v>525</v>
      </c>
      <c r="Y49" s="65">
        <f>Tabella211[[#This Row],[Cum_deaths]]*NOT(ISBLANK(Tabella211[[#This Row],[Cum_deaths]]))</f>
        <v>15887</v>
      </c>
      <c r="Z49" s="50">
        <f>Kh*EXP(-EXP(-(Tabella211[[#This Row],[Day]]-t0h)/wh))</f>
        <v>15886.575273662003</v>
      </c>
      <c r="AA49" s="10">
        <f>Tabella211[[#This Row],[Cum_D_fit]]*EXP(-(Tabella211[[#This Row],[Day]]-t0h)/wh)/wh</f>
        <v>670.57372286493876</v>
      </c>
      <c r="AB49" s="65">
        <f>Tabella211[[#This Row],[Cum_D_fit]]*NOT(ISBLANK(Tabella211[[#This Row],[Cum_deaths]]))</f>
        <v>15886.575273662003</v>
      </c>
      <c r="AC49" s="10">
        <f>Tabella211[[#This Row],[Cum_D_fit]]+CIh</f>
        <v>16100.214802936209</v>
      </c>
      <c r="AD49" s="10">
        <f>MAX(Tabella211[[#This Row],[Cum_D_fit]]-CIh,0)</f>
        <v>15672.935744387798</v>
      </c>
    </row>
    <row r="50" spans="2:30" x14ac:dyDescent="0.3">
      <c r="B50" s="9">
        <v>43927</v>
      </c>
      <c r="C50" s="4">
        <f t="shared" si="0"/>
        <v>42</v>
      </c>
      <c r="D50" s="10">
        <f>'dpc-covid19-ita-andamento-naz'!L44</f>
        <v>132547</v>
      </c>
      <c r="E50" s="30">
        <f>'dpc-covid19-ita-andamento-naz'!I44</f>
        <v>3599</v>
      </c>
      <c r="F50" s="56">
        <f>Tabella211[[#This Row],[Cum_confirmed]]*NOT(ISBLANK(Tabella211[[#This Row],[Cum_confirmed]]))</f>
        <v>132547</v>
      </c>
      <c r="G50" s="50">
        <f>K*EXP(-EXP(-(Tabella211[[#This Row],[Day]]-t0)/w))</f>
        <v>133403.08077984152</v>
      </c>
      <c r="H50" s="10">
        <f>Tabella211[[#This Row],[Cum_fit]]*EXP(-(Tabella211[[#This Row],[Day]]-t0)/w)/w</f>
        <v>4072.8040309470907</v>
      </c>
      <c r="I50" s="56">
        <f>Tabella211[[#This Row],[Cum_fit]]*NOT(ISBLANK(Tabella211[[#This Row],[Cum_confirmed]]))</f>
        <v>133403.08077984152</v>
      </c>
      <c r="J50" s="10">
        <f>Tabella211[[#This Row],[Cum_fit]]+CI</f>
        <v>135618.42785656973</v>
      </c>
      <c r="K50" s="10">
        <f>MAX(Tabella211[[#This Row],[Cum_fit]]-CI,0)</f>
        <v>131187.73370311331</v>
      </c>
      <c r="L50" s="54">
        <f>'dpc-covid19-ita-andamento-naz'!G44</f>
        <v>93187</v>
      </c>
      <c r="M50" s="54">
        <f>'dpc-covid19-ita-andamento-naz'!H44</f>
        <v>1941</v>
      </c>
      <c r="N50" s="54">
        <f>Tabella211[[#This Row],[New_cases_fit]]-Tabella211[[#This Row],[New_Recovered_fit]]-Tabella211[[#This Row],[New_Deaths_fit]]</f>
        <v>1859.0510123896238</v>
      </c>
      <c r="O50" s="10">
        <f>'dpc-covid19-ita-andamento-naz'!J44</f>
        <v>22837</v>
      </c>
      <c r="P50" s="48">
        <f>Tabella211[[#This Row],[Cum_recov]]-O49</f>
        <v>1022</v>
      </c>
      <c r="Q50" s="60">
        <f>Tabella211[[#This Row],[Cum_recov]]*NOT(ISBLANK(Tabella211[[#This Row],[Cum_recov]]))</f>
        <v>22837</v>
      </c>
      <c r="R50" s="50">
        <f>Kr*EXP(-EXP(-(Tabella211[[#This Row],[Day]]-t0r)/wr))</f>
        <v>23701.921445351676</v>
      </c>
      <c r="S50" s="10">
        <f>Tabella211[[#This Row],[Cum_R_fit]]*EXP(-(Tabella211[[#This Row],[Day]]-t0r)/wr)/wr</f>
        <v>1567.2754991563213</v>
      </c>
      <c r="T50" s="60">
        <f>Tabella211[[#This Row],[Cum_R_fit]]*NOT(ISBLANK(Tabella211[[#This Row],[Cum_recov]]))</f>
        <v>23701.921445351676</v>
      </c>
      <c r="U50" s="10">
        <f>Tabella211[[#This Row],[Cum_R_fit]]+CIr</f>
        <v>24493.631758012161</v>
      </c>
      <c r="V50" s="10">
        <f>MAX(Tabella211[[#This Row],[Cum_R_fit]]-CIr,0)</f>
        <v>22910.211132691191</v>
      </c>
      <c r="W50" s="10">
        <f>'dpc-covid19-ita-andamento-naz'!K44</f>
        <v>16523</v>
      </c>
      <c r="X50" s="26">
        <f>Tabella211[[#This Row],[Cum_deaths]]-W49</f>
        <v>636</v>
      </c>
      <c r="Y50" s="65">
        <f>Tabella211[[#This Row],[Cum_deaths]]*NOT(ISBLANK(Tabella211[[#This Row],[Cum_deaths]]))</f>
        <v>16523</v>
      </c>
      <c r="Z50" s="50">
        <f>Kh*EXP(-EXP(-(Tabella211[[#This Row],[Day]]-t0h)/wh))</f>
        <v>16545.199538882207</v>
      </c>
      <c r="AA50" s="10">
        <f>Tabella211[[#This Row],[Cum_D_fit]]*EXP(-(Tabella211[[#This Row],[Day]]-t0h)/wh)/wh</f>
        <v>646.4775194011454</v>
      </c>
      <c r="AB50" s="65">
        <f>Tabella211[[#This Row],[Cum_D_fit]]*NOT(ISBLANK(Tabella211[[#This Row],[Cum_deaths]]))</f>
        <v>16545.199538882207</v>
      </c>
      <c r="AC50" s="10">
        <f>Tabella211[[#This Row],[Cum_D_fit]]+CIh</f>
        <v>16758.839068156412</v>
      </c>
      <c r="AD50" s="10">
        <f>MAX(Tabella211[[#This Row],[Cum_D_fit]]-CIh,0)</f>
        <v>16331.560009608002</v>
      </c>
    </row>
    <row r="51" spans="2:30" x14ac:dyDescent="0.3">
      <c r="B51" s="9">
        <v>43928</v>
      </c>
      <c r="C51" s="4">
        <f t="shared" si="0"/>
        <v>43</v>
      </c>
      <c r="D51" s="10">
        <f>'dpc-covid19-ita-andamento-naz'!L45</f>
        <v>135586</v>
      </c>
      <c r="E51" s="30">
        <f>'dpc-covid19-ita-andamento-naz'!I45</f>
        <v>3039</v>
      </c>
      <c r="F51" s="56">
        <f>Tabella211[[#This Row],[Cum_confirmed]]*NOT(ISBLANK(Tabella211[[#This Row],[Cum_confirmed]]))</f>
        <v>135586</v>
      </c>
      <c r="G51" s="50">
        <f>K*EXP(-EXP(-(Tabella211[[#This Row],[Day]]-t0)/w))</f>
        <v>137389.13819477771</v>
      </c>
      <c r="H51" s="10">
        <f>Tabella211[[#This Row],[Cum_fit]]*EXP(-(Tabella211[[#This Row],[Day]]-t0)/w)/w</f>
        <v>3899.1439721506463</v>
      </c>
      <c r="I51" s="56">
        <f>Tabella211[[#This Row],[Cum_fit]]*NOT(ISBLANK(Tabella211[[#This Row],[Cum_confirmed]]))</f>
        <v>137389.13819477771</v>
      </c>
      <c r="J51" s="10">
        <f>Tabella211[[#This Row],[Cum_fit]]+CI</f>
        <v>139604.48527150592</v>
      </c>
      <c r="K51" s="10">
        <f>MAX(Tabella211[[#This Row],[Cum_fit]]-CI,0)</f>
        <v>135173.7911180495</v>
      </c>
      <c r="L51" s="54">
        <f>'dpc-covid19-ita-andamento-naz'!G45</f>
        <v>94067</v>
      </c>
      <c r="M51" s="54">
        <f>'dpc-covid19-ita-andamento-naz'!H45</f>
        <v>880</v>
      </c>
      <c r="N51" s="54">
        <f>Tabella211[[#This Row],[New_cases_fit]]-Tabella211[[#This Row],[New_Recovered_fit]]-Tabella211[[#This Row],[New_Deaths_fit]]</f>
        <v>1659.5546470089298</v>
      </c>
      <c r="O51" s="10">
        <f>'dpc-covid19-ita-andamento-naz'!J45</f>
        <v>24392</v>
      </c>
      <c r="P51" s="48">
        <f>Tabella211[[#This Row],[Cum_recov]]-O50</f>
        <v>1555</v>
      </c>
      <c r="Q51" s="60">
        <f>Tabella211[[#This Row],[Cum_recov]]*NOT(ISBLANK(Tabella211[[#This Row],[Cum_recov]]))</f>
        <v>24392</v>
      </c>
      <c r="R51" s="50">
        <f>Kr*EXP(-EXP(-(Tabella211[[#This Row],[Day]]-t0r)/wr))</f>
        <v>25294.81908090198</v>
      </c>
      <c r="S51" s="10">
        <f>Tabella211[[#This Row],[Cum_R_fit]]*EXP(-(Tabella211[[#This Row],[Day]]-t0r)/wr)/wr</f>
        <v>1618.2206551443589</v>
      </c>
      <c r="T51" s="60">
        <f>Tabella211[[#This Row],[Cum_R_fit]]*NOT(ISBLANK(Tabella211[[#This Row],[Cum_recov]]))</f>
        <v>25294.81908090198</v>
      </c>
      <c r="U51" s="10">
        <f>Tabella211[[#This Row],[Cum_R_fit]]+CIr</f>
        <v>26086.529393562465</v>
      </c>
      <c r="V51" s="10">
        <f>MAX(Tabella211[[#This Row],[Cum_R_fit]]-CIr,0)</f>
        <v>24503.108768241495</v>
      </c>
      <c r="W51" s="10">
        <f>'dpc-covid19-ita-andamento-naz'!K45</f>
        <v>17127</v>
      </c>
      <c r="X51" s="26">
        <f>Tabella211[[#This Row],[Cum_deaths]]-W50</f>
        <v>604</v>
      </c>
      <c r="Y51" s="65">
        <f>Tabella211[[#This Row],[Cum_deaths]]*NOT(ISBLANK(Tabella211[[#This Row],[Cum_deaths]]))</f>
        <v>17127</v>
      </c>
      <c r="Z51" s="50">
        <f>Kh*EXP(-EXP(-(Tabella211[[#This Row],[Day]]-t0h)/wh))</f>
        <v>17179.193125504724</v>
      </c>
      <c r="AA51" s="10">
        <f>Tabella211[[#This Row],[Cum_D_fit]]*EXP(-(Tabella211[[#This Row],[Day]]-t0h)/wh)/wh</f>
        <v>621.3686699973573</v>
      </c>
      <c r="AB51" s="65">
        <f>Tabella211[[#This Row],[Cum_D_fit]]*NOT(ISBLANK(Tabella211[[#This Row],[Cum_deaths]]))</f>
        <v>17179.193125504724</v>
      </c>
      <c r="AC51" s="10">
        <f>Tabella211[[#This Row],[Cum_D_fit]]+CIh</f>
        <v>17392.832654778929</v>
      </c>
      <c r="AD51" s="10">
        <f>MAX(Tabella211[[#This Row],[Cum_D_fit]]-CIh,0)</f>
        <v>16965.553596230518</v>
      </c>
    </row>
    <row r="52" spans="2:30" x14ac:dyDescent="0.3">
      <c r="B52" s="9">
        <v>43929</v>
      </c>
      <c r="C52" s="4">
        <f t="shared" si="0"/>
        <v>44</v>
      </c>
      <c r="D52" s="10">
        <f>'dpc-covid19-ita-andamento-naz'!L46</f>
        <v>139422</v>
      </c>
      <c r="E52" s="30">
        <f>'dpc-covid19-ita-andamento-naz'!I46</f>
        <v>3836</v>
      </c>
      <c r="F52" s="56">
        <f>Tabella211[[#This Row],[Cum_confirmed]]*NOT(ISBLANK(Tabella211[[#This Row],[Cum_confirmed]]))</f>
        <v>139422</v>
      </c>
      <c r="G52" s="50">
        <f>K*EXP(-EXP(-(Tabella211[[#This Row],[Day]]-t0)/w))</f>
        <v>141201.26199120883</v>
      </c>
      <c r="H52" s="10">
        <f>Tabella211[[#This Row],[Cum_fit]]*EXP(-(Tabella211[[#This Row],[Day]]-t0)/w)/w</f>
        <v>3725.1577421452093</v>
      </c>
      <c r="I52" s="56">
        <f>Tabella211[[#This Row],[Cum_fit]]*NOT(ISBLANK(Tabella211[[#This Row],[Cum_confirmed]]))</f>
        <v>141201.26199120883</v>
      </c>
      <c r="J52" s="10">
        <f>Tabella211[[#This Row],[Cum_fit]]+CI</f>
        <v>143416.60906793704</v>
      </c>
      <c r="K52" s="10">
        <f>MAX(Tabella211[[#This Row],[Cum_fit]]-CI,0)</f>
        <v>138985.91491448061</v>
      </c>
      <c r="L52" s="54">
        <f>'dpc-covid19-ita-andamento-naz'!G46</f>
        <v>95262</v>
      </c>
      <c r="M52" s="54">
        <f>'dpc-covid19-ita-andamento-naz'!H46</f>
        <v>1195</v>
      </c>
      <c r="N52" s="54">
        <f>Tabella211[[#This Row],[New_cases_fit]]-Tabella211[[#This Row],[New_Recovered_fit]]-Tabella211[[#This Row],[New_Deaths_fit]]</f>
        <v>1462.2972601717752</v>
      </c>
      <c r="O52" s="10">
        <f>'dpc-covid19-ita-andamento-naz'!J46</f>
        <v>26491</v>
      </c>
      <c r="P52" s="48">
        <f>Tabella211[[#This Row],[Cum_recov]]-O51</f>
        <v>2099</v>
      </c>
      <c r="Q52" s="60">
        <f>Tabella211[[#This Row],[Cum_recov]]*NOT(ISBLANK(Tabella211[[#This Row],[Cum_recov]]))</f>
        <v>26491</v>
      </c>
      <c r="R52" s="50">
        <f>Kr*EXP(-EXP(-(Tabella211[[#This Row],[Day]]-t0r)/wr))</f>
        <v>26937.737990382542</v>
      </c>
      <c r="S52" s="10">
        <f>Tabella211[[#This Row],[Cum_R_fit]]*EXP(-(Tabella211[[#This Row],[Day]]-t0r)/wr)/wr</f>
        <v>1667.2919754192176</v>
      </c>
      <c r="T52" s="60">
        <f>Tabella211[[#This Row],[Cum_R_fit]]*NOT(ISBLANK(Tabella211[[#This Row],[Cum_recov]]))</f>
        <v>26937.737990382542</v>
      </c>
      <c r="U52" s="10">
        <f>Tabella211[[#This Row],[Cum_R_fit]]+CIr</f>
        <v>27729.448303043027</v>
      </c>
      <c r="V52" s="10">
        <f>MAX(Tabella211[[#This Row],[Cum_R_fit]]-CIr,0)</f>
        <v>26146.027677722057</v>
      </c>
      <c r="W52" s="10">
        <f>'dpc-covid19-ita-andamento-naz'!K46</f>
        <v>17669</v>
      </c>
      <c r="X52" s="26">
        <f>Tabella211[[#This Row],[Cum_deaths]]-W51</f>
        <v>542</v>
      </c>
      <c r="Y52" s="65">
        <f>Tabella211[[#This Row],[Cum_deaths]]*NOT(ISBLANK(Tabella211[[#This Row],[Cum_deaths]]))</f>
        <v>17669</v>
      </c>
      <c r="Z52" s="50">
        <f>Kh*EXP(-EXP(-(Tabella211[[#This Row],[Day]]-t0h)/wh))</f>
        <v>17787.706813521057</v>
      </c>
      <c r="AA52" s="10">
        <f>Tabella211[[#This Row],[Cum_D_fit]]*EXP(-(Tabella211[[#This Row],[Day]]-t0h)/wh)/wh</f>
        <v>595.56850655421658</v>
      </c>
      <c r="AB52" s="65">
        <f>Tabella211[[#This Row],[Cum_D_fit]]*NOT(ISBLANK(Tabella211[[#This Row],[Cum_deaths]]))</f>
        <v>17787.706813521057</v>
      </c>
      <c r="AC52" s="10">
        <f>Tabella211[[#This Row],[Cum_D_fit]]+CIh</f>
        <v>18001.346342795263</v>
      </c>
      <c r="AD52" s="10">
        <f>MAX(Tabella211[[#This Row],[Cum_D_fit]]-CIh,0)</f>
        <v>17574.067284246852</v>
      </c>
    </row>
    <row r="53" spans="2:30" x14ac:dyDescent="0.3">
      <c r="B53" s="9">
        <v>43930</v>
      </c>
      <c r="C53" s="4">
        <f t="shared" si="0"/>
        <v>45</v>
      </c>
      <c r="D53" s="10">
        <f>'dpc-covid19-ita-andamento-naz'!L47</f>
        <v>143626</v>
      </c>
      <c r="E53" s="30">
        <f>'dpc-covid19-ita-andamento-naz'!I47</f>
        <v>4204</v>
      </c>
      <c r="F53" s="56">
        <f>Tabella211[[#This Row],[Cum_confirmed]]*NOT(ISBLANK(Tabella211[[#This Row],[Cum_confirmed]]))</f>
        <v>143626</v>
      </c>
      <c r="G53" s="50">
        <f>K*EXP(-EXP(-(Tabella211[[#This Row],[Day]]-t0)/w))</f>
        <v>144839.75939236872</v>
      </c>
      <c r="H53" s="10">
        <f>Tabella211[[#This Row],[Cum_fit]]*EXP(-(Tabella211[[#This Row],[Day]]-t0)/w)/w</f>
        <v>3552.0829701551588</v>
      </c>
      <c r="I53" s="56">
        <f>Tabella211[[#This Row],[Cum_fit]]*NOT(ISBLANK(Tabella211[[#This Row],[Cum_confirmed]]))</f>
        <v>144839.75939236872</v>
      </c>
      <c r="J53" s="10">
        <f>Tabella211[[#This Row],[Cum_fit]]+CI</f>
        <v>147055.10646909694</v>
      </c>
      <c r="K53" s="10">
        <f>MAX(Tabella211[[#This Row],[Cum_fit]]-CI,0)</f>
        <v>142624.41231564051</v>
      </c>
      <c r="L53" s="54">
        <f>'dpc-covid19-ita-andamento-naz'!G47</f>
        <v>96877</v>
      </c>
      <c r="M53" s="54">
        <f>'dpc-covid19-ita-andamento-naz'!H47</f>
        <v>1615</v>
      </c>
      <c r="N53" s="54">
        <f>Tabella211[[#This Row],[New_cases_fit]]-Tabella211[[#This Row],[New_Recovered_fit]]-Tabella211[[#This Row],[New_Deaths_fit]]</f>
        <v>1268.3779896858541</v>
      </c>
      <c r="O53" s="10">
        <f>'dpc-covid19-ita-andamento-naz'!J47</f>
        <v>28470</v>
      </c>
      <c r="P53" s="48">
        <f>Tabella211[[#This Row],[Cum_recov]]-O52</f>
        <v>1979</v>
      </c>
      <c r="Q53" s="60">
        <f>Tabella211[[#This Row],[Cum_recov]]*NOT(ISBLANK(Tabella211[[#This Row],[Cum_recov]]))</f>
        <v>28470</v>
      </c>
      <c r="R53" s="50">
        <f>Kr*EXP(-EXP(-(Tabella211[[#This Row],[Day]]-t0r)/wr))</f>
        <v>28628.728452349293</v>
      </c>
      <c r="S53" s="10">
        <f>Tabella211[[#This Row],[Cum_R_fit]]*EXP(-(Tabella211[[#This Row],[Day]]-t0r)/wr)/wr</f>
        <v>1714.3400355078033</v>
      </c>
      <c r="T53" s="60">
        <f>Tabella211[[#This Row],[Cum_R_fit]]*NOT(ISBLANK(Tabella211[[#This Row],[Cum_recov]]))</f>
        <v>28628.728452349293</v>
      </c>
      <c r="U53" s="10">
        <f>Tabella211[[#This Row],[Cum_R_fit]]+CIr</f>
        <v>29420.438765009778</v>
      </c>
      <c r="V53" s="10">
        <f>MAX(Tabella211[[#This Row],[Cum_R_fit]]-CIr,0)</f>
        <v>27837.018139688807</v>
      </c>
      <c r="W53" s="10">
        <f>'dpc-covid19-ita-andamento-naz'!K47</f>
        <v>18279</v>
      </c>
      <c r="X53" s="26">
        <f>Tabella211[[#This Row],[Cum_deaths]]-W52</f>
        <v>610</v>
      </c>
      <c r="Y53" s="65">
        <f>Tabella211[[#This Row],[Cum_deaths]]*NOT(ISBLANK(Tabella211[[#This Row],[Cum_deaths]]))</f>
        <v>18279</v>
      </c>
      <c r="Z53" s="50">
        <f>Kh*EXP(-EXP(-(Tabella211[[#This Row],[Day]]-t0h)/wh))</f>
        <v>18370.19604468971</v>
      </c>
      <c r="AA53" s="10">
        <f>Tabella211[[#This Row],[Cum_D_fit]]*EXP(-(Tabella211[[#This Row],[Day]]-t0h)/wh)/wh</f>
        <v>569.36494496150124</v>
      </c>
      <c r="AB53" s="65">
        <f>Tabella211[[#This Row],[Cum_D_fit]]*NOT(ISBLANK(Tabella211[[#This Row],[Cum_deaths]]))</f>
        <v>18370.19604468971</v>
      </c>
      <c r="AC53" s="10">
        <f>Tabella211[[#This Row],[Cum_D_fit]]+CIh</f>
        <v>18583.835573963916</v>
      </c>
      <c r="AD53" s="10">
        <f>MAX(Tabella211[[#This Row],[Cum_D_fit]]-CIh,0)</f>
        <v>18156.556515415505</v>
      </c>
    </row>
    <row r="54" spans="2:30" x14ac:dyDescent="0.3">
      <c r="B54" s="9">
        <v>43931</v>
      </c>
      <c r="C54" s="4">
        <f t="shared" si="0"/>
        <v>46</v>
      </c>
      <c r="D54" s="10">
        <f>'dpc-covid19-ita-andamento-naz'!L48</f>
        <v>147577</v>
      </c>
      <c r="E54" s="30">
        <f>'dpc-covid19-ita-andamento-naz'!I48</f>
        <v>3951</v>
      </c>
      <c r="F54" s="56">
        <f>Tabella211[[#This Row],[Cum_confirmed]]*NOT(ISBLANK(Tabella211[[#This Row],[Cum_confirmed]]))</f>
        <v>147577</v>
      </c>
      <c r="G54" s="50">
        <f>K*EXP(-EXP(-(Tabella211[[#This Row],[Day]]-t0)/w))</f>
        <v>148306.08932541375</v>
      </c>
      <c r="H54" s="10">
        <f>Tabella211[[#This Row],[Cum_fit]]*EXP(-(Tabella211[[#This Row],[Day]]-t0)/w)/w</f>
        <v>3380.9870507698779</v>
      </c>
      <c r="I54" s="56">
        <f>Tabella211[[#This Row],[Cum_fit]]*NOT(ISBLANK(Tabella211[[#This Row],[Cum_confirmed]]))</f>
        <v>148306.08932541375</v>
      </c>
      <c r="J54" s="10">
        <f>Tabella211[[#This Row],[Cum_fit]]+CI</f>
        <v>150521.43640214196</v>
      </c>
      <c r="K54" s="10">
        <f>MAX(Tabella211[[#This Row],[Cum_fit]]-CI,0)</f>
        <v>146090.74224868554</v>
      </c>
      <c r="L54" s="54">
        <f>'dpc-covid19-ita-andamento-naz'!G48</f>
        <v>98273</v>
      </c>
      <c r="M54" s="54">
        <f>'dpc-covid19-ita-andamento-naz'!H48</f>
        <v>1396</v>
      </c>
      <c r="N54" s="54">
        <f>Tabella211[[#This Row],[New_cases_fit]]-Tabella211[[#This Row],[New_Recovered_fit]]-Tabella211[[#This Row],[New_Deaths_fit]]</f>
        <v>1078.7448147277105</v>
      </c>
      <c r="O54" s="10">
        <f>'dpc-covid19-ita-andamento-naz'!J48</f>
        <v>30455</v>
      </c>
      <c r="P54" s="48">
        <f>Tabella211[[#This Row],[Cum_recov]]-O53</f>
        <v>1985</v>
      </c>
      <c r="Q54" s="60">
        <f>Tabella211[[#This Row],[Cum_recov]]*NOT(ISBLANK(Tabella211[[#This Row],[Cum_recov]]))</f>
        <v>30455</v>
      </c>
      <c r="R54" s="50">
        <f>Kr*EXP(-EXP(-(Tabella211[[#This Row],[Day]]-t0r)/wr))</f>
        <v>30365.698442860434</v>
      </c>
      <c r="S54" s="10">
        <f>Tabella211[[#This Row],[Cum_R_fit]]*EXP(-(Tabella211[[#This Row],[Day]]-t0r)/wr)/wr</f>
        <v>1759.2297302018012</v>
      </c>
      <c r="T54" s="60">
        <f>Tabella211[[#This Row],[Cum_R_fit]]*NOT(ISBLANK(Tabella211[[#This Row],[Cum_recov]]))</f>
        <v>30365.698442860434</v>
      </c>
      <c r="U54" s="10">
        <f>Tabella211[[#This Row],[Cum_R_fit]]+CIr</f>
        <v>31157.408755520919</v>
      </c>
      <c r="V54" s="10">
        <f>MAX(Tabella211[[#This Row],[Cum_R_fit]]-CIr,0)</f>
        <v>29573.988130199949</v>
      </c>
      <c r="W54" s="10">
        <f>'dpc-covid19-ita-andamento-naz'!K48</f>
        <v>18849</v>
      </c>
      <c r="X54" s="26">
        <f>Tabella211[[#This Row],[Cum_deaths]]-W53</f>
        <v>570</v>
      </c>
      <c r="Y54" s="65">
        <f>Tabella211[[#This Row],[Cum_deaths]]*NOT(ISBLANK(Tabella211[[#This Row],[Cum_deaths]]))</f>
        <v>18849</v>
      </c>
      <c r="Z54" s="50">
        <f>Kh*EXP(-EXP(-(Tabella211[[#This Row],[Day]]-t0h)/wh))</f>
        <v>18926.387440217117</v>
      </c>
      <c r="AA54" s="10">
        <f>Tabella211[[#This Row],[Cum_D_fit]]*EXP(-(Tabella211[[#This Row],[Day]]-t0h)/wh)/wh</f>
        <v>543.01250584036609</v>
      </c>
      <c r="AB54" s="65">
        <f>Tabella211[[#This Row],[Cum_D_fit]]*NOT(ISBLANK(Tabella211[[#This Row],[Cum_deaths]]))</f>
        <v>18926.387440217117</v>
      </c>
      <c r="AC54" s="10">
        <f>Tabella211[[#This Row],[Cum_D_fit]]+CIh</f>
        <v>19140.026969491322</v>
      </c>
      <c r="AD54" s="10">
        <f>MAX(Tabella211[[#This Row],[Cum_D_fit]]-CIh,0)</f>
        <v>18712.747910942911</v>
      </c>
    </row>
    <row r="55" spans="2:30" x14ac:dyDescent="0.3">
      <c r="B55" s="9">
        <v>43932</v>
      </c>
      <c r="C55" s="4">
        <f t="shared" si="0"/>
        <v>47</v>
      </c>
      <c r="D55" s="10">
        <f>'dpc-covid19-ita-andamento-naz'!L49</f>
        <v>152271</v>
      </c>
      <c r="E55" s="30">
        <f>'dpc-covid19-ita-andamento-naz'!I49</f>
        <v>4694</v>
      </c>
      <c r="F55" s="56">
        <f>Tabella211[[#This Row],[Cum_confirmed]]*NOT(ISBLANK(Tabella211[[#This Row],[Cum_confirmed]]))</f>
        <v>152271</v>
      </c>
      <c r="G55" s="50">
        <f>K*EXP(-EXP(-(Tabella211[[#This Row],[Day]]-t0)/w))</f>
        <v>151602.69731214168</v>
      </c>
      <c r="H55" s="10">
        <f>Tabella211[[#This Row],[Cum_fit]]*EXP(-(Tabella211[[#This Row],[Day]]-t0)/w)/w</f>
        <v>3212.7776502856364</v>
      </c>
      <c r="I55" s="56">
        <f>Tabella211[[#This Row],[Cum_fit]]*NOT(ISBLANK(Tabella211[[#This Row],[Cum_confirmed]]))</f>
        <v>151602.69731214168</v>
      </c>
      <c r="J55" s="10">
        <f>Tabella211[[#This Row],[Cum_fit]]+CI</f>
        <v>153818.04438886989</v>
      </c>
      <c r="K55" s="10">
        <f>MAX(Tabella211[[#This Row],[Cum_fit]]-CI,0)</f>
        <v>149387.35023541347</v>
      </c>
      <c r="L55" s="54">
        <f>'dpc-covid19-ita-andamento-naz'!G49</f>
        <v>100269</v>
      </c>
      <c r="M55" s="54">
        <f>'dpc-covid19-ita-andamento-naz'!H49</f>
        <v>1996</v>
      </c>
      <c r="N55" s="54">
        <f>Tabella211[[#This Row],[New_cases_fit]]-Tabella211[[#This Row],[New_Recovered_fit]]-Tabella211[[#This Row],[New_Deaths_fit]]</f>
        <v>894.2038623354955</v>
      </c>
      <c r="O55" s="10">
        <f>'dpc-covid19-ita-andamento-naz'!J49</f>
        <v>32534</v>
      </c>
      <c r="P55" s="48">
        <f>Tabella211[[#This Row],[Cum_recov]]-O54</f>
        <v>2079</v>
      </c>
      <c r="Q55" s="60">
        <f>Tabella211[[#This Row],[Cum_recov]]*NOT(ISBLANK(Tabella211[[#This Row],[Cum_recov]]))</f>
        <v>32534</v>
      </c>
      <c r="R55" s="50">
        <f>Kr*EXP(-EXP(-(Tabella211[[#This Row],[Day]]-t0r)/wr))</f>
        <v>32146.428152613498</v>
      </c>
      <c r="S55" s="10">
        <f>Tabella211[[#This Row],[Cum_R_fit]]*EXP(-(Tabella211[[#This Row],[Day]]-t0r)/wr)/wr</f>
        <v>1801.8406415159473</v>
      </c>
      <c r="T55" s="60">
        <f>Tabella211[[#This Row],[Cum_R_fit]]*NOT(ISBLANK(Tabella211[[#This Row],[Cum_recov]]))</f>
        <v>32146.428152613498</v>
      </c>
      <c r="U55" s="10">
        <f>Tabella211[[#This Row],[Cum_R_fit]]+CIr</f>
        <v>32938.13846527398</v>
      </c>
      <c r="V55" s="10">
        <f>MAX(Tabella211[[#This Row],[Cum_R_fit]]-CIr,0)</f>
        <v>31354.717839953013</v>
      </c>
      <c r="W55" s="10">
        <f>'dpc-covid19-ita-andamento-naz'!K49</f>
        <v>19468</v>
      </c>
      <c r="X55" s="26">
        <f>Tabella211[[#This Row],[Cum_deaths]]-W54</f>
        <v>619</v>
      </c>
      <c r="Y55" s="65">
        <f>Tabella211[[#This Row],[Cum_deaths]]*NOT(ISBLANK(Tabella211[[#This Row],[Cum_deaths]]))</f>
        <v>19468</v>
      </c>
      <c r="Z55" s="50">
        <f>Kh*EXP(-EXP(-(Tabella211[[#This Row],[Day]]-t0h)/wh))</f>
        <v>19456.245762645667</v>
      </c>
      <c r="AA55" s="10">
        <f>Tabella211[[#This Row],[Cum_D_fit]]*EXP(-(Tabella211[[#This Row],[Day]]-t0h)/wh)/wh</f>
        <v>516.7331464341936</v>
      </c>
      <c r="AB55" s="65">
        <f>Tabella211[[#This Row],[Cum_D_fit]]*NOT(ISBLANK(Tabella211[[#This Row],[Cum_deaths]]))</f>
        <v>19456.245762645667</v>
      </c>
      <c r="AC55" s="10">
        <f>Tabella211[[#This Row],[Cum_D_fit]]+CIh</f>
        <v>19669.885291919873</v>
      </c>
      <c r="AD55" s="10">
        <f>MAX(Tabella211[[#This Row],[Cum_D_fit]]-CIh,0)</f>
        <v>19242.606233371462</v>
      </c>
    </row>
    <row r="56" spans="2:30" x14ac:dyDescent="0.3">
      <c r="B56" s="9">
        <v>43933</v>
      </c>
      <c r="C56" s="4">
        <f t="shared" si="0"/>
        <v>48</v>
      </c>
      <c r="D56" s="10">
        <f>'dpc-covid19-ita-andamento-naz'!L50</f>
        <v>156363</v>
      </c>
      <c r="E56" s="30">
        <f>'dpc-covid19-ita-andamento-naz'!I50</f>
        <v>4092</v>
      </c>
      <c r="F56" s="56">
        <f>Tabella211[[#This Row],[Cum_confirmed]]*NOT(ISBLANK(Tabella211[[#This Row],[Cum_confirmed]]))</f>
        <v>156363</v>
      </c>
      <c r="G56" s="50">
        <f>K*EXP(-EXP(-(Tabella211[[#This Row],[Day]]-t0)/w))</f>
        <v>154732.86152968468</v>
      </c>
      <c r="H56" s="10">
        <f>Tabella211[[#This Row],[Cum_fit]]*EXP(-(Tabella211[[#This Row],[Day]]-t0)/w)/w</f>
        <v>3048.2144408472295</v>
      </c>
      <c r="I56" s="56">
        <f>Tabella211[[#This Row],[Cum_fit]]*NOT(ISBLANK(Tabella211[[#This Row],[Cum_confirmed]]))</f>
        <v>154732.86152968468</v>
      </c>
      <c r="J56" s="10">
        <f>Tabella211[[#This Row],[Cum_fit]]+CI</f>
        <v>156948.2086064129</v>
      </c>
      <c r="K56" s="10">
        <f>MAX(Tabella211[[#This Row],[Cum_fit]]-CI,0)</f>
        <v>152517.51445295647</v>
      </c>
      <c r="L56" s="54">
        <f>'dpc-covid19-ita-andamento-naz'!G50</f>
        <v>102253</v>
      </c>
      <c r="M56" s="54">
        <f>'dpc-covid19-ita-andamento-naz'!H50</f>
        <v>1984</v>
      </c>
      <c r="N56" s="54">
        <f>Tabella211[[#This Row],[New_cases_fit]]-Tabella211[[#This Row],[New_Recovered_fit]]-Tabella211[[#This Row],[New_Deaths_fit]]</f>
        <v>715.42949447064962</v>
      </c>
      <c r="O56" s="10">
        <f>'dpc-covid19-ita-andamento-naz'!J50</f>
        <v>34211</v>
      </c>
      <c r="P56" s="48">
        <f>Tabella211[[#This Row],[Cum_recov]]-O55</f>
        <v>1677</v>
      </c>
      <c r="Q56" s="60">
        <f>Tabella211[[#This Row],[Cum_recov]]*NOT(ISBLANK(Tabella211[[#This Row],[Cum_recov]]))</f>
        <v>34211</v>
      </c>
      <c r="R56" s="50">
        <f>Kr*EXP(-EXP(-(Tabella211[[#This Row],[Day]]-t0r)/wr))</f>
        <v>33968.584790182693</v>
      </c>
      <c r="S56" s="10">
        <f>Tabella211[[#This Row],[Cum_R_fit]]*EXP(-(Tabella211[[#This Row],[Day]]-t0r)/wr)/wr</f>
        <v>1842.067244484115</v>
      </c>
      <c r="T56" s="60">
        <f>Tabella211[[#This Row],[Cum_R_fit]]*NOT(ISBLANK(Tabella211[[#This Row],[Cum_recov]]))</f>
        <v>33968.584790182693</v>
      </c>
      <c r="U56" s="10">
        <f>Tabella211[[#This Row],[Cum_R_fit]]+CIr</f>
        <v>34760.295102843178</v>
      </c>
      <c r="V56" s="10">
        <f>MAX(Tabella211[[#This Row],[Cum_R_fit]]-CIr,0)</f>
        <v>33176.874477522208</v>
      </c>
      <c r="W56" s="10">
        <f>'dpc-covid19-ita-andamento-naz'!K50</f>
        <v>19899</v>
      </c>
      <c r="X56" s="26">
        <f>Tabella211[[#This Row],[Cum_deaths]]-W55</f>
        <v>431</v>
      </c>
      <c r="Y56" s="65">
        <f>Tabella211[[#This Row],[Cum_deaths]]*NOT(ISBLANK(Tabella211[[#This Row],[Cum_deaths]]))</f>
        <v>19899</v>
      </c>
      <c r="Z56" s="50">
        <f>Kh*EXP(-EXP(-(Tabella211[[#This Row],[Day]]-t0h)/wh))</f>
        <v>19959.942030039896</v>
      </c>
      <c r="AA56" s="10">
        <f>Tabella211[[#This Row],[Cum_D_fit]]*EXP(-(Tabella211[[#This Row],[Day]]-t0h)/wh)/wh</f>
        <v>490.71770189246485</v>
      </c>
      <c r="AB56" s="65">
        <f>Tabella211[[#This Row],[Cum_D_fit]]*NOT(ISBLANK(Tabella211[[#This Row],[Cum_deaths]]))</f>
        <v>19959.942030039896</v>
      </c>
      <c r="AC56" s="10">
        <f>Tabella211[[#This Row],[Cum_D_fit]]+CIh</f>
        <v>20173.581559314101</v>
      </c>
      <c r="AD56" s="10">
        <f>MAX(Tabella211[[#This Row],[Cum_D_fit]]-CIh,0)</f>
        <v>19746.302500765691</v>
      </c>
    </row>
    <row r="57" spans="2:30" x14ac:dyDescent="0.3">
      <c r="B57" s="9">
        <v>43934</v>
      </c>
      <c r="C57" s="4">
        <f t="shared" si="0"/>
        <v>49</v>
      </c>
      <c r="D57" s="10">
        <f>'dpc-covid19-ita-andamento-naz'!L51</f>
        <v>159516</v>
      </c>
      <c r="E57" s="30">
        <f>'dpc-covid19-ita-andamento-naz'!I51</f>
        <v>3153</v>
      </c>
      <c r="F57" s="56">
        <f>Tabella211[[#This Row],[Cum_confirmed]]*NOT(ISBLANK(Tabella211[[#This Row],[Cum_confirmed]]))</f>
        <v>159516</v>
      </c>
      <c r="G57" s="50">
        <f>K*EXP(-EXP(-(Tabella211[[#This Row],[Day]]-t0)/w))</f>
        <v>157700.55098915059</v>
      </c>
      <c r="H57" s="10">
        <f>Tabella211[[#This Row],[Cum_fit]]*EXP(-(Tabella211[[#This Row],[Day]]-t0)/w)/w</f>
        <v>2887.9215209857275</v>
      </c>
      <c r="I57" s="56">
        <f>Tabella211[[#This Row],[Cum_fit]]*NOT(ISBLANK(Tabella211[[#This Row],[Cum_confirmed]]))</f>
        <v>157700.55098915059</v>
      </c>
      <c r="J57" s="10">
        <f>Tabella211[[#This Row],[Cum_fit]]+CI</f>
        <v>159915.89806587881</v>
      </c>
      <c r="K57" s="10">
        <f>MAX(Tabella211[[#This Row],[Cum_fit]]-CI,0)</f>
        <v>155485.20391242238</v>
      </c>
      <c r="L57" s="54">
        <f>'dpc-covid19-ita-andamento-naz'!G51</f>
        <v>103616</v>
      </c>
      <c r="M57" s="54">
        <f>'dpc-covid19-ita-andamento-naz'!H51</f>
        <v>1363</v>
      </c>
      <c r="N57" s="54">
        <f>Tabella211[[#This Row],[New_cases_fit]]-Tabella211[[#This Row],[New_Recovered_fit]]-Tabella211[[#This Row],[New_Deaths_fit]]</f>
        <v>542.97479907228126</v>
      </c>
      <c r="O57" s="10">
        <f>'dpc-covid19-ita-andamento-naz'!J51</f>
        <v>35435</v>
      </c>
      <c r="P57" s="48">
        <f>Tabella211[[#This Row],[Cum_recov]]-O56</f>
        <v>1224</v>
      </c>
      <c r="Q57" s="60">
        <f>Tabella211[[#This Row],[Cum_recov]]*NOT(ISBLANK(Tabella211[[#This Row],[Cum_recov]]))</f>
        <v>35435</v>
      </c>
      <c r="R57" s="50">
        <f>Kr*EXP(-EXP(-(Tabella211[[#This Row],[Day]]-t0r)/wr))</f>
        <v>35829.737514103632</v>
      </c>
      <c r="S57" s="10">
        <f>Tabella211[[#This Row],[Cum_R_fit]]*EXP(-(Tabella211[[#This Row],[Day]]-t0r)/wr)/wr</f>
        <v>1879.8189608483726</v>
      </c>
      <c r="T57" s="60">
        <f>Tabella211[[#This Row],[Cum_R_fit]]*NOT(ISBLANK(Tabella211[[#This Row],[Cum_recov]]))</f>
        <v>35829.737514103632</v>
      </c>
      <c r="U57" s="10">
        <f>Tabella211[[#This Row],[Cum_R_fit]]+CIr</f>
        <v>36621.447826764117</v>
      </c>
      <c r="V57" s="10">
        <f>MAX(Tabella211[[#This Row],[Cum_R_fit]]-CIr,0)</f>
        <v>35038.027201443147</v>
      </c>
      <c r="W57" s="10">
        <f>'dpc-covid19-ita-andamento-naz'!K51</f>
        <v>20465</v>
      </c>
      <c r="X57" s="26">
        <f>Tabella211[[#This Row],[Cum_deaths]]-W56</f>
        <v>566</v>
      </c>
      <c r="Y57" s="65">
        <f>Tabella211[[#This Row],[Cum_deaths]]*NOT(ISBLANK(Tabella211[[#This Row],[Cum_deaths]]))</f>
        <v>20465</v>
      </c>
      <c r="Z57" s="50">
        <f>Kh*EXP(-EXP(-(Tabella211[[#This Row],[Day]]-t0h)/wh))</f>
        <v>20437.823302145818</v>
      </c>
      <c r="AA57" s="10">
        <f>Tabella211[[#This Row],[Cum_D_fit]]*EXP(-(Tabella211[[#This Row],[Day]]-t0h)/wh)/wh</f>
        <v>465.12776106507363</v>
      </c>
      <c r="AB57" s="65">
        <f>Tabella211[[#This Row],[Cum_D_fit]]*NOT(ISBLANK(Tabella211[[#This Row],[Cum_deaths]]))</f>
        <v>20437.823302145818</v>
      </c>
      <c r="AC57" s="10">
        <f>Tabella211[[#This Row],[Cum_D_fit]]+CIh</f>
        <v>20651.462831420024</v>
      </c>
      <c r="AD57" s="10">
        <f>MAX(Tabella211[[#This Row],[Cum_D_fit]]-CIh,0)</f>
        <v>20224.183772871613</v>
      </c>
    </row>
    <row r="58" spans="2:30" x14ac:dyDescent="0.3">
      <c r="B58" s="9">
        <v>43935</v>
      </c>
      <c r="C58" s="4">
        <f t="shared" si="0"/>
        <v>50</v>
      </c>
      <c r="E58" s="30"/>
      <c r="F58" s="56">
        <f>Tabella211[[#This Row],[Cum_confirmed]]*NOT(ISBLANK(Tabella211[[#This Row],[Cum_confirmed]]))</f>
        <v>0</v>
      </c>
      <c r="G58" s="50">
        <f>K*EXP(-EXP(-(Tabella211[[#This Row],[Day]]-t0)/w))</f>
        <v>160510.29629183281</v>
      </c>
      <c r="H58" s="10">
        <f>Tabella211[[#This Row],[Cum_fit]]*EXP(-(Tabella211[[#This Row],[Day]]-t0)/w)/w</f>
        <v>2732.4000855014697</v>
      </c>
      <c r="I58" s="56">
        <f>Tabella211[[#This Row],[Cum_fit]]*NOT(ISBLANK(Tabella211[[#This Row],[Cum_confirmed]]))</f>
        <v>0</v>
      </c>
      <c r="L58" s="55"/>
      <c r="M58" s="54"/>
      <c r="N58" s="54">
        <f>Tabella211[[#This Row],[New_cases_fit]]-Tabella211[[#This Row],[New_Recovered_fit]]-Tabella211[[#This Row],[New_Deaths_fit]]</f>
        <v>377.28218448459364</v>
      </c>
      <c r="P58" s="48"/>
      <c r="Q58" s="60">
        <f>Tabella211[[#This Row],[Cum_recov]]*NOT(ISBLANK(Tabella211[[#This Row],[Cum_recov]]))</f>
        <v>0</v>
      </c>
      <c r="R58" s="50">
        <f>Kr*EXP(-EXP(-(Tabella211[[#This Row],[Day]]-t0r)/wr))</f>
        <v>37727.372347260163</v>
      </c>
      <c r="S58" s="10">
        <f>Tabella211[[#This Row],[Cum_R_fit]]*EXP(-(Tabella211[[#This Row],[Day]]-t0r)/wr)/wr</f>
        <v>1915.020071944263</v>
      </c>
      <c r="T58" s="60">
        <f>Tabella211[[#This Row],[Cum_R_fit]]*NOT(ISBLANK(Tabella211[[#This Row],[Cum_recov]]))</f>
        <v>0</v>
      </c>
      <c r="X58" s="26"/>
      <c r="Y58" s="65">
        <f>Tabella211[[#This Row],[Cum_deaths]]*NOT(ISBLANK(Tabella211[[#This Row],[Cum_deaths]]))</f>
        <v>0</v>
      </c>
      <c r="Z58" s="50">
        <f>Kh*EXP(-EXP(-(Tabella211[[#This Row],[Day]]-t0h)/wh))</f>
        <v>20890.384496934177</v>
      </c>
      <c r="AA58" s="10">
        <f>Tabella211[[#This Row],[Cum_D_fit]]*EXP(-(Tabella211[[#This Row],[Day]]-t0h)/wh)/wh</f>
        <v>440.09782907261302</v>
      </c>
      <c r="AB58" s="65">
        <f>Tabella211[[#This Row],[Cum_D_fit]]*NOT(ISBLANK(Tabella211[[#This Row],[Cum_deaths]]))</f>
        <v>0</v>
      </c>
      <c r="AC58" s="10"/>
      <c r="AD58" s="10"/>
    </row>
    <row r="59" spans="2:30" x14ac:dyDescent="0.3">
      <c r="B59" s="9">
        <v>43936</v>
      </c>
      <c r="C59" s="4">
        <f t="shared" si="0"/>
        <v>51</v>
      </c>
      <c r="E59" s="30"/>
      <c r="F59" s="56">
        <f>Tabella211[[#This Row],[Cum_confirmed]]*NOT(ISBLANK(Tabella211[[#This Row],[Cum_confirmed]]))</f>
        <v>0</v>
      </c>
      <c r="G59" s="50">
        <f>K*EXP(-EXP(-(Tabella211[[#This Row],[Day]]-t0)/w))</f>
        <v>163167.07303313405</v>
      </c>
      <c r="H59" s="10">
        <f>Tabella211[[#This Row],[Cum_fit]]*EXP(-(Tabella211[[#This Row],[Day]]-t0)/w)/w</f>
        <v>2582.0410008444023</v>
      </c>
      <c r="I59" s="56">
        <f>Tabella211[[#This Row],[Cum_fit]]*NOT(ISBLANK(Tabella211[[#This Row],[Cum_confirmed]]))</f>
        <v>0</v>
      </c>
      <c r="L59" s="55"/>
      <c r="M59" s="54"/>
      <c r="N59" s="54">
        <f>Tabella211[[#This Row],[New_cases_fit]]-Tabella211[[#This Row],[New_Recovered_fit]]-Tabella211[[#This Row],[New_Deaths_fit]]</f>
        <v>218.69384290451831</v>
      </c>
      <c r="P59" s="48"/>
      <c r="Q59" s="60">
        <f>Tabella211[[#This Row],[Cum_recov]]*NOT(ISBLANK(Tabella211[[#This Row],[Cum_recov]]))</f>
        <v>0</v>
      </c>
      <c r="R59" s="50">
        <f>Kr*EXP(-EXP(-(Tabella211[[#This Row],[Day]]-t0r)/wr))</f>
        <v>39658.906938817883</v>
      </c>
      <c r="S59" s="10">
        <f>Tabella211[[#This Row],[Cum_R_fit]]*EXP(-(Tabella211[[#This Row],[Day]]-t0r)/wr)/wr</f>
        <v>1947.6095030065785</v>
      </c>
      <c r="T59" s="60">
        <f>Tabella211[[#This Row],[Cum_R_fit]]*NOT(ISBLANK(Tabella211[[#This Row],[Cum_recov]]))</f>
        <v>0</v>
      </c>
      <c r="X59" s="26"/>
      <c r="Y59" s="65">
        <f>Tabella211[[#This Row],[Cum_deaths]]*NOT(ISBLANK(Tabella211[[#This Row],[Cum_deaths]]))</f>
        <v>0</v>
      </c>
      <c r="Z59" s="50">
        <f>Kh*EXP(-EXP(-(Tabella211[[#This Row],[Day]]-t0h)/wh))</f>
        <v>21318.242461350426</v>
      </c>
      <c r="AA59" s="10">
        <f>Tabella211[[#This Row],[Cum_D_fit]]*EXP(-(Tabella211[[#This Row],[Day]]-t0h)/wh)/wh</f>
        <v>415.73765493330552</v>
      </c>
      <c r="AB59" s="65">
        <f>Tabella211[[#This Row],[Cum_D_fit]]*NOT(ISBLANK(Tabella211[[#This Row],[Cum_deaths]]))</f>
        <v>0</v>
      </c>
    </row>
    <row r="60" spans="2:30" x14ac:dyDescent="0.3">
      <c r="B60" s="9">
        <v>43937</v>
      </c>
      <c r="C60" s="4">
        <f t="shared" si="0"/>
        <v>52</v>
      </c>
      <c r="E60" s="30"/>
      <c r="F60" s="56">
        <f>Tabella211[[#This Row],[Cum_confirmed]]*NOT(ISBLANK(Tabella211[[#This Row],[Cum_confirmed]]))</f>
        <v>0</v>
      </c>
      <c r="G60" s="50">
        <f>K*EXP(-EXP(-(Tabella211[[#This Row],[Day]]-t0)/w))</f>
        <v>165676.19762217428</v>
      </c>
      <c r="H60" s="10">
        <f>Tabella211[[#This Row],[Cum_fit]]*EXP(-(Tabella211[[#This Row],[Day]]-t0)/w)/w</f>
        <v>2437.1370235086715</v>
      </c>
      <c r="I60" s="56">
        <f>Tabella211[[#This Row],[Cum_fit]]*NOT(ISBLANK(Tabella211[[#This Row],[Cum_confirmed]]))</f>
        <v>0</v>
      </c>
      <c r="L60" s="55"/>
      <c r="M60" s="54"/>
      <c r="N60" s="54">
        <f>Tabella211[[#This Row],[New_cases_fit]]-Tabella211[[#This Row],[New_Recovered_fit]]-Tabella211[[#This Row],[New_Deaths_fit]]</f>
        <v>67.461905270856846</v>
      </c>
      <c r="P60" s="48"/>
      <c r="Q60" s="60">
        <f>Tabella211[[#This Row],[Cum_recov]]*NOT(ISBLANK(Tabella211[[#This Row],[Cum_recov]]))</f>
        <v>0</v>
      </c>
      <c r="R60" s="50">
        <f>Kr*EXP(-EXP(-(Tabella211[[#This Row],[Day]]-t0r)/wr))</f>
        <v>41621.705051505742</v>
      </c>
      <c r="S60" s="10">
        <f>Tabella211[[#This Row],[Cum_R_fit]]*EXP(-(Tabella211[[#This Row],[Day]]-t0r)/wr)/wr</f>
        <v>1977.5404917361514</v>
      </c>
      <c r="T60" s="60">
        <f>Tabella211[[#This Row],[Cum_R_fit]]*NOT(ISBLANK(Tabella211[[#This Row],[Cum_recov]]))</f>
        <v>0</v>
      </c>
      <c r="X60" s="26"/>
      <c r="Y60" s="65">
        <f>Tabella211[[#This Row],[Cum_deaths]]*NOT(ISBLANK(Tabella211[[#This Row],[Cum_deaths]]))</f>
        <v>0</v>
      </c>
      <c r="Z60" s="50">
        <f>Kh*EXP(-EXP(-(Tabella211[[#This Row],[Day]]-t0h)/wh))</f>
        <v>21722.112410559021</v>
      </c>
      <c r="AA60" s="10">
        <f>Tabella211[[#This Row],[Cum_D_fit]]*EXP(-(Tabella211[[#This Row],[Day]]-t0h)/wh)/wh</f>
        <v>392.13462650166332</v>
      </c>
      <c r="AB60" s="65">
        <f>Tabella211[[#This Row],[Cum_D_fit]]*NOT(ISBLANK(Tabella211[[#This Row],[Cum_deaths]]))</f>
        <v>0</v>
      </c>
    </row>
    <row r="61" spans="2:30" x14ac:dyDescent="0.3">
      <c r="B61" s="9">
        <v>43938</v>
      </c>
      <c r="C61" s="4">
        <f t="shared" si="0"/>
        <v>53</v>
      </c>
      <c r="E61" s="30"/>
      <c r="F61" s="56">
        <f>Tabella211[[#This Row],[Cum_confirmed]]*NOT(ISBLANK(Tabella211[[#This Row],[Cum_confirmed]]))</f>
        <v>0</v>
      </c>
      <c r="G61" s="50">
        <f>K*EXP(-EXP(-(Tabella211[[#This Row],[Day]]-t0)/w))</f>
        <v>168043.23505832758</v>
      </c>
      <c r="H61" s="10">
        <f>Tabella211[[#This Row],[Cum_fit]]*EXP(-(Tabella211[[#This Row],[Day]]-t0)/w)/w</f>
        <v>2297.8944685383267</v>
      </c>
      <c r="I61" s="56">
        <f>Tabella211[[#This Row],[Cum_fit]]*NOT(ISBLANK(Tabella211[[#This Row],[Cum_confirmed]]))</f>
        <v>0</v>
      </c>
      <c r="L61" s="55"/>
      <c r="M61" s="54"/>
      <c r="N61" s="54">
        <f>Tabella211[[#This Row],[New_cases_fit]]-Tabella211[[#This Row],[New_Recovered_fit]]-Tabella211[[#This Row],[New_Deaths_fit]]</f>
        <v>-76.241842158270288</v>
      </c>
      <c r="P61" s="48"/>
      <c r="Q61" s="60">
        <f>Tabella211[[#This Row],[Cum_recov]]*NOT(ISBLANK(Tabella211[[#This Row],[Cum_recov]]))</f>
        <v>0</v>
      </c>
      <c r="R61" s="50">
        <f>Kr*EXP(-EXP(-(Tabella211[[#This Row],[Day]]-t0r)/wr))</f>
        <v>43613.090665078642</v>
      </c>
      <c r="S61" s="10">
        <f>Tabella211[[#This Row],[Cum_R_fit]]*EXP(-(Tabella211[[#This Row],[Day]]-t0r)/wr)/wr</f>
        <v>2004.7801543058672</v>
      </c>
      <c r="T61" s="60">
        <f>Tabella211[[#This Row],[Cum_R_fit]]*NOT(ISBLANK(Tabella211[[#This Row],[Cum_recov]]))</f>
        <v>0</v>
      </c>
      <c r="X61" s="26"/>
      <c r="Y61" s="65">
        <f>Tabella211[[#This Row],[Cum_deaths]]*NOT(ISBLANK(Tabella211[[#This Row],[Cum_deaths]]))</f>
        <v>0</v>
      </c>
      <c r="Z61" s="50">
        <f>Kh*EXP(-EXP(-(Tabella211[[#This Row],[Day]]-t0h)/wh))</f>
        <v>22102.786763159158</v>
      </c>
      <c r="AA61" s="10">
        <f>Tabella211[[#This Row],[Cum_D_fit]]*EXP(-(Tabella211[[#This Row],[Day]]-t0h)/wh)/wh</f>
        <v>369.35615639072978</v>
      </c>
      <c r="AB61" s="65">
        <f>Tabella211[[#This Row],[Cum_D_fit]]*NOT(ISBLANK(Tabella211[[#This Row],[Cum_deaths]]))</f>
        <v>0</v>
      </c>
    </row>
    <row r="62" spans="2:30" x14ac:dyDescent="0.3">
      <c r="B62" s="9">
        <v>43939</v>
      </c>
      <c r="C62" s="4">
        <f t="shared" si="0"/>
        <v>54</v>
      </c>
      <c r="E62" s="30"/>
      <c r="F62" s="56">
        <f>Tabella211[[#This Row],[Cum_confirmed]]*NOT(ISBLANK(Tabella211[[#This Row],[Cum_confirmed]]))</f>
        <v>0</v>
      </c>
      <c r="G62" s="50">
        <f>K*EXP(-EXP(-(Tabella211[[#This Row],[Day]]-t0)/w))</f>
        <v>170273.91804310755</v>
      </c>
      <c r="H62" s="10">
        <f>Tabella211[[#This Row],[Cum_fit]]*EXP(-(Tabella211[[#This Row],[Day]]-t0)/w)/w</f>
        <v>2164.4441935958857</v>
      </c>
      <c r="I62" s="56">
        <f>Tabella211[[#This Row],[Cum_fit]]*NOT(ISBLANK(Tabella211[[#This Row],[Cum_confirmed]]))</f>
        <v>0</v>
      </c>
      <c r="L62" s="55"/>
      <c r="M62" s="54"/>
      <c r="N62" s="54">
        <f>Tabella211[[#This Row],[New_cases_fit]]-Tabella211[[#This Row],[New_Recovered_fit]]-Tabella211[[#This Row],[New_Deaths_fit]]</f>
        <v>-212.31676966090049</v>
      </c>
      <c r="P62" s="48"/>
      <c r="Q62" s="60">
        <f>Tabella211[[#This Row],[Cum_recov]]*NOT(ISBLANK(Tabella211[[#This Row],[Cum_recov]]))</f>
        <v>0</v>
      </c>
      <c r="R62" s="50">
        <f>Kr*EXP(-EXP(-(Tabella211[[#This Row],[Day]]-t0r)/wr))</f>
        <v>45630.36160003546</v>
      </c>
      <c r="S62" s="10">
        <f>Tabella211[[#This Row],[Cum_R_fit]]*EXP(-(Tabella211[[#This Row],[Day]]-t0r)/wr)/wr</f>
        <v>2029.308962071723</v>
      </c>
      <c r="T62" s="60">
        <f>Tabella211[[#This Row],[Cum_R_fit]]*NOT(ISBLANK(Tabella211[[#This Row],[Cum_recov]]))</f>
        <v>0</v>
      </c>
      <c r="X62" s="26"/>
      <c r="Y62" s="65">
        <f>Tabella211[[#This Row],[Cum_deaths]]*NOT(ISBLANK(Tabella211[[#This Row],[Cum_deaths]]))</f>
        <v>0</v>
      </c>
      <c r="Z62" s="50">
        <f>Kh*EXP(-EXP(-(Tabella211[[#This Row],[Day]]-t0h)/wh))</f>
        <v>22461.116333073842</v>
      </c>
      <c r="AA62" s="10">
        <f>Tabella211[[#This Row],[Cum_D_fit]]*EXP(-(Tabella211[[#This Row],[Day]]-t0h)/wh)/wh</f>
        <v>347.45200118506318</v>
      </c>
      <c r="AB62" s="65">
        <f>Tabella211[[#This Row],[Cum_D_fit]]*NOT(ISBLANK(Tabella211[[#This Row],[Cum_deaths]]))</f>
        <v>0</v>
      </c>
    </row>
    <row r="63" spans="2:30" x14ac:dyDescent="0.3">
      <c r="B63" s="9">
        <v>43940</v>
      </c>
      <c r="C63" s="4">
        <f t="shared" si="0"/>
        <v>55</v>
      </c>
      <c r="E63" s="30"/>
      <c r="F63" s="56">
        <f>Tabella211[[#This Row],[Cum_confirmed]]*NOT(ISBLANK(Tabella211[[#This Row],[Cum_confirmed]]))</f>
        <v>0</v>
      </c>
      <c r="G63" s="50">
        <f>K*EXP(-EXP(-(Tabella211[[#This Row],[Day]]-t0)/w))</f>
        <v>172374.0766960984</v>
      </c>
      <c r="H63" s="10">
        <f>Tabella211[[#This Row],[Cum_fit]]*EXP(-(Tabella211[[#This Row],[Day]]-t0)/w)/w</f>
        <v>2036.8518120564111</v>
      </c>
      <c r="I63" s="56">
        <f>Tabella211[[#This Row],[Cum_fit]]*NOT(ISBLANK(Tabella211[[#This Row],[Cum_confirmed]]))</f>
        <v>0</v>
      </c>
      <c r="L63" s="55"/>
      <c r="M63" s="54"/>
      <c r="N63" s="54">
        <f>Tabella211[[#This Row],[New_cases_fit]]-Tabella211[[#This Row],[New_Recovered_fit]]-Tabella211[[#This Row],[New_Deaths_fit]]</f>
        <v>-340.72480215749044</v>
      </c>
      <c r="P63" s="48"/>
      <c r="Q63" s="60">
        <f>Tabella211[[#This Row],[Cum_recov]]*NOT(ISBLANK(Tabella211[[#This Row],[Cum_recov]]))</f>
        <v>0</v>
      </c>
      <c r="R63" s="50">
        <f>Kr*EXP(-EXP(-(Tabella211[[#This Row],[Day]]-t0r)/wr))</f>
        <v>47670.802578883755</v>
      </c>
      <c r="S63" s="10">
        <f>Tabella211[[#This Row],[Cum_R_fit]]*EXP(-(Tabella211[[#This Row],[Day]]-t0r)/wr)/wr</f>
        <v>2051.1201421224105</v>
      </c>
      <c r="T63" s="60">
        <f>Tabella211[[#This Row],[Cum_R_fit]]*NOT(ISBLANK(Tabella211[[#This Row],[Cum_recov]]))</f>
        <v>0</v>
      </c>
      <c r="X63" s="26"/>
      <c r="Y63" s="65">
        <f>Tabella211[[#This Row],[Cum_deaths]]*NOT(ISBLANK(Tabella211[[#This Row],[Cum_deaths]]))</f>
        <v>0</v>
      </c>
      <c r="Z63" s="50">
        <f>Kh*EXP(-EXP(-(Tabella211[[#This Row],[Day]]-t0h)/wh))</f>
        <v>22797.993789270407</v>
      </c>
      <c r="AA63" s="10">
        <f>Tabella211[[#This Row],[Cum_D_fit]]*EXP(-(Tabella211[[#This Row],[Day]]-t0h)/wh)/wh</f>
        <v>326.45647209149104</v>
      </c>
      <c r="AB63" s="65">
        <f>Tabella211[[#This Row],[Cum_D_fit]]*NOT(ISBLANK(Tabella211[[#This Row],[Cum_deaths]]))</f>
        <v>0</v>
      </c>
    </row>
    <row r="64" spans="2:30" x14ac:dyDescent="0.3">
      <c r="B64" s="9">
        <v>43941</v>
      </c>
      <c r="C64" s="4">
        <f t="shared" si="0"/>
        <v>56</v>
      </c>
      <c r="E64" s="30"/>
      <c r="F64" s="56">
        <f>Tabella211[[#This Row],[Cum_confirmed]]*NOT(ISBLANK(Tabella211[[#This Row],[Cum_confirmed]]))</f>
        <v>0</v>
      </c>
      <c r="G64" s="50">
        <f>K*EXP(-EXP(-(Tabella211[[#This Row],[Day]]-t0)/w))</f>
        <v>174349.57807718255</v>
      </c>
      <c r="H64" s="10">
        <f>Tabella211[[#This Row],[Cum_fit]]*EXP(-(Tabella211[[#This Row],[Day]]-t0)/w)/w</f>
        <v>1915.1270873170238</v>
      </c>
      <c r="I64" s="56">
        <f>Tabella211[[#This Row],[Cum_fit]]*NOT(ISBLANK(Tabella211[[#This Row],[Cum_confirmed]]))</f>
        <v>0</v>
      </c>
      <c r="L64" s="55"/>
      <c r="M64" s="54"/>
      <c r="N64" s="54">
        <f>Tabella211[[#This Row],[New_cases_fit]]-Tabella211[[#This Row],[New_Recovered_fit]]-Tabella211[[#This Row],[New_Deaths_fit]]</f>
        <v>-461.4824355090455</v>
      </c>
      <c r="P64" s="48"/>
      <c r="Q64" s="60">
        <f>Tabella211[[#This Row],[Cum_recov]]*NOT(ISBLANK(Tabella211[[#This Row],[Cum_recov]]))</f>
        <v>0</v>
      </c>
      <c r="R64" s="50">
        <f>Kr*EXP(-EXP(-(Tabella211[[#This Row],[Day]]-t0r)/wr))</f>
        <v>49731.697655229145</v>
      </c>
      <c r="S64" s="10">
        <f>Tabella211[[#This Row],[Cum_R_fit]]*EXP(-(Tabella211[[#This Row],[Day]]-t0r)/wr)/wr</f>
        <v>2070.2190144789765</v>
      </c>
      <c r="T64" s="60">
        <f>Tabella211[[#This Row],[Cum_R_fit]]*NOT(ISBLANK(Tabella211[[#This Row],[Cum_recov]]))</f>
        <v>0</v>
      </c>
      <c r="X64" s="26"/>
      <c r="Y64" s="65">
        <f>Tabella211[[#This Row],[Cum_deaths]]*NOT(ISBLANK(Tabella211[[#This Row],[Cum_deaths]]))</f>
        <v>0</v>
      </c>
      <c r="Z64" s="50">
        <f>Kh*EXP(-EXP(-(Tabella211[[#This Row],[Day]]-t0h)/wh))</f>
        <v>23114.339259418161</v>
      </c>
      <c r="AA64" s="10">
        <f>Tabella211[[#This Row],[Cum_D_fit]]*EXP(-(Tabella211[[#This Row],[Day]]-t0h)/wh)/wh</f>
        <v>306.39050834709275</v>
      </c>
      <c r="AB64" s="65">
        <f>Tabella211[[#This Row],[Cum_D_fit]]*NOT(ISBLANK(Tabella211[[#This Row],[Cum_deaths]]))</f>
        <v>0</v>
      </c>
    </row>
    <row r="65" spans="2:28" x14ac:dyDescent="0.3">
      <c r="B65" s="9">
        <v>43942</v>
      </c>
      <c r="C65" s="4">
        <f t="shared" si="0"/>
        <v>57</v>
      </c>
      <c r="E65" s="30"/>
      <c r="F65" s="56">
        <f>Tabella211[[#This Row],[Cum_confirmed]]*NOT(ISBLANK(Tabella211[[#This Row],[Cum_confirmed]]))</f>
        <v>0</v>
      </c>
      <c r="G65" s="50">
        <f>K*EXP(-EXP(-(Tabella211[[#This Row],[Day]]-t0)/w))</f>
        <v>176206.2746854244</v>
      </c>
      <c r="H65" s="10">
        <f>Tabella211[[#This Row],[Cum_fit]]*EXP(-(Tabella211[[#This Row],[Day]]-t0)/w)/w</f>
        <v>1799.2324910890638</v>
      </c>
      <c r="I65" s="56">
        <f>Tabella211[[#This Row],[Cum_fit]]*NOT(ISBLANK(Tabella211[[#This Row],[Cum_confirmed]]))</f>
        <v>0</v>
      </c>
      <c r="L65" s="55"/>
      <c r="M65" s="54"/>
      <c r="N65" s="54">
        <f>Tabella211[[#This Row],[New_cases_fit]]-Tabella211[[#This Row],[New_Recovered_fit]]-Tabella211[[#This Row],[New_Deaths_fit]]</f>
        <v>-574.65338261126556</v>
      </c>
      <c r="P65" s="48"/>
      <c r="Q65" s="60">
        <f>Tabella211[[#This Row],[Cum_recov]]*NOT(ISBLANK(Tabella211[[#This Row],[Cum_recov]]))</f>
        <v>0</v>
      </c>
      <c r="R65" s="50">
        <f>Kr*EXP(-EXP(-(Tabella211[[#This Row],[Day]]-t0r)/wr))</f>
        <v>51810.341953550953</v>
      </c>
      <c r="S65" s="10">
        <f>Tabella211[[#This Row],[Cum_R_fit]]*EXP(-(Tabella211[[#This Row],[Day]]-t0r)/wr)/wr</f>
        <v>2086.6222782748159</v>
      </c>
      <c r="T65" s="60">
        <f>Tabella211[[#This Row],[Cum_R_fit]]*NOT(ISBLANK(Tabella211[[#This Row],[Cum_recov]]))</f>
        <v>0</v>
      </c>
      <c r="X65" s="26"/>
      <c r="Y65" s="65">
        <f>Tabella211[[#This Row],[Cum_deaths]]*NOT(ISBLANK(Tabella211[[#This Row],[Cum_deaths]]))</f>
        <v>0</v>
      </c>
      <c r="Z65" s="50">
        <f>Kh*EXP(-EXP(-(Tabella211[[#This Row],[Day]]-t0h)/wh))</f>
        <v>23411.087930462876</v>
      </c>
      <c r="AA65" s="10">
        <f>Tabella211[[#This Row],[Cum_D_fit]]*EXP(-(Tabella211[[#This Row],[Day]]-t0h)/wh)/wh</f>
        <v>287.26359542551347</v>
      </c>
      <c r="AB65" s="65">
        <f>Tabella211[[#This Row],[Cum_D_fit]]*NOT(ISBLANK(Tabella211[[#This Row],[Cum_deaths]]))</f>
        <v>0</v>
      </c>
    </row>
    <row r="66" spans="2:28" x14ac:dyDescent="0.3">
      <c r="B66" s="9">
        <v>43943</v>
      </c>
      <c r="C66" s="4">
        <f t="shared" si="0"/>
        <v>58</v>
      </c>
      <c r="E66" s="30"/>
      <c r="F66" s="56">
        <f>Tabella211[[#This Row],[Cum_confirmed]]*NOT(ISBLANK(Tabella211[[#This Row],[Cum_confirmed]]))</f>
        <v>0</v>
      </c>
      <c r="G66" s="50">
        <f>K*EXP(-EXP(-(Tabella211[[#This Row],[Day]]-t0)/w))</f>
        <v>177949.9611000572</v>
      </c>
      <c r="H66" s="10">
        <f>Tabella211[[#This Row],[Cum_fit]]*EXP(-(Tabella211[[#This Row],[Day]]-t0)/w)/w</f>
        <v>1689.0909320005703</v>
      </c>
      <c r="I66" s="56">
        <f>Tabella211[[#This Row],[Cum_fit]]*NOT(ISBLANK(Tabella211[[#This Row],[Cum_confirmed]]))</f>
        <v>0</v>
      </c>
      <c r="L66" s="55"/>
      <c r="M66" s="54"/>
      <c r="N66" s="54">
        <f>Tabella211[[#This Row],[New_cases_fit]]-Tabella211[[#This Row],[New_Recovered_fit]]-Tabella211[[#This Row],[New_Deaths_fit]]</f>
        <v>-680.34184525247929</v>
      </c>
      <c r="P66" s="48"/>
      <c r="Q66" s="60">
        <f>Tabella211[[#This Row],[Cum_recov]]*NOT(ISBLANK(Tabella211[[#This Row],[Cum_recov]]))</f>
        <v>0</v>
      </c>
      <c r="R66" s="50">
        <f>Kr*EXP(-EXP(-(Tabella211[[#This Row],[Day]]-t0r)/wr))</f>
        <v>53904.052674558865</v>
      </c>
      <c r="S66" s="10">
        <f>Tabella211[[#This Row],[Cum_R_fit]]*EXP(-(Tabella211[[#This Row],[Day]]-t0r)/wr)/wr</f>
        <v>2100.3572586346017</v>
      </c>
      <c r="T66" s="60">
        <f>Tabella211[[#This Row],[Cum_R_fit]]*NOT(ISBLANK(Tabella211[[#This Row],[Cum_recov]]))</f>
        <v>0</v>
      </c>
      <c r="X66" s="26"/>
      <c r="Y66" s="65">
        <f>Tabella211[[#This Row],[Cum_deaths]]*NOT(ISBLANK(Tabella211[[#This Row],[Cum_deaths]]))</f>
        <v>0</v>
      </c>
      <c r="Z66" s="50">
        <f>Kh*EXP(-EXP(-(Tabella211[[#This Row],[Day]]-t0h)/wh))</f>
        <v>23689.17948557717</v>
      </c>
      <c r="AA66" s="10">
        <f>Tabella211[[#This Row],[Cum_D_fit]]*EXP(-(Tabella211[[#This Row],[Day]]-t0h)/wh)/wh</f>
        <v>269.0755186184478</v>
      </c>
      <c r="AB66" s="65">
        <f>Tabella211[[#This Row],[Cum_D_fit]]*NOT(ISBLANK(Tabella211[[#This Row],[Cum_deaths]]))</f>
        <v>0</v>
      </c>
    </row>
    <row r="67" spans="2:28" x14ac:dyDescent="0.3">
      <c r="B67" s="9">
        <v>43944</v>
      </c>
      <c r="C67" s="4">
        <f t="shared" si="0"/>
        <v>59</v>
      </c>
      <c r="E67" s="30"/>
      <c r="F67" s="56">
        <f>Tabella211[[#This Row],[Cum_confirmed]]*NOT(ISBLANK(Tabella211[[#This Row],[Cum_confirmed]]))</f>
        <v>0</v>
      </c>
      <c r="G67" s="50">
        <f>K*EXP(-EXP(-(Tabella211[[#This Row],[Day]]-t0)/w))</f>
        <v>179586.3379446108</v>
      </c>
      <c r="H67" s="10">
        <f>Tabella211[[#This Row],[Cum_fit]]*EXP(-(Tabella211[[#This Row],[Day]]-t0)/w)/w</f>
        <v>1584.5926784616647</v>
      </c>
      <c r="I67" s="56">
        <f>Tabella211[[#This Row],[Cum_fit]]*NOT(ISBLANK(Tabella211[[#This Row],[Cum_confirmed]]))</f>
        <v>0</v>
      </c>
      <c r="L67" s="55"/>
      <c r="M67" s="54"/>
      <c r="N67" s="54">
        <f>Tabella211[[#This Row],[New_cases_fit]]-Tabella211[[#This Row],[New_Recovered_fit]]-Tabella211[[#This Row],[New_Deaths_fit]]</f>
        <v>-778.68639599756807</v>
      </c>
      <c r="P67" s="48"/>
      <c r="Q67" s="60">
        <f>Tabella211[[#This Row],[Cum_recov]]*NOT(ISBLANK(Tabella211[[#This Row],[Cum_recov]]))</f>
        <v>0</v>
      </c>
      <c r="R67" s="50">
        <f>Kr*EXP(-EXP(-(Tabella211[[#This Row],[Day]]-t0r)/wr))</f>
        <v>56010.17933239539</v>
      </c>
      <c r="S67" s="10">
        <f>Tabella211[[#This Row],[Cum_R_fit]]*EXP(-(Tabella211[[#This Row],[Day]]-t0r)/wr)/wr</f>
        <v>2111.46112525649</v>
      </c>
      <c r="T67" s="60">
        <f>Tabella211[[#This Row],[Cum_R_fit]]*NOT(ISBLANK(Tabella211[[#This Row],[Cum_recov]]))</f>
        <v>0</v>
      </c>
      <c r="X67" s="26"/>
      <c r="Y67" s="65">
        <f>Tabella211[[#This Row],[Cum_deaths]]*NOT(ISBLANK(Tabella211[[#This Row],[Cum_deaths]]))</f>
        <v>0</v>
      </c>
      <c r="Z67" s="50">
        <f>Kh*EXP(-EXP(-(Tabella211[[#This Row],[Day]]-t0h)/wh))</f>
        <v>23949.549210986082</v>
      </c>
      <c r="AA67" s="10">
        <f>Tabella211[[#This Row],[Cum_D_fit]]*EXP(-(Tabella211[[#This Row],[Day]]-t0h)/wh)/wh</f>
        <v>251.8179492027428</v>
      </c>
      <c r="AB67" s="65">
        <f>Tabella211[[#This Row],[Cum_D_fit]]*NOT(ISBLANK(Tabella211[[#This Row],[Cum_deaths]]))</f>
        <v>0</v>
      </c>
    </row>
    <row r="68" spans="2:28" x14ac:dyDescent="0.3">
      <c r="B68" s="9">
        <v>43945</v>
      </c>
      <c r="C68" s="4">
        <f t="shared" si="0"/>
        <v>60</v>
      </c>
      <c r="F68" s="56">
        <f>Tabella211[[#This Row],[Cum_confirmed]]*NOT(ISBLANK(Tabella211[[#This Row],[Cum_confirmed]]))</f>
        <v>0</v>
      </c>
      <c r="G68" s="50">
        <f>K*EXP(-EXP(-(Tabella211[[#This Row],[Day]]-t0)/w))</f>
        <v>181120.98238588742</v>
      </c>
      <c r="H68" s="10">
        <f>Tabella211[[#This Row],[Cum_fit]]*EXP(-(Tabella211[[#This Row],[Day]]-t0)/w)/w</f>
        <v>1485.6015124332632</v>
      </c>
      <c r="I68" s="56">
        <f>Tabella211[[#This Row],[Cum_fit]]*NOT(ISBLANK(Tabella211[[#This Row],[Cum_confirmed]]))</f>
        <v>0</v>
      </c>
      <c r="L68" s="55"/>
      <c r="M68" s="54"/>
      <c r="N68" s="54">
        <f>Tabella211[[#This Row],[New_cases_fit]]-Tabella211[[#This Row],[New_Recovered_fit]]-Tabella211[[#This Row],[New_Deaths_fit]]</f>
        <v>-869.85444589445706</v>
      </c>
      <c r="P68" s="48"/>
      <c r="Q68" s="60">
        <f>Tabella211[[#This Row],[Cum_recov]]*NOT(ISBLANK(Tabella211[[#This Row],[Cum_recov]]))</f>
        <v>0</v>
      </c>
      <c r="R68" s="50">
        <f>Kr*EXP(-EXP(-(Tabella211[[#This Row],[Day]]-t0r)/wr))</f>
        <v>58126.113200561864</v>
      </c>
      <c r="S68" s="10">
        <f>Tabella211[[#This Row],[Cum_R_fit]]*EXP(-(Tabella211[[#This Row],[Day]]-t0r)/wr)/wr</f>
        <v>2119.9800929105668</v>
      </c>
      <c r="T68" s="60">
        <f>Tabella211[[#This Row],[Cum_R_fit]]*NOT(ISBLANK(Tabella211[[#This Row],[Cum_recov]]))</f>
        <v>0</v>
      </c>
      <c r="X68" s="26"/>
      <c r="Y68" s="65">
        <f>Tabella211[[#This Row],[Cum_deaths]]*NOT(ISBLANK(Tabella211[[#This Row],[Cum_deaths]]))</f>
        <v>0</v>
      </c>
      <c r="Z68" s="50">
        <f>Kh*EXP(-EXP(-(Tabella211[[#This Row],[Day]]-t0h)/wh))</f>
        <v>24193.120606007993</v>
      </c>
      <c r="AA68" s="10">
        <f>Tabella211[[#This Row],[Cum_D_fit]]*EXP(-(Tabella211[[#This Row],[Day]]-t0h)/wh)/wh</f>
        <v>235.47586541715353</v>
      </c>
      <c r="AB68" s="65">
        <f>Tabella211[[#This Row],[Cum_D_fit]]*NOT(ISBLANK(Tabella211[[#This Row],[Cum_deaths]]))</f>
        <v>0</v>
      </c>
    </row>
    <row r="69" spans="2:28" x14ac:dyDescent="0.3">
      <c r="B69" s="9">
        <v>43946</v>
      </c>
      <c r="C69" s="4">
        <f t="shared" si="0"/>
        <v>61</v>
      </c>
      <c r="F69" s="56">
        <f>Tabella211[[#This Row],[Cum_confirmed]]*NOT(ISBLANK(Tabella211[[#This Row],[Cum_confirmed]]))</f>
        <v>0</v>
      </c>
      <c r="G69" s="50">
        <f>K*EXP(-EXP(-(Tabella211[[#This Row],[Day]]-t0)/w))</f>
        <v>182559.32442075922</v>
      </c>
      <c r="H69" s="10">
        <f>Tabella211[[#This Row],[Cum_fit]]*EXP(-(Tabella211[[#This Row],[Day]]-t0)/w)/w</f>
        <v>1391.9601593882323</v>
      </c>
      <c r="I69" s="56">
        <f>Tabella211[[#This Row],[Cum_fit]]*NOT(ISBLANK(Tabella211[[#This Row],[Cum_confirmed]]))</f>
        <v>0</v>
      </c>
      <c r="L69" s="55"/>
      <c r="M69" s="54"/>
      <c r="N69" s="54">
        <f>Tabella211[[#This Row],[New_cases_fit]]-Tabella211[[#This Row],[New_Recovered_fit]]-Tabella211[[#This Row],[New_Deaths_fit]]</f>
        <v>-954.03726796691603</v>
      </c>
      <c r="P69" s="48"/>
      <c r="Q69" s="60">
        <f>Tabella211[[#This Row],[Cum_recov]]*NOT(ISBLANK(Tabella211[[#This Row],[Cum_recov]]))</f>
        <v>0</v>
      </c>
      <c r="R69" s="50">
        <f>Kr*EXP(-EXP(-(Tabella211[[#This Row],[Day]]-t0r)/wr))</f>
        <v>60249.295953240879</v>
      </c>
      <c r="S69" s="10">
        <f>Tabella211[[#This Row],[Cum_R_fit]]*EXP(-(Tabella211[[#This Row],[Day]]-t0r)/wr)/wr</f>
        <v>2125.9686132217125</v>
      </c>
      <c r="T69" s="60">
        <f>Tabella211[[#This Row],[Cum_R_fit]]*NOT(ISBLANK(Tabella211[[#This Row],[Cum_recov]]))</f>
        <v>0</v>
      </c>
      <c r="X69" s="26"/>
      <c r="Y69" s="65">
        <f>Tabella211[[#This Row],[Cum_deaths]]*NOT(ISBLANK(Tabella211[[#This Row],[Cum_deaths]]))</f>
        <v>0</v>
      </c>
      <c r="Z69" s="50">
        <f>Kh*EXP(-EXP(-(Tabella211[[#This Row],[Day]]-t0h)/wh))</f>
        <v>24420.799333807565</v>
      </c>
      <c r="AA69" s="10">
        <f>Tabella211[[#This Row],[Cum_D_fit]]*EXP(-(Tabella211[[#This Row],[Day]]-t0h)/wh)/wh</f>
        <v>220.02881413343582</v>
      </c>
      <c r="AB69" s="65">
        <f>Tabella211[[#This Row],[Cum_D_fit]]*NOT(ISBLANK(Tabella211[[#This Row],[Cum_deaths]]))</f>
        <v>0</v>
      </c>
    </row>
    <row r="70" spans="2:28" x14ac:dyDescent="0.3">
      <c r="B70" s="9">
        <v>43947</v>
      </c>
      <c r="C70" s="4">
        <f t="shared" si="0"/>
        <v>62</v>
      </c>
      <c r="F70" s="56">
        <f>Tabella211[[#This Row],[Cum_confirmed]]*NOT(ISBLANK(Tabella211[[#This Row],[Cum_confirmed]]))</f>
        <v>0</v>
      </c>
      <c r="G70" s="50">
        <f>K*EXP(-EXP(-(Tabella211[[#This Row],[Day]]-t0)/w))</f>
        <v>183906.62825199109</v>
      </c>
      <c r="H70" s="10">
        <f>Tabella211[[#This Row],[Cum_fit]]*EXP(-(Tabella211[[#This Row],[Day]]-t0)/w)/w</f>
        <v>1303.495045154061</v>
      </c>
      <c r="I70" s="56">
        <f>Tabella211[[#This Row],[Cum_fit]]*NOT(ISBLANK(Tabella211[[#This Row],[Cum_confirmed]]))</f>
        <v>0</v>
      </c>
      <c r="L70" s="55"/>
      <c r="M70" s="54"/>
      <c r="N70" s="54">
        <f>Tabella211[[#This Row],[New_cases_fit]]-Tabella211[[#This Row],[New_Recovered_fit]]-Tabella211[[#This Row],[New_Deaths_fit]]</f>
        <v>-1031.4455427318758</v>
      </c>
      <c r="P70" s="48"/>
      <c r="Q70" s="60">
        <f>Tabella211[[#This Row],[Cum_recov]]*NOT(ISBLANK(Tabella211[[#This Row],[Cum_recov]]))</f>
        <v>0</v>
      </c>
      <c r="R70" s="50">
        <f>Kr*EXP(-EXP(-(Tabella211[[#This Row],[Day]]-t0r)/wr))</f>
        <v>62377.227497618558</v>
      </c>
      <c r="S70" s="10">
        <f>Tabella211[[#This Row],[Cum_R_fit]]*EXP(-(Tabella211[[#This Row],[Day]]-t0r)/wr)/wr</f>
        <v>2129.4885662278011</v>
      </c>
      <c r="T70" s="60">
        <f>Tabella211[[#This Row],[Cum_R_fit]]*NOT(ISBLANK(Tabella211[[#This Row],[Cum_recov]]))</f>
        <v>0</v>
      </c>
      <c r="X70" s="26"/>
      <c r="Y70" s="65">
        <f>Tabella211[[#This Row],[Cum_deaths]]*NOT(ISBLANK(Tabella211[[#This Row],[Cum_deaths]]))</f>
        <v>0</v>
      </c>
      <c r="Z70" s="50">
        <f>Kh*EXP(-EXP(-(Tabella211[[#This Row],[Day]]-t0h)/wh))</f>
        <v>24633.468357600854</v>
      </c>
      <c r="AA70" s="10">
        <f>Tabella211[[#This Row],[Cum_D_fit]]*EXP(-(Tabella211[[#This Row],[Day]]-t0h)/wh)/wh</f>
        <v>205.45202165813569</v>
      </c>
      <c r="AB70" s="65">
        <f>Tabella211[[#This Row],[Cum_D_fit]]*NOT(ISBLANK(Tabella211[[#This Row],[Cum_deaths]]))</f>
        <v>0</v>
      </c>
    </row>
    <row r="71" spans="2:28" x14ac:dyDescent="0.3">
      <c r="B71" s="9">
        <v>43948</v>
      </c>
      <c r="C71" s="4">
        <f t="shared" si="0"/>
        <v>63</v>
      </c>
      <c r="F71" s="56">
        <f>Tabella211[[#This Row],[Cum_confirmed]]*NOT(ISBLANK(Tabella211[[#This Row],[Cum_confirmed]]))</f>
        <v>0</v>
      </c>
      <c r="G71" s="50">
        <f>K*EXP(-EXP(-(Tabella211[[#This Row],[Day]]-t0)/w))</f>
        <v>185167.97810658655</v>
      </c>
      <c r="H71" s="10">
        <f>Tabella211[[#This Row],[Cum_fit]]*EXP(-(Tabella211[[#This Row],[Day]]-t0)/w)/w</f>
        <v>1220.0204331604361</v>
      </c>
      <c r="I71" s="56">
        <f>Tabella211[[#This Row],[Cum_fit]]*NOT(ISBLANK(Tabella211[[#This Row],[Cum_confirmed]]))</f>
        <v>0</v>
      </c>
      <c r="L71" s="55"/>
      <c r="M71" s="54"/>
      <c r="N71" s="54">
        <f>Tabella211[[#This Row],[New_cases_fit]]-Tabella211[[#This Row],[New_Recovered_fit]]-Tabella211[[#This Row],[New_Deaths_fit]]</f>
        <v>-1102.3053899136517</v>
      </c>
      <c r="P71" s="48"/>
      <c r="Q71" s="60">
        <f>Tabella211[[#This Row],[Cum_recov]]*NOT(ISBLANK(Tabella211[[#This Row],[Cum_recov]]))</f>
        <v>0</v>
      </c>
      <c r="R71" s="50">
        <f>Kr*EXP(-EXP(-(Tabella211[[#This Row],[Day]]-t0r)/wr))</f>
        <v>64507.473000856487</v>
      </c>
      <c r="S71" s="10">
        <f>Tabella211[[#This Row],[Cum_R_fit]]*EXP(-(Tabella211[[#This Row],[Day]]-t0r)/wr)/wr</f>
        <v>2130.6084593132273</v>
      </c>
      <c r="T71" s="60">
        <f>Tabella211[[#This Row],[Cum_R_fit]]*NOT(ISBLANK(Tabella211[[#This Row],[Cum_recov]]))</f>
        <v>0</v>
      </c>
      <c r="X71" s="26"/>
      <c r="Y71" s="65">
        <f>Tabella211[[#This Row],[Cum_deaths]]*NOT(ISBLANK(Tabella211[[#This Row],[Cum_deaths]]))</f>
        <v>0</v>
      </c>
      <c r="Z71" s="50">
        <f>Kh*EXP(-EXP(-(Tabella211[[#This Row],[Day]]-t0h)/wh))</f>
        <v>24831.984116384876</v>
      </c>
      <c r="AA71" s="10">
        <f>Tabella211[[#This Row],[Cum_D_fit]]*EXP(-(Tabella211[[#This Row],[Day]]-t0h)/wh)/wh</f>
        <v>191.71736376086059</v>
      </c>
      <c r="AB71" s="65">
        <f>Tabella211[[#This Row],[Cum_D_fit]]*NOT(ISBLANK(Tabella211[[#This Row],[Cum_deaths]]))</f>
        <v>0</v>
      </c>
    </row>
    <row r="72" spans="2:28" x14ac:dyDescent="0.3">
      <c r="B72" s="9">
        <v>43949</v>
      </c>
      <c r="C72" s="4">
        <f t="shared" si="0"/>
        <v>64</v>
      </c>
      <c r="F72" s="56">
        <f>Tabella211[[#This Row],[Cum_confirmed]]*NOT(ISBLANK(Tabella211[[#This Row],[Cum_confirmed]]))</f>
        <v>0</v>
      </c>
      <c r="G72" s="50">
        <f>K*EXP(-EXP(-(Tabella211[[#This Row],[Day]]-t0)/w))</f>
        <v>186348.2679042466</v>
      </c>
      <c r="H72" s="10">
        <f>Tabella211[[#This Row],[Cum_fit]]*EXP(-(Tabella211[[#This Row],[Day]]-t0)/w)/w</f>
        <v>1141.3419964644249</v>
      </c>
      <c r="I72" s="56">
        <f>Tabella211[[#This Row],[Cum_fit]]*NOT(ISBLANK(Tabella211[[#This Row],[Cum_confirmed]]))</f>
        <v>0</v>
      </c>
      <c r="L72" s="55"/>
      <c r="M72" s="54"/>
      <c r="N72" s="54">
        <f>Tabella211[[#This Row],[New_cases_fit]]-Tabella211[[#This Row],[New_Recovered_fit]]-Tabella211[[#This Row],[New_Deaths_fit]]</f>
        <v>-1166.854849745017</v>
      </c>
      <c r="P72" s="48"/>
      <c r="Q72" s="60">
        <f>Tabella211[[#This Row],[Cum_recov]]*NOT(ISBLANK(Tabella211[[#This Row],[Cum_recov]]))</f>
        <v>0</v>
      </c>
      <c r="R72" s="50">
        <f>Kr*EXP(-EXP(-(Tabella211[[#This Row],[Day]]-t0r)/wr))</f>
        <v>66637.6691225182</v>
      </c>
      <c r="S72" s="10">
        <f>Tabella211[[#This Row],[Cum_R_fit]]*EXP(-(Tabella211[[#This Row],[Day]]-t0r)/wr)/wr</f>
        <v>2129.402640229287</v>
      </c>
      <c r="T72" s="60">
        <f>Tabella211[[#This Row],[Cum_R_fit]]*NOT(ISBLANK(Tabella211[[#This Row],[Cum_recov]]))</f>
        <v>0</v>
      </c>
      <c r="X72" s="26"/>
      <c r="Y72" s="65">
        <f>Tabella211[[#This Row],[Cum_deaths]]*NOT(ISBLANK(Tabella211[[#This Row],[Cum_deaths]]))</f>
        <v>0</v>
      </c>
      <c r="Z72" s="50">
        <f>Kh*EXP(-EXP(-(Tabella211[[#This Row],[Day]]-t0h)/wh))</f>
        <v>25017.173604888954</v>
      </c>
      <c r="AA72" s="10">
        <f>Tabella211[[#This Row],[Cum_D_fit]]*EXP(-(Tabella211[[#This Row],[Day]]-t0h)/wh)/wh</f>
        <v>178.79420598015491</v>
      </c>
      <c r="AB72" s="65">
        <f>Tabella211[[#This Row],[Cum_D_fit]]*NOT(ISBLANK(Tabella211[[#This Row],[Cum_deaths]]))</f>
        <v>0</v>
      </c>
    </row>
    <row r="73" spans="2:28" x14ac:dyDescent="0.3">
      <c r="B73" s="9">
        <v>43950</v>
      </c>
      <c r="C73" s="4">
        <f t="shared" si="0"/>
        <v>65</v>
      </c>
      <c r="F73" s="56">
        <f>Tabella211[[#This Row],[Cum_confirmed]]*NOT(ISBLANK(Tabella211[[#This Row],[Cum_confirmed]]))</f>
        <v>0</v>
      </c>
      <c r="G73" s="50">
        <f>K*EXP(-EXP(-(Tabella211[[#This Row],[Day]]-t0)/w))</f>
        <v>187452.19423768565</v>
      </c>
      <c r="H73" s="10">
        <f>Tabella211[[#This Row],[Cum_fit]]*EXP(-(Tabella211[[#This Row],[Day]]-t0)/w)/w</f>
        <v>1067.2598782764003</v>
      </c>
      <c r="I73" s="56">
        <f>Tabella211[[#This Row],[Cum_fit]]*NOT(ISBLANK(Tabella211[[#This Row],[Cum_confirmed]]))</f>
        <v>0</v>
      </c>
      <c r="L73" s="55"/>
      <c r="M73" s="54"/>
      <c r="N73" s="54">
        <f>Tabella211[[#This Row],[New_cases_fit]]-Tabella211[[#This Row],[New_Recovered_fit]]-Tabella211[[#This Row],[New_Deaths_fit]]</f>
        <v>-1225.3407774338928</v>
      </c>
      <c r="P73" s="48"/>
      <c r="Q73" s="60">
        <f>Tabella211[[#This Row],[Cum_recov]]*NOT(ISBLANK(Tabella211[[#This Row],[Cum_recov]]))</f>
        <v>0</v>
      </c>
      <c r="R73" s="50">
        <f>Kr*EXP(-EXP(-(Tabella211[[#This Row],[Day]]-t0r)/wr))</f>
        <v>68765.529469527959</v>
      </c>
      <c r="S73" s="10">
        <f>Tabella211[[#This Row],[Cum_R_fit]]*EXP(-(Tabella211[[#This Row],[Day]]-t0r)/wr)/wr</f>
        <v>2125.9505300407623</v>
      </c>
      <c r="T73" s="60">
        <f>Tabella211[[#This Row],[Cum_R_fit]]*NOT(ISBLANK(Tabella211[[#This Row],[Cum_recov]]))</f>
        <v>0</v>
      </c>
      <c r="X73" s="26"/>
      <c r="Y73" s="65">
        <f>Tabella211[[#This Row],[Cum_deaths]]*NOT(ISBLANK(Tabella211[[#This Row],[Cum_deaths]]))</f>
        <v>0</v>
      </c>
      <c r="Z73" s="50">
        <f>Kh*EXP(-EXP(-(Tabella211[[#This Row],[Day]]-t0h)/wh))</f>
        <v>25189.832233741436</v>
      </c>
      <c r="AA73" s="10">
        <f>Tabella211[[#This Row],[Cum_D_fit]]*EXP(-(Tabella211[[#This Row],[Day]]-t0h)/wh)/wh</f>
        <v>166.65012566953072</v>
      </c>
      <c r="AB73" s="65">
        <f>Tabella211[[#This Row],[Cum_D_fit]]*NOT(ISBLANK(Tabella211[[#This Row],[Cum_deaths]]))</f>
        <v>0</v>
      </c>
    </row>
    <row r="74" spans="2:28" x14ac:dyDescent="0.3">
      <c r="B74" s="9">
        <v>43951</v>
      </c>
      <c r="C74" s="4">
        <f t="shared" ref="C74:C78" si="1">C73+1</f>
        <v>66</v>
      </c>
      <c r="F74" s="56">
        <f>Tabella211[[#This Row],[Cum_confirmed]]*NOT(ISBLANK(Tabella211[[#This Row],[Cum_confirmed]]))</f>
        <v>0</v>
      </c>
      <c r="G74" s="50">
        <f>K*EXP(-EXP(-(Tabella211[[#This Row],[Day]]-t0)/w))</f>
        <v>188484.25217947614</v>
      </c>
      <c r="H74" s="10">
        <f>Tabella211[[#This Row],[Cum_fit]]*EXP(-(Tabella211[[#This Row],[Day]]-t0)/w)/w</f>
        <v>997.5712929626111</v>
      </c>
      <c r="I74" s="56">
        <f>Tabella211[[#This Row],[Cum_fit]]*NOT(ISBLANK(Tabella211[[#This Row],[Cum_confirmed]]))</f>
        <v>0</v>
      </c>
      <c r="L74" s="55"/>
      <c r="M74" s="54"/>
      <c r="N74" s="54">
        <f>Tabella211[[#This Row],[New_cases_fit]]-Tabella211[[#This Row],[New_Recovered_fit]]-Tabella211[[#This Row],[New_Deaths_fit]]</f>
        <v>-1278.0161152786718</v>
      </c>
      <c r="P74" s="48"/>
      <c r="Q74" s="60">
        <f>Tabella211[[#This Row],[Cum_recov]]*NOT(ISBLANK(Tabella211[[#This Row],[Cum_recov]]))</f>
        <v>0</v>
      </c>
      <c r="R74" s="50">
        <f>Kr*EXP(-EXP(-(Tabella211[[#This Row],[Day]]-t0r)/wr))</f>
        <v>70888.849296154949</v>
      </c>
      <c r="S74" s="10">
        <f>Tabella211[[#This Row],[Cum_R_fit]]*EXP(-(Tabella211[[#This Row],[Day]]-t0r)/wr)/wr</f>
        <v>2120.3358809936235</v>
      </c>
      <c r="T74" s="60">
        <f>Tabella211[[#This Row],[Cum_R_fit]]*NOT(ISBLANK(Tabella211[[#This Row],[Cum_recov]]))</f>
        <v>0</v>
      </c>
      <c r="X74" s="26"/>
      <c r="Y74" s="65">
        <f>Tabella211[[#This Row],[Cum_deaths]]*NOT(ISBLANK(Tabella211[[#This Row],[Cum_deaths]]))</f>
        <v>0</v>
      </c>
      <c r="Z74" s="50">
        <f>Kh*EXP(-EXP(-(Tabella211[[#This Row],[Day]]-t0h)/wh))</f>
        <v>25350.722357337723</v>
      </c>
      <c r="AA74" s="10">
        <f>Tabella211[[#This Row],[Cum_D_fit]]*EXP(-(Tabella211[[#This Row],[Day]]-t0h)/wh)/wh</f>
        <v>155.25152724765945</v>
      </c>
      <c r="AB74" s="65">
        <f>Tabella211[[#This Row],[Cum_D_fit]]*NOT(ISBLANK(Tabella211[[#This Row],[Cum_deaths]]))</f>
        <v>0</v>
      </c>
    </row>
    <row r="75" spans="2:28" x14ac:dyDescent="0.3">
      <c r="B75" s="9">
        <v>43952</v>
      </c>
      <c r="C75" s="4">
        <f t="shared" si="1"/>
        <v>67</v>
      </c>
      <c r="F75" s="56">
        <f>Tabella211[[#This Row],[Cum_confirmed]]*NOT(ISBLANK(Tabella211[[#This Row],[Cum_confirmed]]))</f>
        <v>0</v>
      </c>
      <c r="G75" s="50">
        <f>K*EXP(-EXP(-(Tabella211[[#This Row],[Day]]-t0)/w))</f>
        <v>189448.73348086086</v>
      </c>
      <c r="H75" s="10">
        <f>Tabella211[[#This Row],[Cum_fit]]*EXP(-(Tabella211[[#This Row],[Day]]-t0)/w)/w</f>
        <v>932.07271698161742</v>
      </c>
      <c r="I75" s="56">
        <f>Tabella211[[#This Row],[Cum_fit]]*NOT(ISBLANK(Tabella211[[#This Row],[Cum_confirmed]]))</f>
        <v>0</v>
      </c>
      <c r="L75" s="55"/>
      <c r="M75" s="54"/>
      <c r="N75" s="54">
        <f>Tabella211[[#This Row],[New_cases_fit]]-Tabella211[[#This Row],[New_Recovered_fit]]-Tabella211[[#This Row],[New_Deaths_fit]]</f>
        <v>-1325.137508328118</v>
      </c>
      <c r="P75" s="48"/>
      <c r="Q75" s="60">
        <f>Tabella211[[#This Row],[Cum_recov]]*NOT(ISBLANK(Tabella211[[#This Row],[Cum_recov]]))</f>
        <v>0</v>
      </c>
      <c r="R75" s="50">
        <f>Kr*EXP(-EXP(-(Tabella211[[#This Row],[Day]]-t0r)/wr))</f>
        <v>73005.509476102845</v>
      </c>
      <c r="S75" s="10">
        <f>Tabella211[[#This Row],[Cum_R_fit]]*EXP(-(Tabella211[[#This Row],[Day]]-t0r)/wr)/wr</f>
        <v>2112.6460634913506</v>
      </c>
      <c r="T75" s="60">
        <f>Tabella211[[#This Row],[Cum_R_fit]]*NOT(ISBLANK(Tabella211[[#This Row],[Cum_recov]]))</f>
        <v>0</v>
      </c>
      <c r="X75" s="26"/>
      <c r="Y75" s="65">
        <f>Tabella211[[#This Row],[Cum_deaths]]*NOT(ISBLANK(Tabella211[[#This Row],[Cum_deaths]]))</f>
        <v>0</v>
      </c>
      <c r="Z75" s="50">
        <f>Kh*EXP(-EXP(-(Tabella211[[#This Row],[Day]]-t0h)/wh))</f>
        <v>25500.572368231587</v>
      </c>
      <c r="AA75" s="10">
        <f>Tabella211[[#This Row],[Cum_D_fit]]*EXP(-(Tabella211[[#This Row],[Day]]-t0h)/wh)/wh</f>
        <v>144.56416181838475</v>
      </c>
      <c r="AB75" s="65">
        <f>Tabella211[[#This Row],[Cum_D_fit]]*NOT(ISBLANK(Tabella211[[#This Row],[Cum_deaths]]))</f>
        <v>0</v>
      </c>
    </row>
    <row r="76" spans="2:28" x14ac:dyDescent="0.3">
      <c r="B76" s="9">
        <v>43953</v>
      </c>
      <c r="C76" s="4">
        <f t="shared" si="1"/>
        <v>68</v>
      </c>
      <c r="F76" s="56">
        <f>Tabella211[[#This Row],[Cum_confirmed]]*NOT(ISBLANK(Tabella211[[#This Row],[Cum_confirmed]]))</f>
        <v>0</v>
      </c>
      <c r="G76" s="50">
        <f>K*EXP(-EXP(-(Tabella211[[#This Row],[Day]]-t0)/w))</f>
        <v>190349.72677594991</v>
      </c>
      <c r="H76" s="10">
        <f>Tabella211[[#This Row],[Cum_fit]]*EXP(-(Tabella211[[#This Row],[Day]]-t0)/w)/w</f>
        <v>870.56171618315818</v>
      </c>
      <c r="I76" s="56">
        <f>Tabella211[[#This Row],[Cum_fit]]*NOT(ISBLANK(Tabella211[[#This Row],[Cum_confirmed]]))</f>
        <v>0</v>
      </c>
      <c r="L76" s="55"/>
      <c r="M76" s="54"/>
      <c r="N76" s="54">
        <f>Tabella211[[#This Row],[New_cases_fit]]-Tabella211[[#This Row],[New_Recovered_fit]]-Tabella211[[#This Row],[New_Deaths_fit]]</f>
        <v>-1366.9632312383419</v>
      </c>
      <c r="P76" s="48"/>
      <c r="Q76" s="60">
        <f>Tabella211[[#This Row],[Cum_recov]]*NOT(ISBLANK(Tabella211[[#This Row],[Cum_recov]]))</f>
        <v>0</v>
      </c>
      <c r="R76" s="50">
        <f>Kr*EXP(-EXP(-(Tabella211[[#This Row],[Day]]-t0r)/wr))</f>
        <v>75113.479777587505</v>
      </c>
      <c r="S76" s="10">
        <f>Tabella211[[#This Row],[Cum_R_fit]]*EXP(-(Tabella211[[#This Row],[Day]]-t0r)/wr)/wr</f>
        <v>2102.9713856042727</v>
      </c>
      <c r="T76" s="60">
        <f>Tabella211[[#This Row],[Cum_R_fit]]*NOT(ISBLANK(Tabella211[[#This Row],[Cum_recov]]))</f>
        <v>0</v>
      </c>
      <c r="X76" s="26"/>
      <c r="Y76" s="65">
        <f>Tabella211[[#This Row],[Cum_deaths]]*NOT(ISBLANK(Tabella211[[#This Row],[Cum_deaths]]))</f>
        <v>0</v>
      </c>
      <c r="Z76" s="50">
        <f>Kh*EXP(-EXP(-(Tabella211[[#This Row],[Day]]-t0h)/wh))</f>
        <v>25640.076267796991</v>
      </c>
      <c r="AA76" s="10">
        <f>Tabella211[[#This Row],[Cum_D_fit]]*EXP(-(Tabella211[[#This Row],[Day]]-t0h)/wh)/wh</f>
        <v>134.55356181722763</v>
      </c>
      <c r="AB76" s="65">
        <f>Tabella211[[#This Row],[Cum_D_fit]]*NOT(ISBLANK(Tabella211[[#This Row],[Cum_deaths]]))</f>
        <v>0</v>
      </c>
    </row>
    <row r="77" spans="2:28" x14ac:dyDescent="0.3">
      <c r="B77" s="9">
        <v>43954</v>
      </c>
      <c r="C77" s="4">
        <f t="shared" si="1"/>
        <v>69</v>
      </c>
      <c r="F77" s="56">
        <f>Tabella211[[#This Row],[Cum_confirmed]]*NOT(ISBLANK(Tabella211[[#This Row],[Cum_confirmed]]))</f>
        <v>0</v>
      </c>
      <c r="G77" s="50">
        <f>K*EXP(-EXP(-(Tabella211[[#This Row],[Day]]-t0)/w))</f>
        <v>191191.11944949787</v>
      </c>
      <c r="H77" s="10">
        <f>Tabella211[[#This Row],[Cum_fit]]*EXP(-(Tabella211[[#This Row],[Day]]-t0)/w)/w</f>
        <v>812.83845256563768</v>
      </c>
      <c r="I77" s="56">
        <f>Tabella211[[#This Row],[Cum_fit]]*NOT(ISBLANK(Tabella211[[#This Row],[Cum_confirmed]]))</f>
        <v>0</v>
      </c>
      <c r="L77" s="55"/>
      <c r="M77" s="54"/>
      <c r="N77" s="54">
        <f>Tabella211[[#This Row],[New_cases_fit]]-Tabella211[[#This Row],[New_Recovered_fit]]-Tabella211[[#This Row],[New_Deaths_fit]]</f>
        <v>-1403.7513959496862</v>
      </c>
      <c r="P77" s="48"/>
      <c r="Q77" s="60">
        <f>Tabella211[[#This Row],[Cum_recov]]*NOT(ISBLANK(Tabella211[[#This Row],[Cum_recov]]))</f>
        <v>0</v>
      </c>
      <c r="R77" s="50">
        <f>Kr*EXP(-EXP(-(Tabella211[[#This Row],[Day]]-t0r)/wr))</f>
        <v>77210.821475348333</v>
      </c>
      <c r="S77" s="10">
        <f>Tabella211[[#This Row],[Cum_R_fit]]*EXP(-(Tabella211[[#This Row],[Day]]-t0r)/wr)/wr</f>
        <v>2091.404447822908</v>
      </c>
      <c r="T77" s="60">
        <f>Tabella211[[#This Row],[Cum_R_fit]]*NOT(ISBLANK(Tabella211[[#This Row],[Cum_recov]]))</f>
        <v>0</v>
      </c>
      <c r="X77" s="26"/>
      <c r="Y77" s="65">
        <f>Tabella211[[#This Row],[Cum_deaths]]*NOT(ISBLANK(Tabella211[[#This Row],[Cum_deaths]]))</f>
        <v>0</v>
      </c>
      <c r="Z77" s="50">
        <f>Kh*EXP(-EXP(-(Tabella211[[#This Row],[Day]]-t0h)/wh))</f>
        <v>25769.893633249296</v>
      </c>
      <c r="AA77" s="10">
        <f>Tabella211[[#This Row],[Cum_D_fit]]*EXP(-(Tabella211[[#This Row],[Day]]-t0h)/wh)/wh</f>
        <v>125.185400692416</v>
      </c>
      <c r="AB77" s="65">
        <f>Tabella211[[#This Row],[Cum_D_fit]]*NOT(ISBLANK(Tabella211[[#This Row],[Cum_deaths]]))</f>
        <v>0</v>
      </c>
    </row>
    <row r="78" spans="2:28" x14ac:dyDescent="0.3">
      <c r="B78" s="9">
        <v>43955</v>
      </c>
      <c r="C78" s="4">
        <f t="shared" si="1"/>
        <v>70</v>
      </c>
      <c r="F78" s="56">
        <f>Tabella211[[#This Row],[Cum_confirmed]]*NOT(ISBLANK(Tabella211[[#This Row],[Cum_confirmed]]))</f>
        <v>0</v>
      </c>
      <c r="G78" s="50">
        <f>K*EXP(-EXP(-(Tabella211[[#This Row],[Day]]-t0)/w))</f>
        <v>191976.60086782236</v>
      </c>
      <c r="H78" s="10">
        <f>Tabella211[[#This Row],[Cum_fit]]*EXP(-(Tabella211[[#This Row],[Day]]-t0)/w)/w</f>
        <v>758.70691011204985</v>
      </c>
      <c r="I78" s="56">
        <f>Tabella211[[#This Row],[Cum_fit]]*NOT(ISBLANK(Tabella211[[#This Row],[Cum_confirmed]]))</f>
        <v>0</v>
      </c>
      <c r="L78" s="55"/>
      <c r="M78" s="54"/>
      <c r="N78" s="54">
        <f>Tabella211[[#This Row],[New_cases_fit]]-Tabella211[[#This Row],[New_Recovered_fit]]-Tabella211[[#This Row],[New_Deaths_fit]]</f>
        <v>-1435.7584118900629</v>
      </c>
      <c r="P78" s="48"/>
      <c r="Q78" s="60">
        <f>Tabella211[[#This Row],[Cum_recov]]*NOT(ISBLANK(Tabella211[[#This Row],[Cum_recov]]))</f>
        <v>0</v>
      </c>
      <c r="R78" s="50">
        <f>Kr*EXP(-EXP(-(Tabella211[[#This Row],[Day]]-t0r)/wr))</f>
        <v>79295.689335915697</v>
      </c>
      <c r="S78" s="10">
        <f>Tabella211[[#This Row],[Cum_R_fit]]*EXP(-(Tabella211[[#This Row],[Day]]-t0r)/wr)/wr</f>
        <v>2078.0395351063789</v>
      </c>
      <c r="T78" s="60">
        <f>Tabella211[[#This Row],[Cum_R_fit]]*NOT(ISBLANK(Tabella211[[#This Row],[Cum_recov]]))</f>
        <v>0</v>
      </c>
      <c r="X78" s="26"/>
      <c r="Y78" s="65">
        <f>Tabella211[[#This Row],[Cum_deaths]]*NOT(ISBLANK(Tabella211[[#This Row],[Cum_deaths]]))</f>
        <v>0</v>
      </c>
      <c r="Z78" s="50">
        <f>Kh*EXP(-EXP(-(Tabella211[[#This Row],[Day]]-t0h)/wh))</f>
        <v>25890.649910761415</v>
      </c>
      <c r="AA78" s="10">
        <f>Tabella211[[#This Row],[Cum_D_fit]]*EXP(-(Tabella211[[#This Row],[Day]]-t0h)/wh)/wh</f>
        <v>116.42578689573374</v>
      </c>
      <c r="AB78" s="65">
        <f>Tabella211[[#This Row],[Cum_D_fit]]*NOT(ISBLANK(Tabella211[[#This Row],[Cum_deaths]]))</f>
        <v>0</v>
      </c>
    </row>
    <row r="79" spans="2:28" ht="31.2" x14ac:dyDescent="0.6">
      <c r="B79" s="11"/>
      <c r="C79" s="4"/>
      <c r="E79" s="8"/>
      <c r="I79" s="8"/>
    </row>
    <row r="80" spans="2:28" ht="31.2" x14ac:dyDescent="0.6">
      <c r="B80" s="11"/>
      <c r="C80" s="4"/>
      <c r="E80" s="8"/>
      <c r="I80" s="8"/>
    </row>
    <row r="81" spans="2:18" ht="31.2" x14ac:dyDescent="0.6">
      <c r="B81" s="11"/>
      <c r="C81" s="4"/>
      <c r="E81" s="8"/>
      <c r="I81" s="8"/>
    </row>
    <row r="82" spans="2:18" ht="31.2" x14ac:dyDescent="0.6">
      <c r="B82" s="11"/>
      <c r="C82" s="4"/>
      <c r="E82" s="8"/>
      <c r="I82" s="8"/>
    </row>
    <row r="83" spans="2:18" ht="31.2" x14ac:dyDescent="0.6">
      <c r="B83" s="11"/>
      <c r="C83" s="4"/>
      <c r="E83" s="8"/>
      <c r="I83" s="8"/>
    </row>
    <row r="84" spans="2:18" ht="31.2" x14ac:dyDescent="0.6">
      <c r="B84" s="11"/>
      <c r="C84" s="4"/>
      <c r="E84" s="8"/>
      <c r="I84" s="8"/>
    </row>
    <row r="85" spans="2:18" ht="31.2" x14ac:dyDescent="0.6">
      <c r="B85" s="11"/>
      <c r="C85" s="4"/>
      <c r="E85" s="8"/>
      <c r="I85" s="8"/>
    </row>
    <row r="86" spans="2:18" ht="31.2" x14ac:dyDescent="0.6">
      <c r="B86" s="11"/>
      <c r="C86" s="4"/>
      <c r="E86" s="8"/>
      <c r="I86" s="8"/>
    </row>
    <row r="87" spans="2:18" ht="31.2" x14ac:dyDescent="0.6">
      <c r="B87" s="11"/>
      <c r="C87" s="4"/>
      <c r="E87" s="8"/>
      <c r="I87" s="8"/>
    </row>
    <row r="88" spans="2:18" ht="31.2" x14ac:dyDescent="0.6">
      <c r="B88" s="11"/>
      <c r="C88" s="4"/>
      <c r="E88" s="8"/>
      <c r="I88" s="8"/>
    </row>
    <row r="89" spans="2:18" ht="31.2" x14ac:dyDescent="0.6">
      <c r="B89" s="11"/>
      <c r="C89" s="4"/>
      <c r="E89" s="8"/>
      <c r="I89" s="8"/>
    </row>
    <row r="90" spans="2:18" ht="31.2" x14ac:dyDescent="0.6">
      <c r="B90" s="11"/>
      <c r="C90" s="4"/>
      <c r="E90" s="8"/>
      <c r="I90" s="8"/>
    </row>
    <row r="91" spans="2:18" ht="31.2" x14ac:dyDescent="0.6">
      <c r="B91" s="11"/>
      <c r="C91" s="4"/>
      <c r="E91" s="8"/>
      <c r="I91" s="8"/>
    </row>
    <row r="92" spans="2:18" ht="31.2" x14ac:dyDescent="0.6">
      <c r="B92" s="11"/>
      <c r="C92" s="4"/>
      <c r="E92" s="8"/>
      <c r="I92" s="8"/>
    </row>
    <row r="94" spans="2:18" ht="31.2" x14ac:dyDescent="0.6">
      <c r="B94" s="11" t="s">
        <v>11</v>
      </c>
    </row>
    <row r="95" spans="2:18" ht="17.399999999999999" customHeight="1" x14ac:dyDescent="0.6">
      <c r="B95" s="12"/>
      <c r="C95" s="13"/>
      <c r="D95" s="13"/>
      <c r="E95" s="13"/>
      <c r="F95" s="13"/>
      <c r="H95" s="13"/>
      <c r="I95" s="13"/>
      <c r="J95" s="13"/>
      <c r="O95" s="20" t="s">
        <v>0</v>
      </c>
      <c r="P95" s="19" t="s">
        <v>68</v>
      </c>
      <c r="Q95" s="31"/>
      <c r="R95" s="16"/>
    </row>
    <row r="96" spans="2:18" ht="20.399999999999999" x14ac:dyDescent="0.35">
      <c r="B96" s="15" t="s">
        <v>49</v>
      </c>
      <c r="C96" s="14"/>
      <c r="D96" s="13"/>
      <c r="E96" s="13"/>
      <c r="F96" s="13"/>
      <c r="H96" s="13"/>
      <c r="I96" s="13"/>
      <c r="J96" s="13"/>
      <c r="O96" s="20" t="s">
        <v>23</v>
      </c>
      <c r="P96" s="19" t="s">
        <v>71</v>
      </c>
      <c r="Q96" s="16"/>
      <c r="R96" s="16"/>
    </row>
    <row r="97" spans="2:28" ht="18.600000000000001" thickBot="1" x14ac:dyDescent="0.4">
      <c r="B97" s="27" t="s">
        <v>58</v>
      </c>
      <c r="C97" s="13"/>
      <c r="D97" s="13"/>
      <c r="E97" s="13"/>
      <c r="F97" s="13"/>
      <c r="H97" s="13"/>
      <c r="I97" s="13"/>
      <c r="J97" s="13"/>
      <c r="O97" s="20" t="s">
        <v>1</v>
      </c>
      <c r="P97" s="19" t="s">
        <v>71</v>
      </c>
      <c r="Q97" s="16"/>
      <c r="R97" s="16"/>
    </row>
    <row r="98" spans="2:28" ht="28.8" x14ac:dyDescent="0.3">
      <c r="B98" s="4" t="s">
        <v>8</v>
      </c>
      <c r="C98" s="4" t="s">
        <v>9</v>
      </c>
      <c r="D98" s="4" t="s">
        <v>10</v>
      </c>
      <c r="E98" s="8" t="s">
        <v>54</v>
      </c>
      <c r="F98" s="8" t="s">
        <v>44</v>
      </c>
      <c r="G98" s="8" t="s">
        <v>45</v>
      </c>
      <c r="H98" s="4" t="s">
        <v>53</v>
      </c>
      <c r="I98" s="8" t="s">
        <v>55</v>
      </c>
      <c r="J98" s="8" t="s">
        <v>56</v>
      </c>
      <c r="K98" s="8" t="s">
        <v>57</v>
      </c>
      <c r="L98" s="8"/>
      <c r="M98" s="28" t="s">
        <v>46</v>
      </c>
      <c r="N98" s="3"/>
      <c r="O98" s="3"/>
      <c r="AB98" s="38" t="s">
        <v>72</v>
      </c>
    </row>
    <row r="99" spans="2:28" x14ac:dyDescent="0.3">
      <c r="B99" s="24">
        <v>43881</v>
      </c>
      <c r="C99" s="25">
        <v>1</v>
      </c>
      <c r="D99" s="26">
        <v>3</v>
      </c>
      <c r="E99" s="8">
        <f t="shared" ref="E99:E162" si="2">t0*_xlfn.GAMMA.DIST($C99/t0,w+1,1,1)*_xlfn.GAMMA(w+1)</f>
        <v>3.7839205970655598E-22</v>
      </c>
      <c r="F99" s="10">
        <f>E99+CI</f>
        <v>2215.347076728202</v>
      </c>
      <c r="G99" s="10">
        <f>MAX(E99-CI,0)</f>
        <v>0</v>
      </c>
      <c r="H99" s="25">
        <v>0</v>
      </c>
      <c r="I99" s="8">
        <f t="shared" ref="I99:I162" si="3">t0h*_xlfn.GAMMA.DIST($C99/t0h,wh+1,1,1)*_xlfn.GAMMA(wh+1)</f>
        <v>1.4037114726750345E-21</v>
      </c>
      <c r="J99" s="10">
        <f t="shared" ref="J99:J138" si="4">I99+CIh</f>
        <v>213.6395292742053</v>
      </c>
      <c r="K99" s="10">
        <f t="shared" ref="K99:K138" si="5">MAX(I99-CIh,0)</f>
        <v>0</v>
      </c>
      <c r="L99" s="8"/>
      <c r="M99" s="36"/>
      <c r="N99" s="36"/>
      <c r="O99" s="3"/>
      <c r="AB99" s="39">
        <f>MAX($N$13)</f>
        <v>134.51922180323419</v>
      </c>
    </row>
    <row r="100" spans="2:28" ht="15.6" x14ac:dyDescent="0.35">
      <c r="B100" s="24">
        <v>43882</v>
      </c>
      <c r="C100" s="25">
        <v>2</v>
      </c>
      <c r="D100" s="26">
        <v>20</v>
      </c>
      <c r="E100" s="8">
        <f t="shared" si="2"/>
        <v>9.731901342326941E-18</v>
      </c>
      <c r="F100" s="10">
        <f>E100+CI</f>
        <v>2215.347076728202</v>
      </c>
      <c r="G100" s="10">
        <f>MAX(E100-CI,0)</f>
        <v>0</v>
      </c>
      <c r="H100" s="25">
        <v>1</v>
      </c>
      <c r="I100" s="8">
        <f t="shared" si="3"/>
        <v>2.1607282762855298E-17</v>
      </c>
      <c r="J100" s="10">
        <f t="shared" si="4"/>
        <v>213.6395292742053</v>
      </c>
      <c r="K100" s="10">
        <f t="shared" si="5"/>
        <v>0</v>
      </c>
      <c r="L100" s="8"/>
      <c r="M100" s="21" t="s">
        <v>24</v>
      </c>
      <c r="N100" s="29">
        <v>4.2282842615638625</v>
      </c>
      <c r="O100" s="3"/>
      <c r="AB100" s="40">
        <f>COUNT($N$8,$N$9)</f>
        <v>2</v>
      </c>
    </row>
    <row r="101" spans="2:28" x14ac:dyDescent="0.3">
      <c r="B101" s="24">
        <v>43883</v>
      </c>
      <c r="C101" s="25">
        <v>3</v>
      </c>
      <c r="D101" s="26">
        <v>62</v>
      </c>
      <c r="E101" s="8">
        <f t="shared" si="2"/>
        <v>3.6510689809785431E-15</v>
      </c>
      <c r="F101" s="10">
        <f>E101+CI</f>
        <v>2215.347076728202</v>
      </c>
      <c r="G101" s="10">
        <f>MAX(E101-CI,0)</f>
        <v>0</v>
      </c>
      <c r="H101" s="25">
        <v>2</v>
      </c>
      <c r="I101" s="8">
        <f t="shared" si="3"/>
        <v>6.0111819526409119E-15</v>
      </c>
      <c r="J101" s="10">
        <f t="shared" si="4"/>
        <v>213.6395292742053</v>
      </c>
      <c r="K101" s="10">
        <f t="shared" si="5"/>
        <v>0</v>
      </c>
      <c r="L101" s="8"/>
      <c r="M101" s="21" t="s">
        <v>1</v>
      </c>
      <c r="N101" s="29">
        <v>7.9939169732118822</v>
      </c>
      <c r="O101" s="3"/>
      <c r="AB101" s="40">
        <f>{32767;32767;0.000001;0;FALSE;FALSE;FALSE;1;2;1;0.0001;TRUE}</f>
        <v>32767</v>
      </c>
    </row>
    <row r="102" spans="2:28" x14ac:dyDescent="0.3">
      <c r="B102" s="24">
        <v>43884</v>
      </c>
      <c r="C102" s="25">
        <v>4</v>
      </c>
      <c r="D102" s="26">
        <v>155</v>
      </c>
      <c r="E102" s="8">
        <f t="shared" si="2"/>
        <v>2.4262362829235085E-13</v>
      </c>
      <c r="F102" s="10">
        <f>E102+CI</f>
        <v>2215.3470767282024</v>
      </c>
      <c r="G102" s="10">
        <f>MAX(E102-CI,0)</f>
        <v>0</v>
      </c>
      <c r="H102" s="25">
        <v>3</v>
      </c>
      <c r="I102" s="8">
        <f t="shared" si="3"/>
        <v>3.2338160222596579E-13</v>
      </c>
      <c r="J102" s="10">
        <f t="shared" si="4"/>
        <v>213.63952927420561</v>
      </c>
      <c r="K102" s="10">
        <f t="shared" si="5"/>
        <v>0</v>
      </c>
      <c r="L102" s="8"/>
      <c r="M102" s="5" t="s">
        <v>2</v>
      </c>
      <c r="N102" s="1" t="e">
        <f>AVERAGE(D99:D162)</f>
        <v>#REF!</v>
      </c>
      <c r="O102" s="3"/>
      <c r="AB102" s="40">
        <f>{0;0;1;100;0;FALSE;FALSE;0.075;0;0;FALSE;30}</f>
        <v>0</v>
      </c>
    </row>
    <row r="103" spans="2:28" x14ac:dyDescent="0.3">
      <c r="B103" s="22">
        <v>43885</v>
      </c>
      <c r="C103" s="4">
        <v>5</v>
      </c>
      <c r="D103" s="10" t="e">
        <f>'dpc-covid19-ita-andamento-naz'!#REF!</f>
        <v>#REF!</v>
      </c>
      <c r="E103" s="8">
        <f t="shared" si="2"/>
        <v>6.245284955065515E-12</v>
      </c>
      <c r="F103" s="10">
        <f t="shared" ref="F103:F143" si="6">E103+CI</f>
        <v>2215.3470767282083</v>
      </c>
      <c r="G103" s="10">
        <f t="shared" ref="G103:G143" si="7">MAX(E103-CI,0)</f>
        <v>0</v>
      </c>
      <c r="H103" s="10" t="e">
        <f>'dpc-covid19-ita-andamento-naz'!#REF!</f>
        <v>#REF!</v>
      </c>
      <c r="I103" s="8">
        <f t="shared" si="3"/>
        <v>7.0705986348052683E-12</v>
      </c>
      <c r="J103" s="10">
        <f t="shared" si="4"/>
        <v>213.63952927421238</v>
      </c>
      <c r="K103" s="10">
        <f t="shared" si="5"/>
        <v>0</v>
      </c>
      <c r="L103" s="1"/>
      <c r="M103" s="5" t="s">
        <v>3</v>
      </c>
      <c r="N103" s="1">
        <f>COUNT(D99:D162)-COUNT(N99:N101)</f>
        <v>2</v>
      </c>
      <c r="AB103" s="40">
        <f>{32767;32767;0.000001;0;FALSE;FALSE;FALSE;1;2;1;0.0001;TRUE}</f>
        <v>32767</v>
      </c>
    </row>
    <row r="104" spans="2:28" x14ac:dyDescent="0.3">
      <c r="B104" s="9">
        <v>43886</v>
      </c>
      <c r="C104" s="4">
        <v>6</v>
      </c>
      <c r="D104" s="10" t="e">
        <f>'dpc-covid19-ita-andamento-naz'!#REF!</f>
        <v>#REF!</v>
      </c>
      <c r="E104" s="8">
        <f t="shared" si="2"/>
        <v>8.8234896039346911E-11</v>
      </c>
      <c r="F104" s="10">
        <f t="shared" si="6"/>
        <v>2215.3470767282902</v>
      </c>
      <c r="G104" s="10">
        <f t="shared" si="7"/>
        <v>0</v>
      </c>
      <c r="H104" s="10" t="e">
        <f>'dpc-covid19-ita-andamento-naz'!#REF!</f>
        <v>#REF!</v>
      </c>
      <c r="I104" s="8">
        <f t="shared" si="3"/>
        <v>8.7472708171909634E-11</v>
      </c>
      <c r="J104" s="10">
        <f t="shared" si="4"/>
        <v>213.63952927429278</v>
      </c>
      <c r="K104" s="10">
        <f t="shared" si="5"/>
        <v>0</v>
      </c>
      <c r="L104" s="1"/>
      <c r="M104" s="5" t="s">
        <v>4</v>
      </c>
      <c r="N104" s="6" t="e" cm="1">
        <f t="array" ref="N104">SQRT(SUM((D99:D143-E99:E143)^2)/df)</f>
        <v>#REF!</v>
      </c>
      <c r="AB104" s="41">
        <f>{0;0;1;100;0;FALSE;FALSE;0.075;0;0;FALSE;30}</f>
        <v>0</v>
      </c>
    </row>
    <row r="105" spans="2:28" ht="16.2" x14ac:dyDescent="0.3">
      <c r="B105" s="9">
        <v>43887</v>
      </c>
      <c r="C105" s="4">
        <v>7</v>
      </c>
      <c r="D105" s="10" t="e">
        <f>'dpc-covid19-ita-andamento-naz'!#REF!</f>
        <v>#REF!</v>
      </c>
      <c r="E105" s="8">
        <f t="shared" si="2"/>
        <v>8.2402237452511483E-10</v>
      </c>
      <c r="F105" s="10">
        <f t="shared" si="6"/>
        <v>2215.347076729026</v>
      </c>
      <c r="G105" s="10">
        <f t="shared" si="7"/>
        <v>0</v>
      </c>
      <c r="H105" s="10" t="e">
        <f>'dpc-covid19-ita-andamento-naz'!#REF!</f>
        <v>#REF!</v>
      </c>
      <c r="I105" s="8">
        <f t="shared" si="3"/>
        <v>7.3048807731566424E-10</v>
      </c>
      <c r="J105" s="10">
        <f t="shared" si="4"/>
        <v>213.6395292749358</v>
      </c>
      <c r="K105" s="10">
        <f t="shared" si="5"/>
        <v>0</v>
      </c>
      <c r="L105" s="1"/>
      <c r="M105" s="5" t="s">
        <v>5</v>
      </c>
      <c r="N105" s="7" t="e" cm="1">
        <f t="array" ref="N105">1-SUM((D99:D143-E99:E143)^2)/SUM((D99:D143-Mean_of_y)^2)</f>
        <v>#REF!</v>
      </c>
      <c r="AB105" s="42"/>
    </row>
    <row r="106" spans="2:28" x14ac:dyDescent="0.3">
      <c r="B106" s="9">
        <v>43888</v>
      </c>
      <c r="C106" s="4">
        <v>8</v>
      </c>
      <c r="D106" s="10" t="e">
        <f>'dpc-covid19-ita-andamento-naz'!#REF!</f>
        <v>#REF!</v>
      </c>
      <c r="E106" s="8">
        <f t="shared" si="2"/>
        <v>5.6838636385970334E-9</v>
      </c>
      <c r="F106" s="10">
        <f t="shared" si="6"/>
        <v>2215.3470767338858</v>
      </c>
      <c r="G106" s="10">
        <f t="shared" si="7"/>
        <v>0</v>
      </c>
      <c r="H106" s="10" t="e">
        <f>'dpc-covid19-ita-andamento-naz'!#REF!</f>
        <v>#REF!</v>
      </c>
      <c r="I106" s="8">
        <f t="shared" si="3"/>
        <v>4.5754128253309526E-9</v>
      </c>
      <c r="J106" s="10">
        <f t="shared" si="4"/>
        <v>213.63952927878071</v>
      </c>
      <c r="K106" s="10">
        <f t="shared" si="5"/>
        <v>0</v>
      </c>
      <c r="L106" s="1"/>
      <c r="M106" s="5" t="s">
        <v>6</v>
      </c>
      <c r="N106" s="7">
        <f>TINV(0.05,df)</f>
        <v>2.0117405137297668</v>
      </c>
      <c r="AB106" s="43"/>
    </row>
    <row r="107" spans="2:28" x14ac:dyDescent="0.3">
      <c r="B107" s="9">
        <v>43889</v>
      </c>
      <c r="C107" s="4">
        <v>9</v>
      </c>
      <c r="D107" s="10" t="e">
        <f>'dpc-covid19-ita-andamento-naz'!#REF!</f>
        <v>#REF!</v>
      </c>
      <c r="E107" s="8">
        <f t="shared" si="2"/>
        <v>3.1105802717590547E-8</v>
      </c>
      <c r="F107" s="10">
        <f t="shared" si="6"/>
        <v>2215.3470767593076</v>
      </c>
      <c r="G107" s="10">
        <f t="shared" si="7"/>
        <v>0</v>
      </c>
      <c r="H107" s="10" t="e">
        <f>'dpc-covid19-ita-andamento-naz'!#REF!</f>
        <v>#REF!</v>
      </c>
      <c r="I107" s="8">
        <f t="shared" si="3"/>
        <v>2.3005691107117304E-8</v>
      </c>
      <c r="J107" s="10">
        <f t="shared" si="4"/>
        <v>213.639529297211</v>
      </c>
      <c r="K107" s="10">
        <f t="shared" si="5"/>
        <v>0</v>
      </c>
      <c r="L107" s="1"/>
      <c r="M107" s="5" t="s">
        <v>7</v>
      </c>
      <c r="N107" s="1">
        <f>Critical_t*SE_of_y</f>
        <v>2215.347076728202</v>
      </c>
      <c r="AB107" s="43"/>
    </row>
    <row r="108" spans="2:28" ht="15" thickBot="1" x14ac:dyDescent="0.35">
      <c r="B108" s="9">
        <v>43890</v>
      </c>
      <c r="C108" s="4">
        <v>10</v>
      </c>
      <c r="D108" s="10" t="e">
        <f>'dpc-covid19-ita-andamento-naz'!#REF!</f>
        <v>#REF!</v>
      </c>
      <c r="E108" s="8">
        <f t="shared" si="2"/>
        <v>1.4182681383047441E-7</v>
      </c>
      <c r="F108" s="10">
        <f t="shared" si="6"/>
        <v>2215.3470768700286</v>
      </c>
      <c r="G108" s="10">
        <f t="shared" si="7"/>
        <v>0</v>
      </c>
      <c r="H108" s="10" t="e">
        <f>'dpc-covid19-ita-andamento-naz'!#REF!</f>
        <v>#REF!</v>
      </c>
      <c r="I108" s="8">
        <f t="shared" si="3"/>
        <v>9.7269841125759791E-8</v>
      </c>
      <c r="J108" s="10">
        <f t="shared" si="4"/>
        <v>213.63952937147513</v>
      </c>
      <c r="K108" s="10">
        <f t="shared" si="5"/>
        <v>0</v>
      </c>
      <c r="L108" s="1"/>
      <c r="M108" s="32" t="s">
        <v>67</v>
      </c>
      <c r="N108" s="33">
        <f>t0*_xlfn.GAMMA(w+1)</f>
        <v>1164344865781.2498</v>
      </c>
      <c r="AB108" s="44"/>
    </row>
    <row r="109" spans="2:28" ht="15" thickTop="1" x14ac:dyDescent="0.3">
      <c r="B109" s="22">
        <v>43891</v>
      </c>
      <c r="C109" s="4">
        <v>11</v>
      </c>
      <c r="D109" s="10" t="e">
        <f>'dpc-covid19-ita-andamento-naz'!#REF!</f>
        <v>#REF!</v>
      </c>
      <c r="E109" s="8">
        <f t="shared" si="2"/>
        <v>5.578714439763564E-7</v>
      </c>
      <c r="F109" s="10">
        <f t="shared" si="6"/>
        <v>2215.3470772860733</v>
      </c>
      <c r="G109" s="10">
        <f t="shared" si="7"/>
        <v>0</v>
      </c>
      <c r="H109" s="10" t="e">
        <f>'dpc-covid19-ita-andamento-naz'!#REF!</f>
        <v>#REF!</v>
      </c>
      <c r="I109" s="8">
        <f t="shared" si="3"/>
        <v>3.5746315428430039E-7</v>
      </c>
      <c r="J109" s="10">
        <f t="shared" si="4"/>
        <v>213.63952963166847</v>
      </c>
      <c r="K109" s="10">
        <f t="shared" si="5"/>
        <v>0</v>
      </c>
      <c r="L109" s="1"/>
      <c r="M109" s="23" t="s">
        <v>53</v>
      </c>
      <c r="N109" s="3"/>
      <c r="AB109" s="45">
        <f>MAX($N$24)</f>
        <v>2106.5301745894994</v>
      </c>
    </row>
    <row r="110" spans="2:28" x14ac:dyDescent="0.3">
      <c r="B110" s="9">
        <v>43892</v>
      </c>
      <c r="C110" s="4">
        <v>12</v>
      </c>
      <c r="D110" s="10" t="e">
        <f>'dpc-covid19-ita-andamento-naz'!#REF!</f>
        <v>#REF!</v>
      </c>
      <c r="E110" s="8">
        <f t="shared" si="2"/>
        <v>1.9424388289267456E-6</v>
      </c>
      <c r="F110" s="10">
        <f t="shared" si="6"/>
        <v>2215.3470786706407</v>
      </c>
      <c r="G110" s="10">
        <f t="shared" si="7"/>
        <v>0</v>
      </c>
      <c r="H110" s="10" t="e">
        <f>'dpc-covid19-ita-andamento-naz'!#REF!</f>
        <v>#REF!</v>
      </c>
      <c r="I110" s="8">
        <f t="shared" si="3"/>
        <v>1.1700554397882826E-6</v>
      </c>
      <c r="J110" s="10">
        <f t="shared" si="4"/>
        <v>213.63953044426074</v>
      </c>
      <c r="K110" s="10">
        <f t="shared" si="5"/>
        <v>0</v>
      </c>
      <c r="L110" s="1"/>
      <c r="M110" s="37"/>
      <c r="N110" s="37"/>
      <c r="AB110" s="46">
        <f>COUNT($N$19,$N$20)</f>
        <v>2</v>
      </c>
    </row>
    <row r="111" spans="2:28" ht="15.6" x14ac:dyDescent="0.35">
      <c r="B111" s="9">
        <v>43893</v>
      </c>
      <c r="C111" s="4">
        <v>13</v>
      </c>
      <c r="D111" s="10" t="e">
        <f>'dpc-covid19-ita-andamento-naz'!#REF!</f>
        <v>#REF!</v>
      </c>
      <c r="E111" s="8">
        <f t="shared" si="2"/>
        <v>6.1050207570246688E-6</v>
      </c>
      <c r="F111" s="10">
        <f t="shared" si="6"/>
        <v>2215.3470828332229</v>
      </c>
      <c r="G111" s="10">
        <f t="shared" si="7"/>
        <v>0</v>
      </c>
      <c r="H111" s="10" t="e">
        <f>'dpc-covid19-ita-andamento-naz'!#REF!</f>
        <v>#REF!</v>
      </c>
      <c r="I111" s="8">
        <f t="shared" si="3"/>
        <v>3.4750614700624926E-6</v>
      </c>
      <c r="J111" s="10">
        <f t="shared" si="4"/>
        <v>213.63953274926678</v>
      </c>
      <c r="K111" s="10">
        <f t="shared" si="5"/>
        <v>0</v>
      </c>
      <c r="L111" s="1"/>
      <c r="M111" s="21" t="s">
        <v>24</v>
      </c>
      <c r="N111" s="29">
        <v>6.0931093620883479</v>
      </c>
      <c r="AB111" s="46">
        <f>{32767;32767;0.000001;0;FALSE;FALSE;FALSE;1;2;1;0.0001;TRUE}</f>
        <v>32767</v>
      </c>
    </row>
    <row r="112" spans="2:28" x14ac:dyDescent="0.3">
      <c r="B112" s="9">
        <v>43894</v>
      </c>
      <c r="C112" s="4">
        <v>14</v>
      </c>
      <c r="D112" s="10" t="e">
        <f>'dpc-covid19-ita-andamento-naz'!#REF!</f>
        <v>#REF!</v>
      </c>
      <c r="E112" s="8">
        <f t="shared" si="2"/>
        <v>1.7585400257216404E-5</v>
      </c>
      <c r="F112" s="10">
        <f t="shared" si="6"/>
        <v>2215.3470943136022</v>
      </c>
      <c r="G112" s="10">
        <f t="shared" si="7"/>
        <v>0</v>
      </c>
      <c r="H112" s="10" t="e">
        <f>'dpc-covid19-ita-andamento-naz'!#REF!</f>
        <v>#REF!</v>
      </c>
      <c r="I112" s="8">
        <f t="shared" si="3"/>
        <v>9.500876693090547E-6</v>
      </c>
      <c r="J112" s="10">
        <f t="shared" si="4"/>
        <v>213.639538775082</v>
      </c>
      <c r="K112" s="10">
        <f t="shared" si="5"/>
        <v>0</v>
      </c>
      <c r="L112" s="1"/>
      <c r="M112" s="21" t="s">
        <v>1</v>
      </c>
      <c r="N112" s="29">
        <v>7.062212780435102</v>
      </c>
      <c r="AB112" s="46">
        <f>{0;0;1;100;0;FALSE;FALSE;0.075;0;0;FALSE;30}</f>
        <v>0</v>
      </c>
    </row>
    <row r="113" spans="2:28" x14ac:dyDescent="0.3">
      <c r="B113" s="22">
        <v>43895</v>
      </c>
      <c r="C113" s="4">
        <v>15</v>
      </c>
      <c r="D113" s="10" t="e">
        <f>'dpc-covid19-ita-andamento-naz'!#REF!</f>
        <v>#REF!</v>
      </c>
      <c r="E113" s="8">
        <f t="shared" si="2"/>
        <v>4.6986569886529135E-5</v>
      </c>
      <c r="F113" s="10">
        <f t="shared" si="6"/>
        <v>2215.3471237147719</v>
      </c>
      <c r="G113" s="10">
        <f t="shared" si="7"/>
        <v>0</v>
      </c>
      <c r="H113" s="10" t="e">
        <f>'dpc-covid19-ita-andamento-naz'!#REF!</f>
        <v>#REF!</v>
      </c>
      <c r="I113" s="8">
        <f t="shared" si="3"/>
        <v>2.4186659727313617E-5</v>
      </c>
      <c r="J113" s="10">
        <f t="shared" si="4"/>
        <v>213.63955346086502</v>
      </c>
      <c r="K113" s="10">
        <f t="shared" si="5"/>
        <v>0</v>
      </c>
      <c r="L113" s="1"/>
      <c r="M113" s="2" t="s">
        <v>2</v>
      </c>
      <c r="N113" s="1" t="e">
        <f>AVERAGE(H99:H162)</f>
        <v>#REF!</v>
      </c>
      <c r="AB113" s="46">
        <f>{32767;32767;0.000001;0;FALSE;FALSE;FALSE;1;2;1;0.0001;TRUE}</f>
        <v>32767</v>
      </c>
    </row>
    <row r="114" spans="2:28" ht="15" thickBot="1" x14ac:dyDescent="0.35">
      <c r="B114" s="9">
        <v>43896</v>
      </c>
      <c r="C114" s="4">
        <v>16</v>
      </c>
      <c r="D114" s="10" t="e">
        <f>'dpc-covid19-ita-andamento-naz'!#REF!</f>
        <v>#REF!</v>
      </c>
      <c r="E114" s="8">
        <f t="shared" si="2"/>
        <v>1.1758952129557743E-4</v>
      </c>
      <c r="F114" s="10">
        <f t="shared" si="6"/>
        <v>2215.3471943177233</v>
      </c>
      <c r="G114" s="10">
        <f t="shared" si="7"/>
        <v>0</v>
      </c>
      <c r="H114" s="10" t="e">
        <f>'dpc-covid19-ita-andamento-naz'!#REF!</f>
        <v>#REF!</v>
      </c>
      <c r="I114" s="8">
        <f t="shared" si="3"/>
        <v>5.7863192104752134E-5</v>
      </c>
      <c r="J114" s="10">
        <f t="shared" si="4"/>
        <v>213.6395871373974</v>
      </c>
      <c r="K114" s="10">
        <f t="shared" si="5"/>
        <v>0</v>
      </c>
      <c r="L114" s="1"/>
      <c r="M114" s="2" t="s">
        <v>3</v>
      </c>
      <c r="N114" s="1">
        <f>COUNT(H99:H162)-COUNT(N110:N112)</f>
        <v>2</v>
      </c>
      <c r="AB114" s="47">
        <f>{0;0;1;100;0;FALSE;FALSE;0.075;0;0;FALSE;30}</f>
        <v>0</v>
      </c>
    </row>
    <row r="115" spans="2:28" x14ac:dyDescent="0.3">
      <c r="B115" s="9">
        <v>43897</v>
      </c>
      <c r="C115" s="4">
        <v>17</v>
      </c>
      <c r="D115" s="10" t="e">
        <f>'dpc-covid19-ita-andamento-naz'!#REF!</f>
        <v>#REF!</v>
      </c>
      <c r="E115" s="8">
        <f t="shared" si="2"/>
        <v>2.7783448784689116E-4</v>
      </c>
      <c r="F115" s="10">
        <f t="shared" si="6"/>
        <v>2215.3473545626898</v>
      </c>
      <c r="G115" s="10">
        <f t="shared" si="7"/>
        <v>0</v>
      </c>
      <c r="H115" s="10" t="e">
        <f>'dpc-covid19-ita-andamento-naz'!#REF!</f>
        <v>#REF!</v>
      </c>
      <c r="I115" s="8">
        <f t="shared" si="3"/>
        <v>1.3107430688783891E-4</v>
      </c>
      <c r="J115" s="10">
        <f t="shared" si="4"/>
        <v>213.63966034851219</v>
      </c>
      <c r="K115" s="10">
        <f t="shared" si="5"/>
        <v>0</v>
      </c>
      <c r="L115" s="1"/>
      <c r="M115" s="2" t="s">
        <v>4</v>
      </c>
      <c r="N115" s="6" t="e" cm="1">
        <f t="array" ref="N115">SQRT(SUM((H99:H143-I99:I143)^2)/dfh)</f>
        <v>#REF!</v>
      </c>
    </row>
    <row r="116" spans="2:28" ht="16.2" x14ac:dyDescent="0.3">
      <c r="B116" s="22">
        <v>43898</v>
      </c>
      <c r="C116" s="4">
        <v>18</v>
      </c>
      <c r="D116" s="10" t="e">
        <f>'dpc-covid19-ita-andamento-naz'!#REF!</f>
        <v>#REF!</v>
      </c>
      <c r="E116" s="8">
        <f t="shared" si="2"/>
        <v>6.2385489073226374E-4</v>
      </c>
      <c r="F116" s="10">
        <f t="shared" si="6"/>
        <v>2215.3477005830928</v>
      </c>
      <c r="G116" s="10">
        <f t="shared" si="7"/>
        <v>0</v>
      </c>
      <c r="H116" s="10" t="e">
        <f>'dpc-covid19-ita-andamento-naz'!#REF!</f>
        <v>#REF!</v>
      </c>
      <c r="I116" s="8">
        <f t="shared" si="3"/>
        <v>2.8290058657995712E-4</v>
      </c>
      <c r="J116" s="10">
        <f t="shared" si="4"/>
        <v>213.63981217479187</v>
      </c>
      <c r="K116" s="10">
        <f t="shared" si="5"/>
        <v>0</v>
      </c>
      <c r="L116" s="1"/>
      <c r="M116" s="2" t="s">
        <v>5</v>
      </c>
      <c r="N116" s="7" t="e" cm="1">
        <f t="array" ref="N116">1-SUM((H99:H143-I99:I143)^2)/SUM((H99:H143-Mean_of_yh)^2)</f>
        <v>#REF!</v>
      </c>
    </row>
    <row r="117" spans="2:28" x14ac:dyDescent="0.3">
      <c r="B117" s="9">
        <v>43899</v>
      </c>
      <c r="C117" s="4">
        <v>19</v>
      </c>
      <c r="D117" s="10" t="e">
        <f>'dpc-covid19-ita-andamento-naz'!#REF!</f>
        <v>#REF!</v>
      </c>
      <c r="E117" s="8">
        <f t="shared" si="2"/>
        <v>1.3386108148184586E-3</v>
      </c>
      <c r="F117" s="10">
        <f t="shared" si="6"/>
        <v>2215.3484153390168</v>
      </c>
      <c r="G117" s="10">
        <f t="shared" si="7"/>
        <v>0</v>
      </c>
      <c r="H117" s="10" t="e">
        <f>'dpc-covid19-ita-andamento-naz'!#REF!</f>
        <v>#REF!</v>
      </c>
      <c r="I117" s="8">
        <f t="shared" si="3"/>
        <v>5.8482147762851347E-4</v>
      </c>
      <c r="J117" s="10">
        <f t="shared" si="4"/>
        <v>213.64011409568292</v>
      </c>
      <c r="K117" s="10">
        <f t="shared" si="5"/>
        <v>0</v>
      </c>
      <c r="L117" s="1"/>
      <c r="M117" s="2" t="s">
        <v>6</v>
      </c>
      <c r="N117" s="7">
        <f>TINV(0.05,dfh)</f>
        <v>2.0117405137297668</v>
      </c>
    </row>
    <row r="118" spans="2:28" x14ac:dyDescent="0.3">
      <c r="B118" s="22">
        <v>43900</v>
      </c>
      <c r="C118" s="4">
        <v>20</v>
      </c>
      <c r="D118" s="10" t="e">
        <f>'dpc-covid19-ita-andamento-naz'!#REF!</f>
        <v>#REF!</v>
      </c>
      <c r="E118" s="8">
        <f t="shared" si="2"/>
        <v>2.7575490027970067E-3</v>
      </c>
      <c r="F118" s="10">
        <f t="shared" si="6"/>
        <v>2215.3498342772045</v>
      </c>
      <c r="G118" s="10">
        <f t="shared" si="7"/>
        <v>0</v>
      </c>
      <c r="H118" s="10" t="e">
        <f>'dpc-covid19-ita-andamento-naz'!#REF!</f>
        <v>#REF!</v>
      </c>
      <c r="I118" s="8">
        <f t="shared" si="3"/>
        <v>1.1630762117038581E-3</v>
      </c>
      <c r="J118" s="10">
        <f t="shared" si="4"/>
        <v>213.640692350417</v>
      </c>
      <c r="K118" s="10">
        <f t="shared" si="5"/>
        <v>0</v>
      </c>
      <c r="L118" s="1"/>
      <c r="M118" s="2" t="s">
        <v>7</v>
      </c>
      <c r="N118" s="1">
        <f>Critical_th*SE_of_yh</f>
        <v>213.6395292742053</v>
      </c>
    </row>
    <row r="119" spans="2:28" x14ac:dyDescent="0.3">
      <c r="B119" s="9">
        <v>43901</v>
      </c>
      <c r="C119" s="4">
        <v>21</v>
      </c>
      <c r="D119" s="10" t="e">
        <f>'dpc-covid19-ita-andamento-naz'!#REF!</f>
        <v>#REF!</v>
      </c>
      <c r="E119" s="8">
        <f t="shared" si="2"/>
        <v>5.4754344979829964E-3</v>
      </c>
      <c r="F119" s="10">
        <f t="shared" si="6"/>
        <v>2215.3525521626998</v>
      </c>
      <c r="G119" s="10">
        <f t="shared" si="7"/>
        <v>0</v>
      </c>
      <c r="H119" s="10" t="e">
        <f>'dpc-covid19-ita-andamento-naz'!#REF!</f>
        <v>#REF!</v>
      </c>
      <c r="I119" s="8">
        <f t="shared" si="3"/>
        <v>2.2337218525255633E-3</v>
      </c>
      <c r="J119" s="10">
        <f t="shared" si="4"/>
        <v>213.64176299605782</v>
      </c>
      <c r="K119" s="10">
        <f t="shared" si="5"/>
        <v>0</v>
      </c>
      <c r="L119" s="1"/>
      <c r="M119" s="34" t="s">
        <v>67</v>
      </c>
      <c r="N119" s="35">
        <f>t0h*_xlfn.GAMMA(wh+1)</f>
        <v>181666913145.54926</v>
      </c>
    </row>
    <row r="120" spans="2:28" x14ac:dyDescent="0.3">
      <c r="B120" s="22">
        <v>43902</v>
      </c>
      <c r="C120" s="4">
        <v>22</v>
      </c>
      <c r="D120" s="10" t="e">
        <f>'dpc-covid19-ita-andamento-naz'!#REF!</f>
        <v>#REF!</v>
      </c>
      <c r="E120" s="8">
        <f t="shared" si="2"/>
        <v>1.0515436642407618E-2</v>
      </c>
      <c r="F120" s="10">
        <f t="shared" si="6"/>
        <v>2215.3575921648444</v>
      </c>
      <c r="G120" s="10">
        <f t="shared" si="7"/>
        <v>0</v>
      </c>
      <c r="H120" s="10" t="e">
        <f>'dpc-covid19-ita-andamento-naz'!#REF!</f>
        <v>#REF!</v>
      </c>
      <c r="I120" s="8">
        <f t="shared" si="3"/>
        <v>4.1562114246899116E-3</v>
      </c>
      <c r="J120" s="10">
        <f t="shared" si="4"/>
        <v>213.64368548562999</v>
      </c>
      <c r="K120" s="10">
        <f t="shared" si="5"/>
        <v>0</v>
      </c>
      <c r="L120" s="1"/>
      <c r="M120" s="5"/>
    </row>
    <row r="121" spans="2:28" x14ac:dyDescent="0.3">
      <c r="B121" s="9">
        <v>43903</v>
      </c>
      <c r="C121" s="4">
        <v>23</v>
      </c>
      <c r="D121" s="10" t="e">
        <f>'dpc-covid19-ita-andamento-naz'!#REF!</f>
        <v>#REF!</v>
      </c>
      <c r="E121" s="8">
        <f t="shared" si="2"/>
        <v>1.9590158279445956E-2</v>
      </c>
      <c r="F121" s="10">
        <f t="shared" si="6"/>
        <v>2215.3666668864812</v>
      </c>
      <c r="G121" s="10">
        <f t="shared" si="7"/>
        <v>0</v>
      </c>
      <c r="H121" s="10" t="e">
        <f>'dpc-covid19-ita-andamento-naz'!#REF!</f>
        <v>#REF!</v>
      </c>
      <c r="I121" s="8">
        <f t="shared" si="3"/>
        <v>7.51340861458453E-3</v>
      </c>
      <c r="J121" s="10">
        <f t="shared" si="4"/>
        <v>213.64704268281989</v>
      </c>
      <c r="K121" s="10">
        <f t="shared" si="5"/>
        <v>0</v>
      </c>
      <c r="L121" s="1"/>
      <c r="M121" s="5"/>
    </row>
    <row r="122" spans="2:28" x14ac:dyDescent="0.3">
      <c r="B122" s="9">
        <v>43904</v>
      </c>
      <c r="C122" s="4">
        <v>24</v>
      </c>
      <c r="D122" s="10" t="e">
        <f>'dpc-covid19-ita-andamento-naz'!#REF!</f>
        <v>#REF!</v>
      </c>
      <c r="E122" s="8">
        <f t="shared" si="2"/>
        <v>3.549559224417323E-2</v>
      </c>
      <c r="F122" s="10">
        <f t="shared" si="6"/>
        <v>2215.3825723204463</v>
      </c>
      <c r="G122" s="10">
        <f t="shared" si="7"/>
        <v>0</v>
      </c>
      <c r="H122" s="10" t="e">
        <f>'dpc-covid19-ita-andamento-naz'!#REF!</f>
        <v>#REF!</v>
      </c>
      <c r="I122" s="8">
        <f t="shared" si="3"/>
        <v>1.3228609165589229E-2</v>
      </c>
      <c r="J122" s="10">
        <f t="shared" si="4"/>
        <v>213.6527578833709</v>
      </c>
      <c r="K122" s="10">
        <f t="shared" si="5"/>
        <v>0</v>
      </c>
      <c r="L122" s="1"/>
      <c r="M122" s="5"/>
    </row>
    <row r="123" spans="2:28" x14ac:dyDescent="0.3">
      <c r="B123" s="9">
        <v>43905</v>
      </c>
      <c r="C123" s="4">
        <v>25</v>
      </c>
      <c r="D123" s="10" t="e">
        <f>'dpc-covid19-ita-andamento-naz'!#REF!</f>
        <v>#REF!</v>
      </c>
      <c r="E123" s="8">
        <f t="shared" si="2"/>
        <v>6.2693568144698938E-2</v>
      </c>
      <c r="F123" s="10">
        <f t="shared" si="6"/>
        <v>2215.4097702963468</v>
      </c>
      <c r="G123" s="10">
        <f t="shared" si="7"/>
        <v>0</v>
      </c>
      <c r="H123" s="10" t="e">
        <f>'dpc-covid19-ita-andamento-naz'!#REF!</f>
        <v>#REF!</v>
      </c>
      <c r="I123" s="8">
        <f t="shared" si="3"/>
        <v>2.2733452711882509E-2</v>
      </c>
      <c r="J123" s="10">
        <f t="shared" si="4"/>
        <v>213.66226272691719</v>
      </c>
      <c r="K123" s="10">
        <f t="shared" si="5"/>
        <v>0</v>
      </c>
      <c r="L123" s="1"/>
      <c r="M123" s="5"/>
    </row>
    <row r="124" spans="2:28" x14ac:dyDescent="0.3">
      <c r="B124" s="9">
        <v>43906</v>
      </c>
      <c r="C124" s="4">
        <v>26</v>
      </c>
      <c r="D124" s="10" t="e">
        <f>'dpc-covid19-ita-andamento-naz'!#REF!</f>
        <v>#REF!</v>
      </c>
      <c r="E124" s="8">
        <f t="shared" si="2"/>
        <v>0.10815678522553186</v>
      </c>
      <c r="F124" s="10">
        <f t="shared" si="6"/>
        <v>2215.4552335134276</v>
      </c>
      <c r="G124" s="10">
        <f t="shared" si="7"/>
        <v>0</v>
      </c>
      <c r="H124" s="10" t="e">
        <f>'dpc-covid19-ita-andamento-naz'!#REF!</f>
        <v>#REF!</v>
      </c>
      <c r="I124" s="8">
        <f t="shared" si="3"/>
        <v>3.8204690484700425E-2</v>
      </c>
      <c r="J124" s="10">
        <f t="shared" si="4"/>
        <v>213.67773396468999</v>
      </c>
      <c r="K124" s="10">
        <f t="shared" si="5"/>
        <v>0</v>
      </c>
      <c r="L124" s="1"/>
      <c r="M124" s="5"/>
    </row>
    <row r="125" spans="2:28" x14ac:dyDescent="0.3">
      <c r="B125" s="9">
        <v>43907</v>
      </c>
      <c r="C125" s="4">
        <v>27</v>
      </c>
      <c r="D125" s="10" t="e">
        <f>'dpc-covid19-ita-andamento-naz'!#REF!</f>
        <v>#REF!</v>
      </c>
      <c r="E125" s="8">
        <f t="shared" si="2"/>
        <v>0.18257375979245852</v>
      </c>
      <c r="F125" s="10">
        <f t="shared" si="6"/>
        <v>2215.5296504879943</v>
      </c>
      <c r="G125" s="10">
        <f t="shared" si="7"/>
        <v>0</v>
      </c>
      <c r="H125" s="10" t="e">
        <f>'dpc-covid19-ita-andamento-naz'!#REF!</f>
        <v>#REF!</v>
      </c>
      <c r="I125" s="8">
        <f t="shared" si="3"/>
        <v>6.2892739671411665E-2</v>
      </c>
      <c r="J125" s="10">
        <f t="shared" si="4"/>
        <v>213.70242201387671</v>
      </c>
      <c r="K125" s="10">
        <f t="shared" si="5"/>
        <v>0</v>
      </c>
      <c r="L125" s="1"/>
      <c r="N125" s="1"/>
    </row>
    <row r="126" spans="2:28" x14ac:dyDescent="0.3">
      <c r="B126" s="9">
        <v>43908</v>
      </c>
      <c r="C126" s="4">
        <v>28</v>
      </c>
      <c r="D126" s="10" t="e">
        <f>'dpc-covid19-ita-andamento-naz'!#REF!</f>
        <v>#REF!</v>
      </c>
      <c r="E126" s="8">
        <f t="shared" si="2"/>
        <v>0.30203976909558072</v>
      </c>
      <c r="F126" s="10">
        <f t="shared" si="6"/>
        <v>2215.6491164972977</v>
      </c>
      <c r="G126" s="10">
        <f t="shared" si="7"/>
        <v>0</v>
      </c>
      <c r="H126" s="10" t="e">
        <f>'dpc-covid19-ita-andamento-naz'!#REF!</f>
        <v>#REF!</v>
      </c>
      <c r="I126" s="8">
        <f t="shared" si="3"/>
        <v>0.10157092647766716</v>
      </c>
      <c r="J126" s="10">
        <f t="shared" si="4"/>
        <v>213.74110020068298</v>
      </c>
      <c r="K126" s="10">
        <f t="shared" si="5"/>
        <v>0</v>
      </c>
      <c r="N126" s="6"/>
      <c r="Q126" s="1"/>
    </row>
    <row r="127" spans="2:28" x14ac:dyDescent="0.3">
      <c r="B127" s="9">
        <v>43909</v>
      </c>
      <c r="C127" s="4">
        <v>29</v>
      </c>
      <c r="D127" s="10" t="e">
        <f>'dpc-covid19-ita-andamento-naz'!#REF!</f>
        <v>#REF!</v>
      </c>
      <c r="E127" s="8">
        <f t="shared" si="2"/>
        <v>0.49039504091917779</v>
      </c>
      <c r="F127" s="10">
        <f t="shared" si="6"/>
        <v>2215.8374717691213</v>
      </c>
      <c r="G127" s="10">
        <f t="shared" si="7"/>
        <v>0</v>
      </c>
      <c r="H127" s="10" t="e">
        <f>'dpc-covid19-ita-andamento-naz'!#REF!</f>
        <v>#REF!</v>
      </c>
      <c r="I127" s="8">
        <f t="shared" si="3"/>
        <v>0.16114142509387325</v>
      </c>
      <c r="J127" s="10">
        <f t="shared" si="4"/>
        <v>213.80067069929916</v>
      </c>
      <c r="K127" s="10">
        <f t="shared" si="5"/>
        <v>0</v>
      </c>
      <c r="N127" s="7"/>
    </row>
    <row r="128" spans="2:28" x14ac:dyDescent="0.3">
      <c r="B128" s="9">
        <v>43910</v>
      </c>
      <c r="C128" s="4">
        <v>30</v>
      </c>
      <c r="D128" s="10" t="e">
        <f>'dpc-covid19-ita-andamento-naz'!#REF!</f>
        <v>#REF!</v>
      </c>
      <c r="E128" s="8">
        <f t="shared" si="2"/>
        <v>0.78241398120482053</v>
      </c>
      <c r="F128" s="10">
        <f t="shared" si="6"/>
        <v>2216.1294907094066</v>
      </c>
      <c r="G128" s="10">
        <f t="shared" si="7"/>
        <v>0</v>
      </c>
      <c r="H128" s="10" t="e">
        <f>'dpc-covid19-ita-andamento-naz'!#REF!</f>
        <v>#REF!</v>
      </c>
      <c r="I128" s="8">
        <f t="shared" si="3"/>
        <v>0.25144227132643454</v>
      </c>
      <c r="J128" s="10">
        <f t="shared" si="4"/>
        <v>213.89097154553173</v>
      </c>
      <c r="K128" s="10">
        <f t="shared" si="5"/>
        <v>0</v>
      </c>
      <c r="N128" s="7"/>
    </row>
    <row r="129" spans="2:14" x14ac:dyDescent="0.3">
      <c r="B129" s="9">
        <v>43911</v>
      </c>
      <c r="C129" s="4">
        <v>31</v>
      </c>
      <c r="D129" s="10" t="e">
        <f>'dpc-covid19-ita-andamento-naz'!#REF!</f>
        <v>#REF!</v>
      </c>
      <c r="E129" s="8">
        <f t="shared" si="2"/>
        <v>1.2281001760546746</v>
      </c>
      <c r="F129" s="10">
        <f t="shared" si="6"/>
        <v>2216.5751769042568</v>
      </c>
      <c r="G129" s="10">
        <f t="shared" si="7"/>
        <v>0</v>
      </c>
      <c r="H129" s="10" t="e">
        <f>'dpc-covid19-ita-andamento-naz'!#REF!</f>
        <v>#REF!</v>
      </c>
      <c r="I129" s="8">
        <f t="shared" si="3"/>
        <v>0.38630960347546039</v>
      </c>
      <c r="J129" s="10">
        <f t="shared" si="4"/>
        <v>214.02583887768077</v>
      </c>
      <c r="K129" s="10">
        <f t="shared" si="5"/>
        <v>0</v>
      </c>
      <c r="N129" s="1"/>
    </row>
    <row r="130" spans="2:14" x14ac:dyDescent="0.3">
      <c r="B130" s="9">
        <v>43912</v>
      </c>
      <c r="C130" s="4">
        <v>32</v>
      </c>
      <c r="D130" s="10" t="e">
        <f>'dpc-covid19-ita-andamento-naz'!#REF!</f>
        <v>#REF!</v>
      </c>
      <c r="E130" s="8">
        <f t="shared" si="2"/>
        <v>1.8984023315787024</v>
      </c>
      <c r="F130" s="10">
        <f t="shared" si="6"/>
        <v>2217.2454790597808</v>
      </c>
      <c r="G130" s="10">
        <f t="shared" si="7"/>
        <v>0</v>
      </c>
      <c r="H130" s="10" t="e">
        <f>'dpc-covid19-ita-andamento-naz'!#REF!</f>
        <v>#REF!</v>
      </c>
      <c r="I130" s="8">
        <f t="shared" si="3"/>
        <v>0.5849605969579168</v>
      </c>
      <c r="J130" s="10">
        <f t="shared" si="4"/>
        <v>214.22448987116323</v>
      </c>
      <c r="K130" s="10">
        <f t="shared" si="5"/>
        <v>0</v>
      </c>
    </row>
    <row r="131" spans="2:14" x14ac:dyDescent="0.3">
      <c r="B131" s="22">
        <v>43913</v>
      </c>
      <c r="C131" s="4">
        <v>33</v>
      </c>
      <c r="D131" s="10" t="e">
        <f>'dpc-covid19-ita-andamento-naz'!#REF!</f>
        <v>#REF!</v>
      </c>
      <c r="E131" s="8">
        <f t="shared" si="2"/>
        <v>2.8927373565890102</v>
      </c>
      <c r="F131" s="10">
        <f t="shared" si="6"/>
        <v>2218.2398140847909</v>
      </c>
      <c r="G131" s="10">
        <f t="shared" si="7"/>
        <v>0</v>
      </c>
      <c r="H131" s="10" t="e">
        <f>'dpc-covid19-ita-andamento-naz'!#REF!</f>
        <v>#REF!</v>
      </c>
      <c r="I131" s="8">
        <f t="shared" si="3"/>
        <v>0.87377555157033504</v>
      </c>
      <c r="J131" s="10">
        <f t="shared" si="4"/>
        <v>214.51330482577563</v>
      </c>
      <c r="K131" s="10">
        <f t="shared" si="5"/>
        <v>0</v>
      </c>
    </row>
    <row r="132" spans="2:14" x14ac:dyDescent="0.3">
      <c r="B132" s="9">
        <v>43914</v>
      </c>
      <c r="C132" s="4">
        <v>34</v>
      </c>
      <c r="D132" s="10" t="e">
        <f>'dpc-covid19-ita-andamento-naz'!#REF!</f>
        <v>#REF!</v>
      </c>
      <c r="E132" s="8">
        <f t="shared" si="2"/>
        <v>4.3487896206460741</v>
      </c>
      <c r="F132" s="10">
        <f t="shared" si="6"/>
        <v>2219.6958663488481</v>
      </c>
      <c r="G132" s="10">
        <f t="shared" si="7"/>
        <v>0</v>
      </c>
      <c r="H132" s="10" t="e">
        <f>'dpc-covid19-ita-andamento-naz'!#REF!</f>
        <v>#REF!</v>
      </c>
      <c r="I132" s="8">
        <f t="shared" si="3"/>
        <v>1.2885723985884301</v>
      </c>
      <c r="J132" s="10">
        <f t="shared" si="4"/>
        <v>214.92810167279373</v>
      </c>
      <c r="K132" s="10">
        <f t="shared" si="5"/>
        <v>0</v>
      </c>
    </row>
    <row r="133" spans="2:14" x14ac:dyDescent="0.3">
      <c r="B133" s="9">
        <v>43915</v>
      </c>
      <c r="C133" s="4">
        <v>35</v>
      </c>
      <c r="D133" s="10" t="e">
        <f>'dpc-covid19-ita-andamento-naz'!#REF!</f>
        <v>#REF!</v>
      </c>
      <c r="E133" s="8">
        <f t="shared" si="2"/>
        <v>6.455151235114668</v>
      </c>
      <c r="F133" s="10">
        <f t="shared" si="6"/>
        <v>2221.8022279633165</v>
      </c>
      <c r="G133" s="10">
        <f t="shared" si="7"/>
        <v>0</v>
      </c>
      <c r="H133" s="10" t="e">
        <f>'dpc-covid19-ita-andamento-naz'!#REF!</f>
        <v>#REF!</v>
      </c>
      <c r="I133" s="8">
        <f t="shared" si="3"/>
        <v>1.8774836540436455</v>
      </c>
      <c r="J133" s="10">
        <f t="shared" si="4"/>
        <v>215.51701292824896</v>
      </c>
      <c r="K133" s="10">
        <f t="shared" si="5"/>
        <v>0</v>
      </c>
    </row>
    <row r="134" spans="2:14" x14ac:dyDescent="0.3">
      <c r="B134" s="9">
        <v>43916</v>
      </c>
      <c r="C134" s="4">
        <v>36</v>
      </c>
      <c r="D134" s="10" t="e">
        <f>'dpc-covid19-ita-andamento-naz'!#REF!</f>
        <v>#REF!</v>
      </c>
      <c r="E134" s="8">
        <f t="shared" si="2"/>
        <v>9.4674782284814381</v>
      </c>
      <c r="F134" s="10">
        <f t="shared" si="6"/>
        <v>2224.8145549566834</v>
      </c>
      <c r="G134" s="10">
        <f t="shared" si="7"/>
        <v>0</v>
      </c>
      <c r="H134" s="10" t="e">
        <f>'dpc-covid19-ita-andamento-naz'!#REF!</f>
        <v>#REF!</v>
      </c>
      <c r="I134" s="8">
        <f t="shared" si="3"/>
        <v>2.7045646853548546</v>
      </c>
      <c r="J134" s="10">
        <f t="shared" si="4"/>
        <v>216.34409395956015</v>
      </c>
      <c r="K134" s="10">
        <f t="shared" si="5"/>
        <v>0</v>
      </c>
    </row>
    <row r="135" spans="2:14" x14ac:dyDescent="0.3">
      <c r="B135" s="9">
        <v>43917</v>
      </c>
      <c r="C135" s="4">
        <v>37</v>
      </c>
      <c r="D135" s="10" t="e">
        <f>'dpc-covid19-ita-andamento-naz'!#REF!</f>
        <v>#REF!</v>
      </c>
      <c r="E135" s="8">
        <f t="shared" si="2"/>
        <v>13.728962947191143</v>
      </c>
      <c r="F135" s="10">
        <f t="shared" si="6"/>
        <v>2229.0760396753931</v>
      </c>
      <c r="G135" s="10">
        <f t="shared" si="7"/>
        <v>0</v>
      </c>
      <c r="H135" s="10" t="e">
        <f>'dpc-covid19-ita-andamento-naz'!#REF!</f>
        <v>#REF!</v>
      </c>
      <c r="I135" s="8">
        <f t="shared" si="3"/>
        <v>3.8542832062224925</v>
      </c>
      <c r="J135" s="10">
        <f t="shared" si="4"/>
        <v>217.49381248042781</v>
      </c>
      <c r="K135" s="10">
        <f t="shared" si="5"/>
        <v>0</v>
      </c>
    </row>
    <row r="136" spans="2:14" x14ac:dyDescent="0.3">
      <c r="B136" s="9">
        <v>43918</v>
      </c>
      <c r="C136" s="4">
        <v>38</v>
      </c>
      <c r="D136" s="10" t="e">
        <f>'dpc-covid19-ita-andamento-naz'!#REF!</f>
        <v>#REF!</v>
      </c>
      <c r="E136" s="8">
        <f t="shared" si="2"/>
        <v>19.696065132180937</v>
      </c>
      <c r="F136" s="10">
        <f t="shared" si="6"/>
        <v>2235.043141860383</v>
      </c>
      <c r="G136" s="10">
        <f t="shared" si="7"/>
        <v>0</v>
      </c>
      <c r="H136" s="10" t="e">
        <f>'dpc-covid19-ita-andamento-naz'!#REF!</f>
        <v>#REF!</v>
      </c>
      <c r="I136" s="8">
        <f t="shared" si="3"/>
        <v>5.4370632872683871</v>
      </c>
      <c r="J136" s="10">
        <f t="shared" si="4"/>
        <v>219.07659256147369</v>
      </c>
      <c r="K136" s="10">
        <f t="shared" si="5"/>
        <v>0</v>
      </c>
    </row>
    <row r="137" spans="2:14" x14ac:dyDescent="0.3">
      <c r="B137" s="9">
        <v>43919</v>
      </c>
      <c r="C137" s="4">
        <v>39</v>
      </c>
      <c r="D137" s="10" t="e">
        <f>'dpc-covid19-ita-andamento-naz'!#REF!</f>
        <v>#REF!</v>
      </c>
      <c r="E137" s="8">
        <f t="shared" si="2"/>
        <v>27.970604102939834</v>
      </c>
      <c r="F137" s="10">
        <f t="shared" si="6"/>
        <v>2243.3176808311418</v>
      </c>
      <c r="G137" s="10">
        <f t="shared" si="7"/>
        <v>0</v>
      </c>
      <c r="H137" s="10" t="e">
        <f>'dpc-covid19-ita-andamento-naz'!#REF!</f>
        <v>#REF!</v>
      </c>
      <c r="I137" s="8">
        <f t="shared" si="3"/>
        <v>7.5960829764949915</v>
      </c>
      <c r="J137" s="10">
        <f t="shared" si="4"/>
        <v>221.23561225070029</v>
      </c>
      <c r="K137" s="10">
        <f t="shared" si="5"/>
        <v>0</v>
      </c>
    </row>
    <row r="138" spans="2:14" x14ac:dyDescent="0.3">
      <c r="B138" s="9">
        <v>43920</v>
      </c>
      <c r="C138" s="4">
        <v>40</v>
      </c>
      <c r="D138" s="10" t="e">
        <f>'dpc-covid19-ita-andamento-naz'!#REF!</f>
        <v>#REF!</v>
      </c>
      <c r="E138" s="8">
        <f t="shared" si="2"/>
        <v>39.339493496731038</v>
      </c>
      <c r="F138" s="10">
        <f t="shared" si="6"/>
        <v>2254.6865702249329</v>
      </c>
      <c r="G138" s="10">
        <f t="shared" si="7"/>
        <v>0</v>
      </c>
      <c r="H138" s="10" t="e">
        <f>'dpc-covid19-ita-andamento-naz'!#REF!</f>
        <v>#REF!</v>
      </c>
      <c r="I138" s="8">
        <f t="shared" si="3"/>
        <v>10.515552963112604</v>
      </c>
      <c r="J138" s="10">
        <f t="shared" si="4"/>
        <v>224.15508223731791</v>
      </c>
      <c r="K138" s="10">
        <f t="shared" si="5"/>
        <v>0</v>
      </c>
    </row>
    <row r="139" spans="2:14" x14ac:dyDescent="0.3">
      <c r="B139" s="9">
        <v>43921</v>
      </c>
      <c r="C139" s="4">
        <v>41</v>
      </c>
      <c r="D139" s="10" t="e">
        <f>'dpc-covid19-ita-andamento-naz'!#REF!</f>
        <v>#REF!</v>
      </c>
      <c r="E139" s="8">
        <f t="shared" si="2"/>
        <v>54.82359918573102</v>
      </c>
      <c r="F139" s="10">
        <f t="shared" si="6"/>
        <v>2270.1706759139329</v>
      </c>
      <c r="G139" s="10">
        <f t="shared" si="7"/>
        <v>0</v>
      </c>
      <c r="H139" s="10" t="e">
        <f>'dpc-covid19-ita-andamento-naz'!#REF!</f>
        <v>#REF!</v>
      </c>
      <c r="I139" s="8">
        <f t="shared" si="3"/>
        <v>14.430734677764605</v>
      </c>
      <c r="J139" s="10">
        <f>I139+CIh</f>
        <v>228.07026395196991</v>
      </c>
      <c r="K139" s="10">
        <f>MAX(I139-CIh,0)</f>
        <v>0</v>
      </c>
    </row>
    <row r="140" spans="2:14" x14ac:dyDescent="0.3">
      <c r="B140" s="9">
        <v>43922</v>
      </c>
      <c r="C140" s="4">
        <v>42</v>
      </c>
      <c r="D140" s="10" t="e">
        <f>'dpc-covid19-ita-andamento-naz'!#REF!</f>
        <v>#REF!</v>
      </c>
      <c r="E140" s="8">
        <f t="shared" si="2"/>
        <v>75.737421393974799</v>
      </c>
      <c r="F140" s="10">
        <f t="shared" si="6"/>
        <v>2291.0844981221767</v>
      </c>
      <c r="G140" s="10">
        <f t="shared" si="7"/>
        <v>0</v>
      </c>
      <c r="H140" s="10" t="e">
        <f>'dpc-covid19-ita-andamento-naz'!#REF!</f>
        <v>#REF!</v>
      </c>
      <c r="I140" s="8">
        <f t="shared" si="3"/>
        <v>19.6399898756802</v>
      </c>
      <c r="J140" s="10">
        <f>I140+CIh</f>
        <v>233.27951914988552</v>
      </c>
      <c r="K140" s="10">
        <f>MAX(I140-CIh,0)</f>
        <v>0</v>
      </c>
    </row>
    <row r="141" spans="2:14" x14ac:dyDescent="0.3">
      <c r="B141" s="9">
        <v>43923</v>
      </c>
      <c r="C141" s="4">
        <v>43</v>
      </c>
      <c r="D141" s="10" t="e">
        <f>'dpc-covid19-ita-andamento-naz'!#REF!</f>
        <v>#REF!</v>
      </c>
      <c r="E141" s="8">
        <f t="shared" si="2"/>
        <v>103.76154464950071</v>
      </c>
      <c r="F141" s="10">
        <f t="shared" si="6"/>
        <v>2319.1086213777025</v>
      </c>
      <c r="G141" s="10">
        <f t="shared" si="7"/>
        <v>0</v>
      </c>
      <c r="H141" s="10" t="e">
        <f>'dpc-covid19-ita-andamento-naz'!#REF!</f>
        <v>#REF!</v>
      </c>
      <c r="I141" s="8">
        <f t="shared" si="3"/>
        <v>26.519190156390366</v>
      </c>
      <c r="J141" s="10">
        <f>I141+CIh</f>
        <v>240.15871943059568</v>
      </c>
      <c r="K141" s="10">
        <f>MAX(I141-CIh,0)</f>
        <v>0</v>
      </c>
    </row>
    <row r="142" spans="2:14" x14ac:dyDescent="0.3">
      <c r="B142" s="9">
        <v>43924</v>
      </c>
      <c r="C142" s="4">
        <v>44</v>
      </c>
      <c r="D142" s="10" t="e">
        <f>'dpc-covid19-ita-andamento-naz'!#REF!</f>
        <v>#REF!</v>
      </c>
      <c r="E142" s="8">
        <f t="shared" si="2"/>
        <v>141.0300649369274</v>
      </c>
      <c r="F142" s="10">
        <f t="shared" si="6"/>
        <v>2356.3771416651293</v>
      </c>
      <c r="G142" s="10">
        <f t="shared" si="7"/>
        <v>0</v>
      </c>
      <c r="H142" s="10" t="e">
        <f>'dpc-covid19-ita-andamento-naz'!#REF!</f>
        <v>#REF!</v>
      </c>
      <c r="I142" s="8">
        <f t="shared" si="3"/>
        <v>35.538854078372552</v>
      </c>
      <c r="J142" s="10">
        <f>I142+CIh</f>
        <v>249.17838335257784</v>
      </c>
      <c r="K142" s="10">
        <f>MAX(I142-CIh,0)</f>
        <v>0</v>
      </c>
    </row>
    <row r="143" spans="2:14" x14ac:dyDescent="0.3">
      <c r="B143" s="9">
        <v>43925</v>
      </c>
      <c r="C143" s="4">
        <v>45</v>
      </c>
      <c r="D143" s="10" t="e">
        <f>'dpc-covid19-ita-andamento-naz'!#REF!</f>
        <v>#REF!</v>
      </c>
      <c r="E143" s="8">
        <f t="shared" si="2"/>
        <v>190.23549306208241</v>
      </c>
      <c r="F143" s="10">
        <f t="shared" si="6"/>
        <v>2405.5825697902842</v>
      </c>
      <c r="G143" s="10">
        <f t="shared" si="7"/>
        <v>0</v>
      </c>
      <c r="H143" s="10" t="e">
        <f>'dpc-covid19-ita-andamento-naz'!#REF!</f>
        <v>#REF!</v>
      </c>
      <c r="I143" s="8">
        <f t="shared" si="3"/>
        <v>47.284421556669265</v>
      </c>
      <c r="J143" s="10">
        <f>I143+CIh</f>
        <v>260.92395083087456</v>
      </c>
      <c r="K143" s="10">
        <f>MAX(I143-CIh,0)</f>
        <v>0</v>
      </c>
    </row>
    <row r="144" spans="2:14" x14ac:dyDescent="0.3">
      <c r="B144" s="9">
        <v>43926</v>
      </c>
      <c r="C144" s="4">
        <v>46</v>
      </c>
      <c r="E144" s="8">
        <f t="shared" si="2"/>
        <v>254.75394748860708</v>
      </c>
      <c r="I144" s="8">
        <f t="shared" si="3"/>
        <v>62.480120095886051</v>
      </c>
    </row>
    <row r="145" spans="2:9" x14ac:dyDescent="0.3">
      <c r="B145" s="9">
        <v>43927</v>
      </c>
      <c r="C145" s="4">
        <v>47</v>
      </c>
      <c r="E145" s="8">
        <f t="shared" si="2"/>
        <v>338.79378931446138</v>
      </c>
      <c r="I145" s="8">
        <f t="shared" si="3"/>
        <v>82.016925101235643</v>
      </c>
    </row>
    <row r="146" spans="2:9" x14ac:dyDescent="0.3">
      <c r="B146" s="9">
        <v>43928</v>
      </c>
      <c r="C146" s="4">
        <v>48</v>
      </c>
      <c r="E146" s="8">
        <f t="shared" si="2"/>
        <v>447.57121704321634</v>
      </c>
      <c r="I146" s="8">
        <f t="shared" si="3"/>
        <v>106.98516699861716</v>
      </c>
    </row>
    <row r="147" spans="2:9" x14ac:dyDescent="0.3">
      <c r="B147" s="9">
        <v>43929</v>
      </c>
      <c r="C147" s="4">
        <v>49</v>
      </c>
      <c r="E147" s="8">
        <f t="shared" si="2"/>
        <v>587.51672963956162</v>
      </c>
      <c r="I147" s="8">
        <f t="shared" si="3"/>
        <v>138.71239113348653</v>
      </c>
    </row>
    <row r="148" spans="2:9" x14ac:dyDescent="0.3">
      <c r="B148" s="9">
        <v>43930</v>
      </c>
      <c r="C148" s="4">
        <v>50</v>
      </c>
      <c r="E148" s="8">
        <f t="shared" si="2"/>
        <v>766.51678315018364</v>
      </c>
      <c r="I148" s="8">
        <f t="shared" si="3"/>
        <v>178.80713233972088</v>
      </c>
    </row>
    <row r="149" spans="2:9" x14ac:dyDescent="0.3">
      <c r="B149" s="9">
        <v>43931</v>
      </c>
      <c r="C149" s="4">
        <v>51</v>
      </c>
      <c r="E149" s="8">
        <f t="shared" si="2"/>
        <v>994.19540886046809</v>
      </c>
      <c r="I149" s="8">
        <f t="shared" si="3"/>
        <v>229.20932458590048</v>
      </c>
    </row>
    <row r="150" spans="2:9" x14ac:dyDescent="0.3">
      <c r="B150" s="9">
        <v>43932</v>
      </c>
      <c r="C150" s="4">
        <v>52</v>
      </c>
      <c r="E150" s="8">
        <f t="shared" si="2"/>
        <v>1282.2410293083169</v>
      </c>
      <c r="I150" s="8">
        <f t="shared" si="3"/>
        <v>292.24812710850904</v>
      </c>
    </row>
    <row r="151" spans="2:9" x14ac:dyDescent="0.3">
      <c r="B151" s="9">
        <v>43933</v>
      </c>
      <c r="C151" s="4">
        <v>53</v>
      </c>
      <c r="E151" s="8">
        <f t="shared" si="2"/>
        <v>1644.7842020707972</v>
      </c>
      <c r="I151" s="8">
        <f t="shared" si="3"/>
        <v>370.70801180084203</v>
      </c>
    </row>
    <row r="152" spans="2:9" x14ac:dyDescent="0.3">
      <c r="B152" s="9">
        <v>43934</v>
      </c>
      <c r="C152" s="4">
        <v>54</v>
      </c>
      <c r="E152" s="8">
        <f t="shared" si="2"/>
        <v>2098.8325394697163</v>
      </c>
      <c r="I152" s="8">
        <f t="shared" si="3"/>
        <v>467.90402219309516</v>
      </c>
    </row>
    <row r="153" spans="2:9" x14ac:dyDescent="0.3">
      <c r="B153" s="9">
        <v>43935</v>
      </c>
      <c r="C153" s="4">
        <v>55</v>
      </c>
      <c r="E153" s="8">
        <f t="shared" si="2"/>
        <v>2664.769594410282</v>
      </c>
      <c r="I153" s="8">
        <f t="shared" si="3"/>
        <v>587.76718196410991</v>
      </c>
    </row>
    <row r="154" spans="2:9" x14ac:dyDescent="0.3">
      <c r="B154" s="9">
        <v>43936</v>
      </c>
      <c r="C154" s="4">
        <v>56</v>
      </c>
      <c r="E154" s="8">
        <f t="shared" si="2"/>
        <v>3366.9250674796535</v>
      </c>
      <c r="I154" s="8">
        <f t="shared" si="3"/>
        <v>734.94110037948485</v>
      </c>
    </row>
    <row r="155" spans="2:9" x14ac:dyDescent="0.3">
      <c r="B155" s="9">
        <v>43937</v>
      </c>
      <c r="C155" s="4">
        <v>57</v>
      </c>
      <c r="E155" s="8">
        <f t="shared" si="2"/>
        <v>4234.2242769993582</v>
      </c>
      <c r="I155" s="8">
        <f t="shared" si="3"/>
        <v>914.89089314641478</v>
      </c>
    </row>
    <row r="156" spans="2:9" x14ac:dyDescent="0.3">
      <c r="B156" s="9">
        <v>43938</v>
      </c>
      <c r="C156" s="4">
        <v>58</v>
      </c>
      <c r="E156" s="8">
        <f t="shared" si="2"/>
        <v>5300.9254405635338</v>
      </c>
      <c r="I156" s="8">
        <f t="shared" si="3"/>
        <v>1134.0256096861938</v>
      </c>
    </row>
    <row r="157" spans="2:9" x14ac:dyDescent="0.3">
      <c r="B157" s="9">
        <v>43939</v>
      </c>
      <c r="C157" s="4">
        <v>59</v>
      </c>
      <c r="E157" s="8">
        <f t="shared" si="2"/>
        <v>6607.4539421244372</v>
      </c>
      <c r="I157" s="8">
        <f t="shared" si="3"/>
        <v>1399.8354315078088</v>
      </c>
    </row>
    <row r="158" spans="2:9" x14ac:dyDescent="0.3">
      <c r="B158" s="9">
        <v>43940</v>
      </c>
      <c r="C158" s="4">
        <v>60</v>
      </c>
      <c r="E158" s="8">
        <f t="shared" si="2"/>
        <v>8201.3434011378267</v>
      </c>
      <c r="I158" s="8">
        <f t="shared" si="3"/>
        <v>1721.0449809595389</v>
      </c>
    </row>
    <row r="159" spans="2:9" x14ac:dyDescent="0.3">
      <c r="B159" s="9">
        <v>43941</v>
      </c>
      <c r="C159" s="4">
        <v>61</v>
      </c>
      <c r="E159" s="8">
        <f t="shared" si="2"/>
        <v>10138.294017696206</v>
      </c>
      <c r="I159" s="8">
        <f t="shared" si="3"/>
        <v>2107.7841548649867</v>
      </c>
    </row>
    <row r="160" spans="2:9" x14ac:dyDescent="0.3">
      <c r="B160" s="9">
        <v>43942</v>
      </c>
      <c r="C160" s="4">
        <v>62</v>
      </c>
      <c r="E160" s="8">
        <f t="shared" si="2"/>
        <v>12483.359337821637</v>
      </c>
      <c r="I160" s="8">
        <f t="shared" si="3"/>
        <v>2571.7779731253167</v>
      </c>
    </row>
    <row r="161" spans="2:9" x14ac:dyDescent="0.3">
      <c r="B161" s="9">
        <v>43943</v>
      </c>
      <c r="C161" s="4">
        <v>63</v>
      </c>
      <c r="E161" s="8">
        <f t="shared" si="2"/>
        <v>15312.273263845997</v>
      </c>
      <c r="I161" s="8">
        <f t="shared" si="3"/>
        <v>3126.5570079876325</v>
      </c>
    </row>
    <row r="162" spans="2:9" x14ac:dyDescent="0.3">
      <c r="B162" s="9">
        <v>43944</v>
      </c>
      <c r="C162" s="4">
        <v>64</v>
      </c>
      <c r="E162" s="8">
        <f t="shared" si="2"/>
        <v>18712.929823600076</v>
      </c>
      <c r="I162" s="8">
        <f t="shared" si="3"/>
        <v>3787.6900350260894</v>
      </c>
    </row>
    <row r="163" spans="2:9" x14ac:dyDescent="0.3">
      <c r="B163" s="9"/>
      <c r="C163" s="4"/>
      <c r="E163" s="8"/>
      <c r="I163" s="8"/>
    </row>
    <row r="164" spans="2:9" x14ac:dyDescent="0.3">
      <c r="B164" s="9"/>
      <c r="C164" s="4"/>
      <c r="E164" s="8"/>
      <c r="I164" s="8"/>
    </row>
    <row r="165" spans="2:9" x14ac:dyDescent="0.3">
      <c r="B165" s="9"/>
      <c r="C165" s="4"/>
      <c r="E165" s="8"/>
      <c r="I165" s="8"/>
    </row>
    <row r="166" spans="2:9" x14ac:dyDescent="0.3">
      <c r="B166" s="9"/>
      <c r="C166" s="4"/>
      <c r="E166" s="8"/>
      <c r="I166" s="8"/>
    </row>
    <row r="167" spans="2:9" x14ac:dyDescent="0.3">
      <c r="B167" s="9"/>
      <c r="C167" s="4"/>
      <c r="E167" s="8"/>
      <c r="I167" s="8"/>
    </row>
    <row r="168" spans="2:9" x14ac:dyDescent="0.3">
      <c r="B168" s="9"/>
      <c r="C168" s="4"/>
      <c r="E168" s="8"/>
      <c r="I168" s="8"/>
    </row>
    <row r="169" spans="2:9" x14ac:dyDescent="0.3">
      <c r="B169" s="9"/>
      <c r="C169" s="4"/>
      <c r="E169" s="8"/>
      <c r="I169" s="8"/>
    </row>
    <row r="170" spans="2:9" x14ac:dyDescent="0.3">
      <c r="B170" s="9"/>
      <c r="C170" s="4"/>
      <c r="E170" s="8"/>
      <c r="I170" s="8"/>
    </row>
    <row r="171" spans="2:9" x14ac:dyDescent="0.3">
      <c r="B171" s="9"/>
      <c r="C171" s="4"/>
      <c r="E171" s="8"/>
      <c r="I171" s="8"/>
    </row>
    <row r="172" spans="2:9" x14ac:dyDescent="0.3">
      <c r="B172" s="9"/>
      <c r="C172" s="4"/>
      <c r="E172" s="8"/>
      <c r="I172" s="8"/>
    </row>
    <row r="173" spans="2:9" x14ac:dyDescent="0.3">
      <c r="B173" s="9"/>
      <c r="C173" s="4"/>
      <c r="E173" s="8"/>
      <c r="I173" s="8"/>
    </row>
    <row r="174" spans="2:9" x14ac:dyDescent="0.3">
      <c r="B174" s="9"/>
      <c r="C174" s="4"/>
      <c r="E174" s="8"/>
      <c r="I174" s="8"/>
    </row>
    <row r="175" spans="2:9" x14ac:dyDescent="0.3">
      <c r="B175" s="9"/>
      <c r="C175" s="4"/>
      <c r="E175" s="8"/>
      <c r="I175" s="8"/>
    </row>
    <row r="176" spans="2:9" x14ac:dyDescent="0.3">
      <c r="B176" s="9"/>
      <c r="C176" s="4"/>
      <c r="E176" s="8"/>
      <c r="I176" s="8"/>
    </row>
    <row r="177" spans="2:9" x14ac:dyDescent="0.3">
      <c r="B177" s="9"/>
      <c r="C177" s="4"/>
      <c r="E177" s="8"/>
      <c r="I177" s="8"/>
    </row>
    <row r="178" spans="2:9" x14ac:dyDescent="0.3">
      <c r="B178" s="9"/>
      <c r="C178" s="4"/>
      <c r="E178" s="8"/>
      <c r="I178" s="8"/>
    </row>
    <row r="179" spans="2:9" x14ac:dyDescent="0.3">
      <c r="B179" s="9"/>
      <c r="C179" s="4"/>
      <c r="E179" s="8"/>
      <c r="I179" s="8"/>
    </row>
    <row r="180" spans="2:9" x14ac:dyDescent="0.3">
      <c r="B180" s="9"/>
      <c r="C180" s="4"/>
      <c r="E180" s="8"/>
      <c r="I180" s="8"/>
    </row>
    <row r="181" spans="2:9" x14ac:dyDescent="0.3">
      <c r="B181" s="9"/>
      <c r="C181" s="4"/>
      <c r="E181" s="8"/>
      <c r="I181" s="8"/>
    </row>
    <row r="182" spans="2:9" x14ac:dyDescent="0.3">
      <c r="B182" s="9"/>
      <c r="C182" s="4"/>
      <c r="E182" s="8"/>
      <c r="I182" s="8"/>
    </row>
    <row r="183" spans="2:9" x14ac:dyDescent="0.3">
      <c r="B183" s="9"/>
      <c r="C183" s="4"/>
      <c r="E183" s="8"/>
      <c r="I183" s="8"/>
    </row>
    <row r="184" spans="2:9" x14ac:dyDescent="0.3">
      <c r="B184" s="9"/>
      <c r="C184" s="4"/>
      <c r="E184" s="8"/>
      <c r="I184" s="8"/>
    </row>
    <row r="185" spans="2:9" x14ac:dyDescent="0.3">
      <c r="B185" s="9"/>
      <c r="C185" s="4"/>
      <c r="E185" s="8"/>
      <c r="I185" s="8"/>
    </row>
    <row r="186" spans="2:9" x14ac:dyDescent="0.3">
      <c r="B186" s="9"/>
      <c r="C186" s="4"/>
      <c r="E186" s="8"/>
      <c r="I186" s="8"/>
    </row>
    <row r="187" spans="2:9" x14ac:dyDescent="0.3">
      <c r="B187" s="9"/>
      <c r="C187" s="4"/>
      <c r="E187" s="8"/>
      <c r="I187" s="8"/>
    </row>
    <row r="188" spans="2:9" x14ac:dyDescent="0.3">
      <c r="B188" s="9"/>
      <c r="C188" s="4"/>
      <c r="E188" s="8"/>
      <c r="I188" s="8"/>
    </row>
    <row r="189" spans="2:9" x14ac:dyDescent="0.3">
      <c r="B189" s="9"/>
      <c r="C189" s="4"/>
      <c r="E189" s="8"/>
      <c r="I189" s="8"/>
    </row>
    <row r="190" spans="2:9" x14ac:dyDescent="0.3">
      <c r="B190" s="9"/>
      <c r="C190" s="4"/>
      <c r="E190" s="8"/>
      <c r="I190" s="8"/>
    </row>
    <row r="191" spans="2:9" x14ac:dyDescent="0.3">
      <c r="B191" s="9"/>
      <c r="C191" s="4"/>
      <c r="E191" s="8"/>
      <c r="I191" s="8"/>
    </row>
    <row r="192" spans="2:9" x14ac:dyDescent="0.3">
      <c r="B192" s="9"/>
      <c r="C192" s="4"/>
      <c r="E192" s="8"/>
      <c r="I192" s="8"/>
    </row>
    <row r="193" spans="2:9" x14ac:dyDescent="0.3">
      <c r="B193" s="9"/>
      <c r="C193" s="4"/>
      <c r="E193" s="8"/>
      <c r="I193" s="8"/>
    </row>
    <row r="194" spans="2:9" x14ac:dyDescent="0.3">
      <c r="B194" s="9"/>
      <c r="C194" s="4"/>
      <c r="E194" s="8"/>
      <c r="I194" s="8"/>
    </row>
    <row r="195" spans="2:9" x14ac:dyDescent="0.3">
      <c r="B195" s="9"/>
      <c r="C195" s="4"/>
      <c r="E195" s="8"/>
      <c r="I195" s="8"/>
    </row>
    <row r="196" spans="2:9" x14ac:dyDescent="0.3">
      <c r="B196" s="9"/>
      <c r="C196" s="4"/>
      <c r="E196" s="8"/>
      <c r="I196" s="8"/>
    </row>
    <row r="197" spans="2:9" x14ac:dyDescent="0.3">
      <c r="B197" s="9"/>
      <c r="C197" s="4"/>
      <c r="E197" s="8"/>
      <c r="I197" s="8"/>
    </row>
    <row r="198" spans="2:9" x14ac:dyDescent="0.3">
      <c r="B198" s="9"/>
      <c r="C198" s="4"/>
      <c r="E198" s="8"/>
      <c r="I198" s="8"/>
    </row>
    <row r="199" spans="2:9" x14ac:dyDescent="0.3">
      <c r="B199" s="9"/>
      <c r="C199" s="4"/>
      <c r="E199" s="8"/>
      <c r="I199" s="8"/>
    </row>
    <row r="200" spans="2:9" x14ac:dyDescent="0.3">
      <c r="B200" s="9"/>
      <c r="C200" s="4"/>
      <c r="E200" s="8"/>
      <c r="I200" s="8"/>
    </row>
    <row r="201" spans="2:9" x14ac:dyDescent="0.3">
      <c r="B201" s="9"/>
      <c r="C201" s="4"/>
      <c r="E201" s="8"/>
      <c r="I201" s="8"/>
    </row>
    <row r="202" spans="2:9" x14ac:dyDescent="0.3">
      <c r="B202" s="9"/>
      <c r="C202" s="4"/>
      <c r="E202" s="8"/>
      <c r="I202" s="8"/>
    </row>
    <row r="203" spans="2:9" x14ac:dyDescent="0.3">
      <c r="B203" s="9"/>
      <c r="C203" s="4"/>
      <c r="E203" s="8"/>
      <c r="I203" s="8"/>
    </row>
    <row r="204" spans="2:9" x14ac:dyDescent="0.3">
      <c r="B204" s="9"/>
      <c r="C204" s="4"/>
      <c r="E204" s="8"/>
      <c r="I204" s="8"/>
    </row>
    <row r="205" spans="2:9" x14ac:dyDescent="0.3">
      <c r="B205" s="9"/>
      <c r="C205" s="4"/>
      <c r="E205" s="8"/>
      <c r="I205" s="8"/>
    </row>
    <row r="206" spans="2:9" x14ac:dyDescent="0.3">
      <c r="B206" s="9"/>
      <c r="C206" s="4"/>
      <c r="E206" s="8"/>
      <c r="I206" s="8"/>
    </row>
    <row r="207" spans="2:9" x14ac:dyDescent="0.3">
      <c r="B207" s="9"/>
      <c r="C207" s="4"/>
      <c r="E207" s="8"/>
      <c r="I207" s="8"/>
    </row>
    <row r="208" spans="2:9" x14ac:dyDescent="0.3">
      <c r="B208" s="9"/>
      <c r="C208" s="4"/>
      <c r="E208" s="8"/>
      <c r="I208" s="8"/>
    </row>
    <row r="209" spans="2:9" x14ac:dyDescent="0.3">
      <c r="B209" s="9"/>
      <c r="C209" s="4"/>
      <c r="E209" s="8"/>
      <c r="I209" s="8"/>
    </row>
    <row r="210" spans="2:9" x14ac:dyDescent="0.3">
      <c r="B210" s="9"/>
      <c r="C210" s="4"/>
      <c r="E210" s="8"/>
      <c r="I210" s="8"/>
    </row>
    <row r="211" spans="2:9" x14ac:dyDescent="0.3">
      <c r="B211" s="9"/>
      <c r="C211" s="4"/>
      <c r="E211" s="8"/>
      <c r="I211" s="8"/>
    </row>
    <row r="212" spans="2:9" x14ac:dyDescent="0.3">
      <c r="B212" s="9"/>
      <c r="C212" s="4"/>
      <c r="E212" s="8"/>
      <c r="I212" s="8"/>
    </row>
    <row r="213" spans="2:9" x14ac:dyDescent="0.3">
      <c r="B213" s="9"/>
      <c r="C213" s="4"/>
      <c r="E213" s="8"/>
      <c r="I213" s="8"/>
    </row>
    <row r="214" spans="2:9" x14ac:dyDescent="0.3">
      <c r="B214" s="9"/>
      <c r="C214" s="4"/>
      <c r="E214" s="8"/>
      <c r="I214" s="8"/>
    </row>
    <row r="215" spans="2:9" x14ac:dyDescent="0.3">
      <c r="B215" s="9"/>
      <c r="C215" s="4"/>
      <c r="E215" s="8"/>
      <c r="I215" s="8"/>
    </row>
    <row r="216" spans="2:9" x14ac:dyDescent="0.3">
      <c r="B216" s="9"/>
      <c r="C216" s="4"/>
      <c r="E216" s="8"/>
      <c r="I216" s="8"/>
    </row>
    <row r="217" spans="2:9" x14ac:dyDescent="0.3">
      <c r="B217" s="9"/>
      <c r="C217" s="4"/>
      <c r="E217" s="8"/>
      <c r="I217" s="8"/>
    </row>
    <row r="218" spans="2:9" x14ac:dyDescent="0.3">
      <c r="B218" s="9"/>
      <c r="C218" s="4"/>
      <c r="E218" s="8"/>
      <c r="I218" s="8"/>
    </row>
    <row r="219" spans="2:9" x14ac:dyDescent="0.3">
      <c r="B219" s="9"/>
      <c r="C219" s="4"/>
      <c r="E219" s="8"/>
      <c r="I219" s="8"/>
    </row>
    <row r="220" spans="2:9" x14ac:dyDescent="0.3">
      <c r="B220" s="9"/>
      <c r="C220" s="4"/>
      <c r="E220" s="8"/>
      <c r="I220" s="8"/>
    </row>
    <row r="221" spans="2:9" x14ac:dyDescent="0.3">
      <c r="B221" s="9"/>
      <c r="C221" s="4"/>
      <c r="E221" s="8"/>
      <c r="I221" s="8"/>
    </row>
    <row r="222" spans="2:9" x14ac:dyDescent="0.3">
      <c r="B222" s="9"/>
      <c r="C222" s="4"/>
      <c r="E222" s="8"/>
      <c r="I222" s="8"/>
    </row>
    <row r="223" spans="2:9" x14ac:dyDescent="0.3">
      <c r="B223" s="9"/>
      <c r="C223" s="4"/>
      <c r="E223" s="8"/>
      <c r="I223" s="8"/>
    </row>
    <row r="224" spans="2:9" x14ac:dyDescent="0.3">
      <c r="B224" s="9"/>
      <c r="C224" s="4"/>
      <c r="E224" s="8"/>
      <c r="I224" s="8"/>
    </row>
    <row r="225" spans="2:9" x14ac:dyDescent="0.3">
      <c r="B225" s="9"/>
      <c r="C225" s="4"/>
      <c r="E225" s="8"/>
      <c r="I225" s="8"/>
    </row>
    <row r="226" spans="2:9" x14ac:dyDescent="0.3">
      <c r="B226" s="9"/>
      <c r="C226" s="4"/>
      <c r="E226" s="8"/>
      <c r="I226" s="8"/>
    </row>
    <row r="227" spans="2:9" x14ac:dyDescent="0.3">
      <c r="B227" s="9"/>
      <c r="C227" s="4"/>
      <c r="E227" s="8"/>
      <c r="I227" s="8"/>
    </row>
    <row r="228" spans="2:9" x14ac:dyDescent="0.3">
      <c r="B228" s="9"/>
      <c r="C228" s="4"/>
      <c r="E228" s="8"/>
      <c r="I228" s="8"/>
    </row>
    <row r="229" spans="2:9" x14ac:dyDescent="0.3">
      <c r="B229" s="9"/>
      <c r="C229" s="4"/>
      <c r="E229" s="8"/>
      <c r="I229" s="8"/>
    </row>
    <row r="230" spans="2:9" x14ac:dyDescent="0.3">
      <c r="B230" s="9"/>
      <c r="C230" s="4"/>
      <c r="E230" s="8"/>
      <c r="I230" s="8"/>
    </row>
    <row r="231" spans="2:9" x14ac:dyDescent="0.3">
      <c r="B231" s="9"/>
      <c r="C231" s="4"/>
      <c r="E231" s="8"/>
      <c r="I231" s="8"/>
    </row>
    <row r="232" spans="2:9" x14ac:dyDescent="0.3">
      <c r="B232" s="9"/>
      <c r="C232" s="4"/>
      <c r="E232" s="8"/>
      <c r="I232" s="8"/>
    </row>
    <row r="233" spans="2:9" x14ac:dyDescent="0.3">
      <c r="B233" s="9"/>
      <c r="C233" s="4"/>
      <c r="E233" s="8"/>
      <c r="I233" s="8"/>
    </row>
    <row r="234" spans="2:9" x14ac:dyDescent="0.3">
      <c r="B234" s="9"/>
      <c r="C234" s="4"/>
      <c r="E234" s="8"/>
      <c r="I234" s="8"/>
    </row>
    <row r="235" spans="2:9" x14ac:dyDescent="0.3">
      <c r="B235" s="9"/>
      <c r="C235" s="4"/>
      <c r="E235" s="8"/>
      <c r="I235" s="8"/>
    </row>
    <row r="236" spans="2:9" x14ac:dyDescent="0.3">
      <c r="B236" s="9"/>
      <c r="C236" s="4"/>
      <c r="E236" s="8"/>
      <c r="I236" s="8"/>
    </row>
    <row r="237" spans="2:9" x14ac:dyDescent="0.3">
      <c r="B237" s="9"/>
      <c r="C237" s="4"/>
      <c r="E237" s="8"/>
      <c r="I237" s="8"/>
    </row>
    <row r="238" spans="2:9" x14ac:dyDescent="0.3">
      <c r="B238" s="9"/>
      <c r="C238" s="4"/>
      <c r="E238" s="8"/>
      <c r="I238" s="8"/>
    </row>
    <row r="239" spans="2:9" x14ac:dyDescent="0.3">
      <c r="B239" s="9"/>
      <c r="C239" s="4"/>
      <c r="E239" s="8"/>
      <c r="I239" s="8"/>
    </row>
    <row r="240" spans="2:9" x14ac:dyDescent="0.3">
      <c r="B240" s="9"/>
      <c r="C240" s="4"/>
      <c r="E240" s="8"/>
      <c r="I240" s="8"/>
    </row>
    <row r="241" spans="2:9" x14ac:dyDescent="0.3">
      <c r="B241" s="9"/>
      <c r="C241" s="4"/>
      <c r="E241" s="8"/>
      <c r="I241" s="8"/>
    </row>
    <row r="242" spans="2:9" x14ac:dyDescent="0.3">
      <c r="B242" s="9"/>
      <c r="C242" s="4"/>
      <c r="E242" s="8"/>
      <c r="I242" s="8"/>
    </row>
    <row r="243" spans="2:9" x14ac:dyDescent="0.3">
      <c r="B243" s="9"/>
      <c r="C243" s="4"/>
      <c r="E243" s="8"/>
      <c r="I243" s="8"/>
    </row>
    <row r="244" spans="2:9" x14ac:dyDescent="0.3">
      <c r="B244" s="9"/>
      <c r="C244" s="4"/>
      <c r="E244" s="8"/>
      <c r="I244" s="8"/>
    </row>
    <row r="245" spans="2:9" x14ac:dyDescent="0.3">
      <c r="B245" s="9"/>
      <c r="C245" s="4"/>
      <c r="E245" s="8"/>
      <c r="I245" s="8"/>
    </row>
    <row r="246" spans="2:9" x14ac:dyDescent="0.3">
      <c r="B246" s="9"/>
      <c r="C246" s="4"/>
      <c r="E246" s="8"/>
      <c r="I246" s="8"/>
    </row>
    <row r="247" spans="2:9" x14ac:dyDescent="0.3">
      <c r="B247" s="9"/>
      <c r="C247" s="4"/>
      <c r="E247" s="8"/>
      <c r="I247" s="8"/>
    </row>
    <row r="248" spans="2:9" x14ac:dyDescent="0.3">
      <c r="B248" s="9"/>
      <c r="C248" s="4"/>
      <c r="E248" s="8"/>
      <c r="I248" s="8"/>
    </row>
    <row r="249" spans="2:9" x14ac:dyDescent="0.3">
      <c r="B249" s="9"/>
      <c r="C249" s="4"/>
      <c r="E249" s="8"/>
      <c r="I249" s="8"/>
    </row>
    <row r="250" spans="2:9" x14ac:dyDescent="0.3">
      <c r="B250" s="9"/>
      <c r="C250" s="4"/>
      <c r="E250" s="8"/>
      <c r="I250" s="8"/>
    </row>
    <row r="251" spans="2:9" x14ac:dyDescent="0.3">
      <c r="B251" s="9"/>
      <c r="C251" s="4"/>
      <c r="E251" s="8"/>
      <c r="I251" s="8"/>
    </row>
    <row r="252" spans="2:9" x14ac:dyDescent="0.3">
      <c r="B252" s="9"/>
      <c r="C252" s="4"/>
      <c r="E252" s="8"/>
      <c r="I252" s="8"/>
    </row>
    <row r="253" spans="2:9" x14ac:dyDescent="0.3">
      <c r="B253" s="9"/>
      <c r="C253" s="4"/>
      <c r="E253" s="8"/>
      <c r="I253" s="8"/>
    </row>
    <row r="254" spans="2:9" x14ac:dyDescent="0.3">
      <c r="B254" s="9"/>
      <c r="C254" s="4"/>
      <c r="E254" s="8"/>
      <c r="I254" s="8"/>
    </row>
    <row r="255" spans="2:9" x14ac:dyDescent="0.3">
      <c r="B255" s="9"/>
      <c r="C255" s="4"/>
      <c r="E255" s="8"/>
      <c r="I255" s="8"/>
    </row>
    <row r="256" spans="2:9" x14ac:dyDescent="0.3">
      <c r="B256" s="9"/>
      <c r="C256" s="4"/>
      <c r="E256" s="8"/>
      <c r="I256" s="8"/>
    </row>
    <row r="257" spans="2:9" x14ac:dyDescent="0.3">
      <c r="B257" s="9"/>
      <c r="C257" s="4"/>
      <c r="E257" s="8"/>
      <c r="I257" s="8"/>
    </row>
    <row r="258" spans="2:9" x14ac:dyDescent="0.3">
      <c r="B258" s="9"/>
      <c r="C258" s="4"/>
      <c r="E258" s="8"/>
      <c r="I258" s="8"/>
    </row>
    <row r="259" spans="2:9" x14ac:dyDescent="0.3">
      <c r="B259" s="9"/>
      <c r="C259" s="4"/>
      <c r="E259" s="8"/>
      <c r="I259" s="8"/>
    </row>
    <row r="260" spans="2:9" x14ac:dyDescent="0.3">
      <c r="B260" s="9"/>
      <c r="C260" s="4"/>
      <c r="E260" s="8"/>
      <c r="I260" s="8"/>
    </row>
    <row r="261" spans="2:9" x14ac:dyDescent="0.3">
      <c r="B261" s="9"/>
      <c r="C261" s="4"/>
      <c r="E261" s="8"/>
      <c r="I261" s="8"/>
    </row>
    <row r="262" spans="2:9" x14ac:dyDescent="0.3">
      <c r="B262" s="9"/>
      <c r="C262" s="4"/>
      <c r="E262" s="8"/>
      <c r="I262" s="8"/>
    </row>
    <row r="263" spans="2:9" x14ac:dyDescent="0.3">
      <c r="B263" s="9"/>
      <c r="C263" s="4"/>
      <c r="E263" s="8"/>
      <c r="I263" s="8"/>
    </row>
    <row r="264" spans="2:9" x14ac:dyDescent="0.3">
      <c r="B264" s="9"/>
      <c r="C264" s="4"/>
      <c r="E264" s="8"/>
      <c r="I264" s="8"/>
    </row>
    <row r="265" spans="2:9" x14ac:dyDescent="0.3">
      <c r="B265" s="9"/>
      <c r="C265" s="4"/>
      <c r="E265" s="8"/>
      <c r="I265" s="8"/>
    </row>
    <row r="266" spans="2:9" x14ac:dyDescent="0.3">
      <c r="B266" s="9"/>
      <c r="C266" s="4"/>
      <c r="E266" s="8"/>
      <c r="I266" s="8"/>
    </row>
    <row r="267" spans="2:9" x14ac:dyDescent="0.3">
      <c r="B267" s="9"/>
      <c r="C267" s="4"/>
      <c r="E267" s="8"/>
      <c r="I267" s="8"/>
    </row>
    <row r="268" spans="2:9" x14ac:dyDescent="0.3">
      <c r="B268" s="9"/>
      <c r="C268" s="4"/>
      <c r="E268" s="8"/>
      <c r="I268" s="8"/>
    </row>
    <row r="269" spans="2:9" x14ac:dyDescent="0.3">
      <c r="B269" s="9"/>
      <c r="C269" s="4"/>
      <c r="E269" s="8"/>
      <c r="I269" s="8"/>
    </row>
    <row r="270" spans="2:9" x14ac:dyDescent="0.3">
      <c r="B270" s="9"/>
      <c r="C270" s="4"/>
      <c r="E270" s="8"/>
      <c r="I270" s="8"/>
    </row>
    <row r="271" spans="2:9" x14ac:dyDescent="0.3">
      <c r="B271" s="9"/>
      <c r="C271" s="4"/>
      <c r="E271" s="8"/>
      <c r="I271" s="8"/>
    </row>
    <row r="272" spans="2:9" x14ac:dyDescent="0.3">
      <c r="B272" s="9"/>
      <c r="C272" s="4"/>
      <c r="E272" s="8"/>
      <c r="I272" s="8"/>
    </row>
    <row r="273" spans="2:9" x14ac:dyDescent="0.3">
      <c r="B273" s="9"/>
      <c r="C273" s="4"/>
      <c r="E273" s="8"/>
      <c r="I273" s="8"/>
    </row>
    <row r="274" spans="2:9" x14ac:dyDescent="0.3">
      <c r="B274" s="9"/>
      <c r="C274" s="4"/>
      <c r="E274" s="8"/>
      <c r="I274" s="8"/>
    </row>
    <row r="275" spans="2:9" x14ac:dyDescent="0.3">
      <c r="B275" s="9"/>
      <c r="C275" s="4"/>
      <c r="E275" s="8"/>
      <c r="I275" s="8"/>
    </row>
    <row r="276" spans="2:9" x14ac:dyDescent="0.3">
      <c r="B276" s="9"/>
      <c r="C276" s="4"/>
      <c r="E276" s="8"/>
      <c r="I276" s="8"/>
    </row>
    <row r="277" spans="2:9" x14ac:dyDescent="0.3">
      <c r="B277" s="9"/>
      <c r="C277" s="4"/>
      <c r="E277" s="8"/>
      <c r="I277" s="8"/>
    </row>
    <row r="278" spans="2:9" x14ac:dyDescent="0.3">
      <c r="B278" s="9"/>
      <c r="C278" s="4"/>
      <c r="E278" s="8"/>
      <c r="I278" s="8"/>
    </row>
    <row r="279" spans="2:9" x14ac:dyDescent="0.3">
      <c r="B279" s="9"/>
      <c r="C279" s="4"/>
      <c r="E279" s="8"/>
      <c r="I279" s="8"/>
    </row>
    <row r="280" spans="2:9" x14ac:dyDescent="0.3">
      <c r="B280" s="9"/>
      <c r="C280" s="4"/>
      <c r="E280" s="8"/>
      <c r="I280" s="8"/>
    </row>
    <row r="281" spans="2:9" x14ac:dyDescent="0.3">
      <c r="B281" s="9"/>
      <c r="C281" s="4"/>
      <c r="E281" s="8"/>
      <c r="I281" s="8"/>
    </row>
    <row r="282" spans="2:9" x14ac:dyDescent="0.3">
      <c r="B282" s="9"/>
      <c r="C282" s="4"/>
      <c r="E282" s="8"/>
      <c r="I282" s="8"/>
    </row>
    <row r="283" spans="2:9" x14ac:dyDescent="0.3">
      <c r="B283" s="9"/>
      <c r="C283" s="4"/>
      <c r="E283" s="8"/>
      <c r="I283" s="8"/>
    </row>
    <row r="284" spans="2:9" x14ac:dyDescent="0.3">
      <c r="B284" s="9"/>
      <c r="C284" s="4"/>
      <c r="E284" s="8"/>
      <c r="I284" s="8"/>
    </row>
    <row r="285" spans="2:9" x14ac:dyDescent="0.3">
      <c r="B285" s="9"/>
      <c r="C285" s="4"/>
      <c r="E285" s="8"/>
      <c r="I285" s="8"/>
    </row>
    <row r="286" spans="2:9" x14ac:dyDescent="0.3">
      <c r="B286" s="9"/>
      <c r="C286" s="4"/>
      <c r="E286" s="8"/>
      <c r="I286" s="8"/>
    </row>
  </sheetData>
  <mergeCells count="9">
    <mergeCell ref="AT14:AT17"/>
    <mergeCell ref="AT24:AT27"/>
    <mergeCell ref="B2:H2"/>
    <mergeCell ref="H3:H6"/>
    <mergeCell ref="B4:G4"/>
    <mergeCell ref="B5:G5"/>
    <mergeCell ref="AI3:AM3"/>
    <mergeCell ref="AI4:AM4"/>
    <mergeCell ref="AI5:AM5"/>
  </mergeCells>
  <pageMargins left="0.7" right="0.7" top="0.75" bottom="0.75" header="0.3" footer="0.3"/>
  <drawing r:id="rId1"/>
  <legacyDrawing r:id="rId2"/>
  <tableParts count="4"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4DCB-1D80-454C-84B7-4D685A0A31EC}">
  <dimension ref="B2:AT78"/>
  <sheetViews>
    <sheetView tabSelected="1" zoomScale="85" zoomScaleNormal="85" workbookViewId="0"/>
  </sheetViews>
  <sheetFormatPr defaultRowHeight="14.4" x14ac:dyDescent="0.3"/>
  <cols>
    <col min="1" max="1" width="2.77734375" style="2" customWidth="1"/>
    <col min="2" max="2" width="8.88671875" style="2"/>
    <col min="3" max="3" width="6.33203125" style="2" customWidth="1"/>
    <col min="4" max="4" width="16.6640625" style="2" customWidth="1"/>
    <col min="5" max="6" width="12.109375" style="2" customWidth="1"/>
    <col min="7" max="7" width="12.6640625" style="2" bestFit="1" customWidth="1"/>
    <col min="8" max="8" width="16.109375" style="2" bestFit="1" customWidth="1"/>
    <col min="9" max="9" width="15.5546875" style="2" bestFit="1" customWidth="1"/>
    <col min="10" max="10" width="12.5546875" style="2" customWidth="1"/>
    <col min="11" max="11" width="12.33203125" style="2" customWidth="1"/>
    <col min="12" max="12" width="14.77734375" style="2" customWidth="1"/>
    <col min="13" max="14" width="14.5546875" style="2" customWidth="1"/>
    <col min="15" max="15" width="14.88671875" style="2" bestFit="1" customWidth="1"/>
    <col min="16" max="16" width="11.88671875" style="2" customWidth="1"/>
    <col min="17" max="17" width="15.5546875" style="2" bestFit="1" customWidth="1"/>
    <col min="18" max="18" width="12.6640625" style="2" bestFit="1" customWidth="1"/>
    <col min="19" max="19" width="16.109375" style="2" bestFit="1" customWidth="1"/>
    <col min="20" max="20" width="15.5546875" style="2" bestFit="1" customWidth="1"/>
    <col min="21" max="21" width="13.77734375" style="2" customWidth="1"/>
    <col min="22" max="22" width="13.6640625" style="2" customWidth="1"/>
    <col min="23" max="23" width="14.88671875" style="2" bestFit="1" customWidth="1"/>
    <col min="24" max="25" width="13" style="2" customWidth="1"/>
    <col min="26" max="26" width="12.6640625" style="2" bestFit="1" customWidth="1"/>
    <col min="27" max="27" width="16.109375" style="2" bestFit="1" customWidth="1"/>
    <col min="28" max="28" width="16.109375" style="2" customWidth="1"/>
    <col min="29" max="29" width="14" style="2" customWidth="1"/>
    <col min="30" max="30" width="13.77734375" style="2" customWidth="1"/>
    <col min="31" max="31" width="1.77734375" style="2" customWidth="1"/>
    <col min="32" max="32" width="12.21875" style="2" customWidth="1"/>
    <col min="33" max="33" width="19.33203125" style="2" bestFit="1" customWidth="1"/>
    <col min="34" max="37" width="8.88671875" style="2"/>
    <col min="38" max="38" width="11" style="2" bestFit="1" customWidth="1"/>
    <col min="39" max="45" width="8.88671875" style="2"/>
    <col min="46" max="46" width="9.5546875" style="2" bestFit="1" customWidth="1"/>
    <col min="47" max="16384" width="8.88671875" style="2"/>
  </cols>
  <sheetData>
    <row r="2" spans="2:46" ht="23.4" x14ac:dyDescent="0.45">
      <c r="B2" s="116" t="s">
        <v>11</v>
      </c>
      <c r="C2" s="116"/>
      <c r="D2" s="116"/>
      <c r="E2" s="116"/>
      <c r="F2" s="116"/>
      <c r="G2" s="116"/>
      <c r="H2" s="116"/>
    </row>
    <row r="3" spans="2:46" ht="17.399999999999999" customHeight="1" thickBot="1" x14ac:dyDescent="0.65">
      <c r="B3" s="12"/>
      <c r="C3" s="13"/>
      <c r="D3" s="13"/>
      <c r="E3" s="13"/>
      <c r="F3" s="13"/>
      <c r="G3" s="13"/>
      <c r="H3" s="117"/>
      <c r="I3" s="13"/>
      <c r="J3" s="13"/>
      <c r="O3" s="13"/>
      <c r="P3" s="13"/>
      <c r="Q3" s="13"/>
      <c r="R3" s="13"/>
      <c r="S3" s="13"/>
      <c r="T3" s="13"/>
      <c r="U3" s="13"/>
      <c r="W3" s="13"/>
      <c r="X3" s="13"/>
      <c r="Y3" s="13"/>
      <c r="Z3" s="13"/>
      <c r="AA3" s="13"/>
      <c r="AB3" s="13"/>
      <c r="AC3" s="13"/>
      <c r="AH3" s="88" t="s">
        <v>0</v>
      </c>
      <c r="AI3" s="120" t="s">
        <v>71</v>
      </c>
      <c r="AJ3" s="120"/>
      <c r="AK3" s="120"/>
      <c r="AL3" s="120"/>
    </row>
    <row r="4" spans="2:46" ht="20.399999999999999" thickBot="1" x14ac:dyDescent="0.45">
      <c r="B4" s="118" t="s">
        <v>108</v>
      </c>
      <c r="C4" s="118"/>
      <c r="D4" s="118"/>
      <c r="E4" s="118"/>
      <c r="F4" s="118"/>
      <c r="G4" s="118"/>
      <c r="H4" s="117"/>
      <c r="I4" s="13"/>
      <c r="J4" s="13"/>
      <c r="O4" s="13"/>
      <c r="P4" s="13"/>
      <c r="Q4" s="13"/>
      <c r="R4" s="13"/>
      <c r="S4" s="13"/>
      <c r="T4" s="13"/>
      <c r="U4" s="13"/>
      <c r="W4" s="13"/>
      <c r="X4" s="13"/>
      <c r="Y4" s="13"/>
      <c r="Z4" s="13"/>
      <c r="AA4" s="13"/>
      <c r="AB4" s="13"/>
      <c r="AC4" s="13"/>
      <c r="AH4" s="87" t="s">
        <v>93</v>
      </c>
      <c r="AI4" s="120" t="s">
        <v>71</v>
      </c>
      <c r="AJ4" s="120"/>
      <c r="AK4" s="120"/>
      <c r="AL4" s="120"/>
    </row>
    <row r="5" spans="2:46" ht="18.600000000000001" thickTop="1" thickBot="1" x14ac:dyDescent="0.4">
      <c r="B5" s="119" t="s">
        <v>107</v>
      </c>
      <c r="C5" s="119"/>
      <c r="D5" s="119"/>
      <c r="E5" s="119"/>
      <c r="F5" s="119"/>
      <c r="G5" s="119"/>
      <c r="H5" s="117"/>
      <c r="I5" s="13"/>
      <c r="J5" s="13"/>
      <c r="O5" s="13"/>
      <c r="P5" s="13"/>
      <c r="Q5" s="13"/>
      <c r="R5" s="13"/>
      <c r="S5" s="13"/>
      <c r="T5" s="13"/>
      <c r="U5" s="13"/>
      <c r="W5" s="13"/>
      <c r="X5" s="13"/>
      <c r="Y5" s="13"/>
      <c r="Z5" s="13"/>
      <c r="AA5" s="13"/>
      <c r="AB5" s="13"/>
      <c r="AC5" s="13"/>
      <c r="AH5" s="87" t="s">
        <v>1</v>
      </c>
      <c r="AI5" s="120" t="s">
        <v>71</v>
      </c>
      <c r="AJ5" s="120"/>
      <c r="AK5" s="120"/>
      <c r="AL5" s="120"/>
    </row>
    <row r="6" spans="2:46" ht="19.2" thickTop="1" thickBot="1" x14ac:dyDescent="0.4">
      <c r="B6" s="27"/>
      <c r="C6" s="13"/>
      <c r="D6" s="13"/>
      <c r="E6" s="13"/>
      <c r="F6" s="13"/>
      <c r="G6" s="13"/>
      <c r="H6" s="117"/>
      <c r="I6" s="13"/>
      <c r="J6" s="13"/>
      <c r="O6" s="13"/>
      <c r="P6" s="13"/>
      <c r="Q6" s="13"/>
      <c r="R6" s="13"/>
      <c r="S6" s="13"/>
      <c r="T6" s="13"/>
      <c r="U6" s="13"/>
      <c r="W6" s="13"/>
      <c r="X6" s="13"/>
      <c r="Y6" s="13"/>
      <c r="Z6" s="13"/>
      <c r="AA6" s="13"/>
      <c r="AB6" s="13"/>
      <c r="AC6" s="13"/>
      <c r="AH6" s="20"/>
      <c r="AI6" s="19"/>
      <c r="AJ6" s="16"/>
      <c r="AK6" s="16"/>
    </row>
    <row r="7" spans="2:46" ht="28.8" x14ac:dyDescent="0.3">
      <c r="B7" s="4" t="s">
        <v>8</v>
      </c>
      <c r="C7" s="4" t="s">
        <v>9</v>
      </c>
      <c r="D7" s="4" t="s">
        <v>25</v>
      </c>
      <c r="E7" s="49" t="s">
        <v>26</v>
      </c>
      <c r="F7" s="57" t="s">
        <v>79</v>
      </c>
      <c r="G7" s="8" t="s">
        <v>59</v>
      </c>
      <c r="H7" s="8" t="s">
        <v>88</v>
      </c>
      <c r="I7" s="58" t="s">
        <v>80</v>
      </c>
      <c r="J7" s="8" t="s">
        <v>60</v>
      </c>
      <c r="K7" s="8" t="s">
        <v>61</v>
      </c>
      <c r="L7" s="8" t="s">
        <v>77</v>
      </c>
      <c r="M7" s="8" t="s">
        <v>78</v>
      </c>
      <c r="N7" s="8" t="s">
        <v>89</v>
      </c>
      <c r="O7" s="4" t="s">
        <v>73</v>
      </c>
      <c r="P7" s="51" t="s">
        <v>92</v>
      </c>
      <c r="Q7" s="61" t="s">
        <v>82</v>
      </c>
      <c r="R7" s="8" t="s">
        <v>74</v>
      </c>
      <c r="S7" s="8" t="s">
        <v>90</v>
      </c>
      <c r="T7" s="62" t="s">
        <v>83</v>
      </c>
      <c r="U7" s="8" t="s">
        <v>75</v>
      </c>
      <c r="V7" s="8" t="s">
        <v>76</v>
      </c>
      <c r="W7" s="4" t="s">
        <v>62</v>
      </c>
      <c r="X7" s="53" t="s">
        <v>63</v>
      </c>
      <c r="Y7" s="64" t="s">
        <v>84</v>
      </c>
      <c r="Z7" s="8" t="s">
        <v>64</v>
      </c>
      <c r="AA7" s="8" t="s">
        <v>91</v>
      </c>
      <c r="AB7" s="64" t="s">
        <v>85</v>
      </c>
      <c r="AC7" s="8" t="s">
        <v>65</v>
      </c>
      <c r="AD7" s="8" t="s">
        <v>66</v>
      </c>
      <c r="AE7" s="8"/>
      <c r="AF7" s="66" t="s">
        <v>46</v>
      </c>
      <c r="AG7" s="67" t="s">
        <v>94</v>
      </c>
      <c r="AH7" s="3"/>
      <c r="AT7" s="78" t="s">
        <v>72</v>
      </c>
    </row>
    <row r="8" spans="2:46" x14ac:dyDescent="0.3">
      <c r="B8" s="22">
        <v>43885</v>
      </c>
      <c r="C8" s="4">
        <v>0</v>
      </c>
      <c r="D8" s="10">
        <f>'dpc-covid19-ita-andamento-naz'!L2</f>
        <v>229</v>
      </c>
      <c r="E8" s="30">
        <f>'dpc-covid19-ita-andamento-naz'!I2</f>
        <v>221</v>
      </c>
      <c r="F8" s="56">
        <f>Tabella2[[#This Row],[New cases]]*NOT(ISBLANK(Tabella2[[#This Row],[New cases]]))</f>
        <v>221</v>
      </c>
      <c r="G8" s="50">
        <f>Kn*EXP(-EXP(-(Tabella2[[#This Row],[Day]]-t0n)/wn))</f>
        <v>25.577256558148914</v>
      </c>
      <c r="H8" s="10">
        <f>Tabella2[[#This Row],[Cum_fit]]*EXP(-(Tabella2[[#This Row],[Day]]-t0n)/wn)/wn</f>
        <v>16.76619387781767</v>
      </c>
      <c r="I8" s="56">
        <f>Tabella2[[#This Row],[New_cases_fit]]*NOT(ISBLANK(Tabella2[[#This Row],[New cases]]))</f>
        <v>16.76619387781767</v>
      </c>
      <c r="J8" s="10">
        <f>Tabella2[[#This Row],[New_cases_fit]]+CIn</f>
        <v>1200.8211130656782</v>
      </c>
      <c r="K8" s="10">
        <f>MAX(Tabella2[[#This Row],[New_cases_fit]]-CIn,0)</f>
        <v>0</v>
      </c>
      <c r="L8" s="54">
        <f>'dpc-covid19-ita-andamento-naz'!G2</f>
        <v>221</v>
      </c>
      <c r="M8" s="54">
        <f>'dpc-covid19-ita-andamento-naz'!H2</f>
        <v>0</v>
      </c>
      <c r="N8" s="54">
        <f>Tabella2[[#This Row],[New_cases_fit]]-Tabella2[[#This Row],[New_Recovered_fit]]-Tabella2[[#This Row],[New_Deaths_fit]]</f>
        <v>1.4002139374440199</v>
      </c>
      <c r="O8" s="10">
        <f>'dpc-covid19-ita-andamento-naz'!J2</f>
        <v>1</v>
      </c>
      <c r="P8" s="52"/>
      <c r="Q8" s="60">
        <f>Tabella2[[#This Row],[New recovered]]*NOT(ISBLANK(Tabella2[[#This Row],[New recovered]]))</f>
        <v>0</v>
      </c>
      <c r="R8" s="50">
        <f>Kd*EXP(-EXP(-(Tabella2[[#This Row],[Day]]-t0d)/wd))</f>
        <v>57.7342575424545</v>
      </c>
      <c r="S8" s="10">
        <f>Tabella2[[#This Row],[Cum_R_fit]]*EXP(-(Tabella2[[#This Row],[Day]]-t0d)/wd)/wd</f>
        <v>15.301419428165493</v>
      </c>
      <c r="T8" s="60">
        <f>Tabella2[[#This Row],[New_Recovered_fit]]*NOT(ISBLANK(Tabella2[[#This Row],[New recovered]]))</f>
        <v>0</v>
      </c>
      <c r="U8" s="10">
        <f>Tabella2[[#This Row],[New_Recovered_fit]]+CId</f>
        <v>554.87324069104238</v>
      </c>
      <c r="V8" s="10">
        <f>MAX(Tabella2[[#This Row],[New_Recovered_fit]]-CId,0)</f>
        <v>0</v>
      </c>
      <c r="W8" s="10">
        <f>'dpc-covid19-ita-andamento-naz'!K2</f>
        <v>7</v>
      </c>
      <c r="X8" s="63"/>
      <c r="Y8" s="65">
        <f>Tabella2[[#This Row],[New deaths]]*NOT(ISBLANK(Tabella2[[#This Row],[New deaths]]))</f>
        <v>0</v>
      </c>
      <c r="Z8" s="50">
        <f>Kt*EXP(-EXP(-(Tabella2[[#This Row],[Day]]-t0t)/wt))</f>
        <v>6.4509364932756233E-2</v>
      </c>
      <c r="AA8" s="10">
        <f>Tabella2[[#This Row],[Cum_D_fit]]*EXP(-(Tabella2[[#This Row],[Day]]-t0t)/wt)/wt</f>
        <v>6.4560512208157089E-2</v>
      </c>
      <c r="AB8" s="65">
        <f>Tabella2[[#This Row],[New_Deaths_fit]]*NOT(ISBLANK(Tabella2[[#This Row],[New deaths]]))</f>
        <v>0</v>
      </c>
      <c r="AC8" s="10">
        <f>Tabella2[[#This Row],[New_Deaths_fit]]+CIt</f>
        <v>142.6929040226249</v>
      </c>
      <c r="AD8" s="10">
        <f>MAX(Tabella2[[#This Row],[New_Deaths_fit]]-CIt,0)</f>
        <v>0</v>
      </c>
      <c r="AE8" s="8"/>
      <c r="AF8" s="98" t="s">
        <v>0</v>
      </c>
      <c r="AG8" s="99">
        <f>K</f>
        <v>202653.80722903772</v>
      </c>
      <c r="AH8" s="3"/>
      <c r="AT8" s="91">
        <f>MAX($AG$14)</f>
        <v>0.9603787317631004</v>
      </c>
    </row>
    <row r="9" spans="2:46" ht="15.6" x14ac:dyDescent="0.35">
      <c r="B9" s="9">
        <v>43886</v>
      </c>
      <c r="C9" s="4">
        <f>C8+1</f>
        <v>1</v>
      </c>
      <c r="D9" s="10">
        <f>'dpc-covid19-ita-andamento-naz'!L3</f>
        <v>322</v>
      </c>
      <c r="E9" s="30">
        <f>'dpc-covid19-ita-andamento-naz'!I3</f>
        <v>93</v>
      </c>
      <c r="F9" s="56">
        <f>Tabella2[[#This Row],[New cases]]*NOT(ISBLANK(Tabella2[[#This Row],[New cases]]))</f>
        <v>93</v>
      </c>
      <c r="G9" s="50">
        <f>Kn*EXP(-EXP(-(Tabella2[[#This Row],[Day]]-t0n)/wn))</f>
        <v>48.127592870918321</v>
      </c>
      <c r="H9" s="10">
        <f>Tabella2[[#This Row],[Cum_fit]]*EXP(-(Tabella2[[#This Row],[Day]]-t0n)/wn)/wn</f>
        <v>29.326746300774978</v>
      </c>
      <c r="I9" s="56">
        <f>Tabella2[[#This Row],[New_cases_fit]]*NOT(ISBLANK(Tabella2[[#This Row],[New cases]]))</f>
        <v>29.326746300774978</v>
      </c>
      <c r="J9" s="10">
        <f>Tabella2[[#This Row],[New_cases_fit]]+CIn</f>
        <v>1213.3816654886357</v>
      </c>
      <c r="K9" s="10">
        <f>MAX(Tabella2[[#This Row],[New_cases_fit]]-CIn,0)</f>
        <v>0</v>
      </c>
      <c r="L9" s="54">
        <f>'dpc-covid19-ita-andamento-naz'!G3</f>
        <v>311</v>
      </c>
      <c r="M9" s="54">
        <f>'dpc-covid19-ita-andamento-naz'!H3</f>
        <v>90</v>
      </c>
      <c r="N9" s="54">
        <f>Tabella2[[#This Row],[New_cases_fit]]-Tabella2[[#This Row],[New_Recovered_fit]]-Tabella2[[#This Row],[New_Deaths_fit]]</f>
        <v>9.9571196474032462</v>
      </c>
      <c r="O9" s="10">
        <f>'dpc-covid19-ita-andamento-naz'!J3</f>
        <v>1</v>
      </c>
      <c r="P9" s="48">
        <f>Tabella2[[#This Row],[Cum_recov]]-O8</f>
        <v>0</v>
      </c>
      <c r="Q9" s="60">
        <f>Tabella2[[#This Row],[New recovered]]*NOT(ISBLANK(Tabella2[[#This Row],[New recovered]]))</f>
        <v>0</v>
      </c>
      <c r="R9" s="50">
        <f>Kd*EXP(-EXP(-(Tabella2[[#This Row],[Day]]-t0d)/wd))</f>
        <v>74.929685882937449</v>
      </c>
      <c r="S9" s="10">
        <f>Tabella2[[#This Row],[Cum_R_fit]]*EXP(-(Tabella2[[#This Row],[Day]]-t0d)/wd)/wd</f>
        <v>19.213054704702756</v>
      </c>
      <c r="T9" s="60">
        <f>Tabella2[[#This Row],[New_Recovered_fit]]*NOT(ISBLANK(Tabella2[[#This Row],[New recovered]]))</f>
        <v>19.213054704702756</v>
      </c>
      <c r="U9" s="10">
        <f>Tabella2[[#This Row],[New_Recovered_fit]]+CId</f>
        <v>558.78487596757964</v>
      </c>
      <c r="V9" s="10">
        <f>MAX(Tabella2[[#This Row],[New_Recovered_fit]]-CId,0)</f>
        <v>0</v>
      </c>
      <c r="W9" s="10">
        <f>'dpc-covid19-ita-andamento-naz'!K3</f>
        <v>10</v>
      </c>
      <c r="X9" s="26">
        <f>Tabella2[[#This Row],[Cum_deaths]]-W8</f>
        <v>3</v>
      </c>
      <c r="Y9" s="65">
        <f>Tabella2[[#This Row],[New deaths]]*NOT(ISBLANK(Tabella2[[#This Row],[New deaths]]))</f>
        <v>3</v>
      </c>
      <c r="Z9" s="50">
        <f>Kt*EXP(-EXP(-(Tabella2[[#This Row],[Day]]-t0t)/wt))</f>
        <v>0.16900695770249149</v>
      </c>
      <c r="AA9" s="10">
        <f>Tabella2[[#This Row],[Cum_D_fit]]*EXP(-(Tabella2[[#This Row],[Day]]-t0t)/wt)/wt</f>
        <v>0.15657194866897581</v>
      </c>
      <c r="AB9" s="65">
        <f>Tabella2[[#This Row],[New_Deaths_fit]]*NOT(ISBLANK(Tabella2[[#This Row],[New deaths]]))</f>
        <v>0.15657194866897581</v>
      </c>
      <c r="AC9" s="10">
        <f>Tabella2[[#This Row],[New_Deaths_fit]]+CIt</f>
        <v>142.78491545908574</v>
      </c>
      <c r="AD9" s="10">
        <f>MAX(Tabella2[[#This Row],[New_Deaths_fit]]-CIt,0)</f>
        <v>0</v>
      </c>
      <c r="AE9" s="8"/>
      <c r="AF9" s="98" t="s">
        <v>109</v>
      </c>
      <c r="AG9" s="100">
        <f>t0</f>
        <v>30.057847733960028</v>
      </c>
      <c r="AH9" s="3"/>
      <c r="AT9" s="92">
        <f>COUNT($AG$8,$AG$9,$AG$10)</f>
        <v>3</v>
      </c>
    </row>
    <row r="10" spans="2:46" x14ac:dyDescent="0.3">
      <c r="B10" s="9">
        <v>43887</v>
      </c>
      <c r="C10" s="4">
        <f t="shared" ref="C10:C73" si="0">C9+1</f>
        <v>2</v>
      </c>
      <c r="D10" s="10">
        <f>'dpc-covid19-ita-andamento-naz'!L4</f>
        <v>400</v>
      </c>
      <c r="E10" s="30">
        <f>'dpc-covid19-ita-andamento-naz'!I4</f>
        <v>78</v>
      </c>
      <c r="F10" s="56">
        <f>Tabella2[[#This Row],[New cases]]*NOT(ISBLANK(Tabella2[[#This Row],[New cases]]))</f>
        <v>78</v>
      </c>
      <c r="G10" s="50">
        <f>Kn*EXP(-EXP(-(Tabella2[[#This Row],[Day]]-t0n)/wn))</f>
        <v>86.616900640943882</v>
      </c>
      <c r="H10" s="10">
        <f>Tabella2[[#This Row],[Cum_fit]]*EXP(-(Tabella2[[#This Row],[Day]]-t0n)/wn)/wn</f>
        <v>49.063847120651957</v>
      </c>
      <c r="I10" s="56">
        <f>Tabella2[[#This Row],[New_cases_fit]]*NOT(ISBLANK(Tabella2[[#This Row],[New cases]]))</f>
        <v>49.063847120651957</v>
      </c>
      <c r="J10" s="10">
        <f>Tabella2[[#This Row],[New_cases_fit]]+CIn</f>
        <v>1233.1187663085125</v>
      </c>
      <c r="K10" s="10">
        <f>MAX(Tabella2[[#This Row],[New_cases_fit]]-CIn,0)</f>
        <v>0</v>
      </c>
      <c r="L10" s="54">
        <f>'dpc-covid19-ita-andamento-naz'!G4</f>
        <v>385</v>
      </c>
      <c r="M10" s="54">
        <f>'dpc-covid19-ita-andamento-naz'!H4</f>
        <v>74</v>
      </c>
      <c r="N10" s="54">
        <f>Tabella2[[#This Row],[New_cases_fit]]-Tabella2[[#This Row],[New_Recovered_fit]]-Tabella2[[#This Row],[New_Deaths_fit]]</f>
        <v>24.789330899969336</v>
      </c>
      <c r="O10" s="10">
        <f>'dpc-covid19-ita-andamento-naz'!J4</f>
        <v>3</v>
      </c>
      <c r="P10" s="48">
        <f>Tabella2[[#This Row],[Cum_recov]]-O9</f>
        <v>2</v>
      </c>
      <c r="Q10" s="60">
        <f>Tabella2[[#This Row],[New recovered]]*NOT(ISBLANK(Tabella2[[#This Row],[New recovered]]))</f>
        <v>2</v>
      </c>
      <c r="R10" s="50">
        <f>Kd*EXP(-EXP(-(Tabella2[[#This Row],[Day]]-t0d)/wd))</f>
        <v>96.425725067859375</v>
      </c>
      <c r="S10" s="10">
        <f>Tabella2[[#This Row],[Cum_R_fit]]*EXP(-(Tabella2[[#This Row],[Day]]-t0d)/wd)/wd</f>
        <v>23.921025459629767</v>
      </c>
      <c r="T10" s="60">
        <f>Tabella2[[#This Row],[New_Recovered_fit]]*NOT(ISBLANK(Tabella2[[#This Row],[New recovered]]))</f>
        <v>23.921025459629767</v>
      </c>
      <c r="U10" s="10">
        <f>Tabella2[[#This Row],[New_Recovered_fit]]+CId</f>
        <v>563.49284672250667</v>
      </c>
      <c r="V10" s="10">
        <f>MAX(Tabella2[[#This Row],[New_Recovered_fit]]-CId,0)</f>
        <v>0</v>
      </c>
      <c r="W10" s="10">
        <f>'dpc-covid19-ita-andamento-naz'!K4</f>
        <v>12</v>
      </c>
      <c r="X10" s="26">
        <f>Tabella2[[#This Row],[Cum_deaths]]-W9</f>
        <v>2</v>
      </c>
      <c r="Y10" s="65">
        <f>Tabella2[[#This Row],[New deaths]]*NOT(ISBLANK(Tabella2[[#This Row],[New deaths]]))</f>
        <v>2</v>
      </c>
      <c r="Z10" s="50">
        <f>Kt*EXP(-EXP(-(Tabella2[[#This Row],[Day]]-t0t)/wt))</f>
        <v>0.41219576260426266</v>
      </c>
      <c r="AA10" s="10">
        <f>Tabella2[[#This Row],[Cum_D_fit]]*EXP(-(Tabella2[[#This Row],[Day]]-t0t)/wt)/wt</f>
        <v>0.35349076105285243</v>
      </c>
      <c r="AB10" s="65">
        <f>Tabella2[[#This Row],[New_Deaths_fit]]*NOT(ISBLANK(Tabella2[[#This Row],[New deaths]]))</f>
        <v>0.35349076105285243</v>
      </c>
      <c r="AC10" s="10">
        <f>Tabella2[[#This Row],[New_Deaths_fit]]+CIt</f>
        <v>142.98183427146961</v>
      </c>
      <c r="AD10" s="10">
        <f>MAX(Tabella2[[#This Row],[New_Deaths_fit]]-CIt,0)</f>
        <v>0</v>
      </c>
      <c r="AE10" s="8"/>
      <c r="AF10" s="98" t="s">
        <v>1</v>
      </c>
      <c r="AG10" s="100">
        <f>w</f>
        <v>13.695482931214375</v>
      </c>
      <c r="AH10" s="3"/>
      <c r="AT10" s="92">
        <f>{32767;32767;0.000001;0;FALSE;FALSE;TRUE;1;1;1;0.0001;TRUE}</f>
        <v>32767</v>
      </c>
    </row>
    <row r="11" spans="2:46" x14ac:dyDescent="0.3">
      <c r="B11" s="9">
        <v>43888</v>
      </c>
      <c r="C11" s="4">
        <f t="shared" si="0"/>
        <v>3</v>
      </c>
      <c r="D11" s="10">
        <f>'dpc-covid19-ita-andamento-naz'!L5</f>
        <v>650</v>
      </c>
      <c r="E11" s="30">
        <f>'dpc-covid19-ita-andamento-naz'!I5</f>
        <v>250</v>
      </c>
      <c r="F11" s="56">
        <f>Tabella2[[#This Row],[New cases]]*NOT(ISBLANK(Tabella2[[#This Row],[New cases]]))</f>
        <v>250</v>
      </c>
      <c r="G11" s="50">
        <f>Kn*EXP(-EXP(-(Tabella2[[#This Row],[Day]]-t0n)/wn))</f>
        <v>149.56869078042106</v>
      </c>
      <c r="H11" s="10">
        <f>Tabella2[[#This Row],[Cum_fit]]*EXP(-(Tabella2[[#This Row],[Day]]-t0n)/wn)/wn</f>
        <v>78.756946272744955</v>
      </c>
      <c r="I11" s="56">
        <f>Tabella2[[#This Row],[New_cases_fit]]*NOT(ISBLANK(Tabella2[[#This Row],[New cases]]))</f>
        <v>78.756946272744955</v>
      </c>
      <c r="J11" s="10">
        <f>Tabella2[[#This Row],[New_cases_fit]]+CIn</f>
        <v>1262.8118654606055</v>
      </c>
      <c r="K11" s="10">
        <f>MAX(Tabella2[[#This Row],[New_cases_fit]]-CIn,0)</f>
        <v>0</v>
      </c>
      <c r="L11" s="54">
        <f>'dpc-covid19-ita-andamento-naz'!G5</f>
        <v>588</v>
      </c>
      <c r="M11" s="54">
        <f>'dpc-covid19-ita-andamento-naz'!H5</f>
        <v>203</v>
      </c>
      <c r="N11" s="54">
        <f>Tabella2[[#This Row],[New_cases_fit]]-Tabella2[[#This Row],[New_Recovered_fit]]-Tabella2[[#This Row],[New_Deaths_fit]]</f>
        <v>48.470643757990722</v>
      </c>
      <c r="O11" s="10">
        <f>'dpc-covid19-ita-andamento-naz'!J5</f>
        <v>45</v>
      </c>
      <c r="P11" s="48">
        <f>Tabella2[[#This Row],[Cum_recov]]-O10</f>
        <v>42</v>
      </c>
      <c r="Q11" s="60">
        <f>Tabella2[[#This Row],[New recovered]]*NOT(ISBLANK(Tabella2[[#This Row],[New recovered]]))</f>
        <v>42</v>
      </c>
      <c r="R11" s="50">
        <f>Kd*EXP(-EXP(-(Tabella2[[#This Row],[Day]]-t0d)/wd))</f>
        <v>123.07512516356167</v>
      </c>
      <c r="S11" s="10">
        <f>Tabella2[[#This Row],[Cum_R_fit]]*EXP(-(Tabella2[[#This Row],[Day]]-t0d)/wd)/wd</f>
        <v>29.539391103629058</v>
      </c>
      <c r="T11" s="60">
        <f>Tabella2[[#This Row],[New_Recovered_fit]]*NOT(ISBLANK(Tabella2[[#This Row],[New recovered]]))</f>
        <v>29.539391103629058</v>
      </c>
      <c r="U11" s="10">
        <f>Tabella2[[#This Row],[New_Recovered_fit]]+CId</f>
        <v>569.11121236650604</v>
      </c>
      <c r="V11" s="10">
        <f>MAX(Tabella2[[#This Row],[New_Recovered_fit]]-CId,0)</f>
        <v>0</v>
      </c>
      <c r="W11" s="10">
        <f>'dpc-covid19-ita-andamento-naz'!K5</f>
        <v>17</v>
      </c>
      <c r="X11" s="26">
        <f>Tabella2[[#This Row],[Cum_deaths]]-W10</f>
        <v>5</v>
      </c>
      <c r="Y11" s="65">
        <f>Tabella2[[#This Row],[New deaths]]*NOT(ISBLANK(Tabella2[[#This Row],[New deaths]]))</f>
        <v>5</v>
      </c>
      <c r="Z11" s="50">
        <f>Kt*EXP(-EXP(-(Tabella2[[#This Row],[Day]]-t0t)/wt))</f>
        <v>0.94086947367922091</v>
      </c>
      <c r="AA11" s="10">
        <f>Tabella2[[#This Row],[Cum_D_fit]]*EXP(-(Tabella2[[#This Row],[Day]]-t0t)/wt)/wt</f>
        <v>0.74691141112517245</v>
      </c>
      <c r="AB11" s="65">
        <f>Tabella2[[#This Row],[New_Deaths_fit]]*NOT(ISBLANK(Tabella2[[#This Row],[New deaths]]))</f>
        <v>0.74691141112517245</v>
      </c>
      <c r="AC11" s="10">
        <f>Tabella2[[#This Row],[New_Deaths_fit]]+CIt</f>
        <v>143.37525492154194</v>
      </c>
      <c r="AD11" s="10">
        <f>MAX(Tabella2[[#This Row],[New_Deaths_fit]]-CIt,0)</f>
        <v>0</v>
      </c>
      <c r="AE11" s="8"/>
      <c r="AF11" s="68" t="s">
        <v>2</v>
      </c>
      <c r="AG11" s="101">
        <f>AVERAGE(Tabella2[New cases])</f>
        <v>3190.16</v>
      </c>
      <c r="AH11" s="3"/>
      <c r="AT11" s="92">
        <f>{0;0;1;100;0;FALSE;TRUE;0.075;0;0;FALSE;30}</f>
        <v>0</v>
      </c>
    </row>
    <row r="12" spans="2:46" x14ac:dyDescent="0.3">
      <c r="B12" s="9">
        <v>43889</v>
      </c>
      <c r="C12" s="4">
        <f t="shared" si="0"/>
        <v>4</v>
      </c>
      <c r="D12" s="10">
        <f>'dpc-covid19-ita-andamento-naz'!L6</f>
        <v>888</v>
      </c>
      <c r="E12" s="30">
        <f>'dpc-covid19-ita-andamento-naz'!I6</f>
        <v>238</v>
      </c>
      <c r="F12" s="56">
        <f>Tabella2[[#This Row],[New cases]]*NOT(ISBLANK(Tabella2[[#This Row],[New cases]]))</f>
        <v>238</v>
      </c>
      <c r="G12" s="50">
        <f>Kn*EXP(-EXP(-(Tabella2[[#This Row],[Day]]-t0n)/wn))</f>
        <v>248.5270605349148</v>
      </c>
      <c r="H12" s="10">
        <f>Tabella2[[#This Row],[Cum_fit]]*EXP(-(Tabella2[[#This Row],[Day]]-t0n)/wn)/wn</f>
        <v>121.64970969740814</v>
      </c>
      <c r="I12" s="56">
        <f>Tabella2[[#This Row],[New_cases_fit]]*NOT(ISBLANK(Tabella2[[#This Row],[New cases]]))</f>
        <v>121.64970969740814</v>
      </c>
      <c r="J12" s="10">
        <f>Tabella2[[#This Row],[New_cases_fit]]+CIn</f>
        <v>1305.7046288852687</v>
      </c>
      <c r="K12" s="10">
        <f>MAX(Tabella2[[#This Row],[New_cases_fit]]-CIn,0)</f>
        <v>0</v>
      </c>
      <c r="L12" s="54">
        <f>'dpc-covid19-ita-andamento-naz'!G6</f>
        <v>821</v>
      </c>
      <c r="M12" s="54">
        <f>'dpc-covid19-ita-andamento-naz'!H6</f>
        <v>233</v>
      </c>
      <c r="N12" s="54">
        <f>Tabella2[[#This Row],[New_cases_fit]]-Tabella2[[#This Row],[New_Recovered_fit]]-Tabella2[[#This Row],[New_Deaths_fit]]</f>
        <v>83.976324477514808</v>
      </c>
      <c r="O12" s="10">
        <f>'dpc-covid19-ita-andamento-naz'!J6</f>
        <v>46</v>
      </c>
      <c r="P12" s="48">
        <f>Tabella2[[#This Row],[Cum_recov]]-O11</f>
        <v>1</v>
      </c>
      <c r="Q12" s="60">
        <f>Tabella2[[#This Row],[New recovered]]*NOT(ISBLANK(Tabella2[[#This Row],[New recovered]]))</f>
        <v>1</v>
      </c>
      <c r="R12" s="50">
        <f>Kd*EXP(-EXP(-(Tabella2[[#This Row],[Day]]-t0d)/wd))</f>
        <v>155.84821626021267</v>
      </c>
      <c r="S12" s="10">
        <f>Tabella2[[#This Row],[Cum_R_fit]]*EXP(-(Tabella2[[#This Row],[Day]]-t0d)/wd)/wd</f>
        <v>36.18907324742672</v>
      </c>
      <c r="T12" s="60">
        <f>Tabella2[[#This Row],[New_Recovered_fit]]*NOT(ISBLANK(Tabella2[[#This Row],[New recovered]]))</f>
        <v>36.18907324742672</v>
      </c>
      <c r="U12" s="10">
        <f>Tabella2[[#This Row],[New_Recovered_fit]]+CId</f>
        <v>575.76089451030361</v>
      </c>
      <c r="V12" s="10">
        <f>MAX(Tabella2[[#This Row],[New_Recovered_fit]]-CId,0)</f>
        <v>0</v>
      </c>
      <c r="W12" s="10">
        <f>'dpc-covid19-ita-andamento-naz'!K6</f>
        <v>21</v>
      </c>
      <c r="X12" s="26">
        <f>Tabella2[[#This Row],[Cum_deaths]]-W11</f>
        <v>4</v>
      </c>
      <c r="Y12" s="65">
        <f>Tabella2[[#This Row],[New deaths]]*NOT(ISBLANK(Tabella2[[#This Row],[New deaths]]))</f>
        <v>4</v>
      </c>
      <c r="Z12" s="50">
        <f>Kt*EXP(-EXP(-(Tabella2[[#This Row],[Day]]-t0t)/wt))</f>
        <v>2.0198555048759941</v>
      </c>
      <c r="AA12" s="10">
        <f>Tabella2[[#This Row],[Cum_D_fit]]*EXP(-(Tabella2[[#This Row],[Day]]-t0t)/wt)/wt</f>
        <v>1.4843119724666145</v>
      </c>
      <c r="AB12" s="65">
        <f>Tabella2[[#This Row],[New_Deaths_fit]]*NOT(ISBLANK(Tabella2[[#This Row],[New deaths]]))</f>
        <v>1.4843119724666145</v>
      </c>
      <c r="AC12" s="10">
        <f>Tabella2[[#This Row],[New_Deaths_fit]]+CIt</f>
        <v>144.11265548288338</v>
      </c>
      <c r="AD12" s="10">
        <f>MAX(Tabella2[[#This Row],[New_Deaths_fit]]-CIt,0)</f>
        <v>0</v>
      </c>
      <c r="AE12" s="1"/>
      <c r="AF12" s="68" t="s">
        <v>3</v>
      </c>
      <c r="AG12" s="101">
        <f>COUNT(Tabella2[New cases])-COUNT(AG8:AG10)</f>
        <v>47</v>
      </c>
      <c r="AT12" s="92">
        <f>{32767;32767;0.000001;0;FALSE;FALSE;FALSE;1;2;1;0.0001;TRUE}</f>
        <v>32767</v>
      </c>
    </row>
    <row r="13" spans="2:46" x14ac:dyDescent="0.3">
      <c r="B13" s="9">
        <v>43890</v>
      </c>
      <c r="C13" s="4">
        <f t="shared" si="0"/>
        <v>5</v>
      </c>
      <c r="D13" s="10">
        <f>'dpc-covid19-ita-andamento-naz'!L7</f>
        <v>1128</v>
      </c>
      <c r="E13" s="30">
        <f>'dpc-covid19-ita-andamento-naz'!I7</f>
        <v>240</v>
      </c>
      <c r="F13" s="56">
        <f>Tabella2[[#This Row],[New cases]]*NOT(ISBLANK(Tabella2[[#This Row],[New cases]]))</f>
        <v>240</v>
      </c>
      <c r="G13" s="50">
        <f>Kn*EXP(-EXP(-(Tabella2[[#This Row],[Day]]-t0n)/wn))</f>
        <v>398.45372909558449</v>
      </c>
      <c r="H13" s="10">
        <f>Tabella2[[#This Row],[Cum_fit]]*EXP(-(Tabella2[[#This Row],[Day]]-t0n)/wn)/wn</f>
        <v>181.30279810807014</v>
      </c>
      <c r="I13" s="56">
        <f>Tabella2[[#This Row],[New_cases_fit]]*NOT(ISBLANK(Tabella2[[#This Row],[New cases]]))</f>
        <v>181.30279810807014</v>
      </c>
      <c r="J13" s="10">
        <f>Tabella2[[#This Row],[New_cases_fit]]+CIn</f>
        <v>1365.3577172959308</v>
      </c>
      <c r="K13" s="10">
        <f>MAX(Tabella2[[#This Row],[New_cases_fit]]-CIn,0)</f>
        <v>0</v>
      </c>
      <c r="L13" s="54">
        <f>'dpc-covid19-ita-andamento-naz'!G7</f>
        <v>1049</v>
      </c>
      <c r="M13" s="54">
        <f>'dpc-covid19-ita-andamento-naz'!H7</f>
        <v>228</v>
      </c>
      <c r="N13" s="54">
        <f>Tabella2[[#This Row],[New_cases_fit]]-Tabella2[[#This Row],[New_Recovered_fit]]-Tabella2[[#This Row],[New_Deaths_fit]]</f>
        <v>134.51922180323419</v>
      </c>
      <c r="O13" s="10">
        <f>'dpc-covid19-ita-andamento-naz'!J7</f>
        <v>50</v>
      </c>
      <c r="P13" s="48">
        <f>Tabella2[[#This Row],[Cum_recov]]-O12</f>
        <v>4</v>
      </c>
      <c r="Q13" s="60">
        <f>Tabella2[[#This Row],[New recovered]]*NOT(ISBLANK(Tabella2[[#This Row],[New recovered]]))</f>
        <v>4</v>
      </c>
      <c r="R13" s="50">
        <f>Kd*EXP(-EXP(-(Tabella2[[#This Row],[Day]]-t0d)/wd))</f>
        <v>195.83918933994372</v>
      </c>
      <c r="S13" s="10">
        <f>Tabella2[[#This Row],[Cum_R_fit]]*EXP(-(Tabella2[[#This Row],[Day]]-t0d)/wd)/wd</f>
        <v>43.996649133659787</v>
      </c>
      <c r="T13" s="60">
        <f>Tabella2[[#This Row],[New_Recovered_fit]]*NOT(ISBLANK(Tabella2[[#This Row],[New recovered]]))</f>
        <v>43.996649133659787</v>
      </c>
      <c r="U13" s="10">
        <f>Tabella2[[#This Row],[New_Recovered_fit]]+CId</f>
        <v>583.56847039653667</v>
      </c>
      <c r="V13" s="10">
        <f>MAX(Tabella2[[#This Row],[New_Recovered_fit]]-CId,0)</f>
        <v>0</v>
      </c>
      <c r="W13" s="10">
        <f>'dpc-covid19-ita-andamento-naz'!K7</f>
        <v>29</v>
      </c>
      <c r="X13" s="26">
        <f>Tabella2[[#This Row],[Cum_deaths]]-W12</f>
        <v>8</v>
      </c>
      <c r="Y13" s="65">
        <f>Tabella2[[#This Row],[New deaths]]*NOT(ISBLANK(Tabella2[[#This Row],[New deaths]]))</f>
        <v>8</v>
      </c>
      <c r="Z13" s="50">
        <f>Kt*EXP(-EXP(-(Tabella2[[#This Row],[Day]]-t0t)/wt))</f>
        <v>4.0969018506656676</v>
      </c>
      <c r="AA13" s="10">
        <f>Tabella2[[#This Row],[Cum_D_fit]]*EXP(-(Tabella2[[#This Row],[Day]]-t0t)/wt)/wt</f>
        <v>2.7869271711761572</v>
      </c>
      <c r="AB13" s="65">
        <f>Tabella2[[#This Row],[New_Deaths_fit]]*NOT(ISBLANK(Tabella2[[#This Row],[New deaths]]))</f>
        <v>2.7869271711761572</v>
      </c>
      <c r="AC13" s="10">
        <f>Tabella2[[#This Row],[New_Deaths_fit]]+CIt</f>
        <v>145.41527068159292</v>
      </c>
      <c r="AD13" s="10">
        <f>MAX(Tabella2[[#This Row],[New_Deaths_fit]]-CIt,0)</f>
        <v>0</v>
      </c>
      <c r="AE13" s="1"/>
      <c r="AF13" s="68" t="s">
        <v>4</v>
      </c>
      <c r="AG13" s="102" cm="1">
        <f t="array" ref="AG13">SQRT(SUM((Tabella2[Colonna1]-Tabella2[Colonna2])^2)/dfn)</f>
        <v>588.57238848991653</v>
      </c>
      <c r="AT13" s="93">
        <f>{0;0;1;100;0;FALSE;FALSE;0.075;0;0;FALSE;30}</f>
        <v>0</v>
      </c>
    </row>
    <row r="14" spans="2:46" ht="16.2" x14ac:dyDescent="0.3">
      <c r="B14" s="22">
        <v>43891</v>
      </c>
      <c r="C14" s="4">
        <f t="shared" si="0"/>
        <v>6</v>
      </c>
      <c r="D14" s="10">
        <f>'dpc-covid19-ita-andamento-naz'!L8</f>
        <v>1694</v>
      </c>
      <c r="E14" s="30">
        <f>'dpc-covid19-ita-andamento-naz'!I8</f>
        <v>566</v>
      </c>
      <c r="F14" s="56">
        <f>Tabella2[[#This Row],[New cases]]*NOT(ISBLANK(Tabella2[[#This Row],[New cases]]))</f>
        <v>566</v>
      </c>
      <c r="G14" s="50">
        <f>Kn*EXP(-EXP(-(Tabella2[[#This Row],[Day]]-t0n)/wn))</f>
        <v>617.94067783470348</v>
      </c>
      <c r="H14" s="10">
        <f>Tabella2[[#This Row],[Cum_fit]]*EXP(-(Tabella2[[#This Row],[Day]]-t0n)/wn)/wn</f>
        <v>261.37413789411426</v>
      </c>
      <c r="I14" s="56">
        <f>Tabella2[[#This Row],[New_cases_fit]]*NOT(ISBLANK(Tabella2[[#This Row],[New cases]]))</f>
        <v>261.37413789411426</v>
      </c>
      <c r="J14" s="10">
        <f>Tabella2[[#This Row],[New_cases_fit]]+CIn</f>
        <v>1445.4290570819749</v>
      </c>
      <c r="K14" s="10">
        <f>MAX(Tabella2[[#This Row],[New_cases_fit]]-CIn,0)</f>
        <v>0</v>
      </c>
      <c r="L14" s="54">
        <f>'dpc-covid19-ita-andamento-naz'!G8</f>
        <v>1577</v>
      </c>
      <c r="M14" s="54">
        <f>'dpc-covid19-ita-andamento-naz'!H8</f>
        <v>528</v>
      </c>
      <c r="N14" s="54">
        <f>Tabella2[[#This Row],[New_cases_fit]]-Tabella2[[#This Row],[New_Recovered_fit]]-Tabella2[[#This Row],[New_Deaths_fit]]</f>
        <v>203.31644006006985</v>
      </c>
      <c r="O14" s="10">
        <f>'dpc-covid19-ita-andamento-naz'!J8</f>
        <v>83</v>
      </c>
      <c r="P14" s="48">
        <f>Tabella2[[#This Row],[Cum_recov]]-O13</f>
        <v>33</v>
      </c>
      <c r="Q14" s="60">
        <f>Tabella2[[#This Row],[New recovered]]*NOT(ISBLANK(Tabella2[[#This Row],[New recovered]]))</f>
        <v>33</v>
      </c>
      <c r="R14" s="50">
        <f>Kd*EXP(-EXP(-(Tabella2[[#This Row],[Day]]-t0d)/wd))</f>
        <v>244.2710410789542</v>
      </c>
      <c r="S14" s="10">
        <f>Tabella2[[#This Row],[Cum_R_fit]]*EXP(-(Tabella2[[#This Row],[Day]]-t0d)/wd)/wd</f>
        <v>53.092888600443878</v>
      </c>
      <c r="T14" s="60">
        <f>Tabella2[[#This Row],[New_Recovered_fit]]*NOT(ISBLANK(Tabella2[[#This Row],[New recovered]]))</f>
        <v>53.092888600443878</v>
      </c>
      <c r="U14" s="10">
        <f>Tabella2[[#This Row],[New_Recovered_fit]]+CId</f>
        <v>592.66470986332081</v>
      </c>
      <c r="V14" s="10">
        <f>MAX(Tabella2[[#This Row],[New_Recovered_fit]]-CId,0)</f>
        <v>0</v>
      </c>
      <c r="W14" s="10">
        <f>'dpc-covid19-ita-andamento-naz'!K8</f>
        <v>34</v>
      </c>
      <c r="X14" s="26">
        <f>Tabella2[[#This Row],[Cum_deaths]]-W13</f>
        <v>5</v>
      </c>
      <c r="Y14" s="65">
        <f>Tabella2[[#This Row],[New deaths]]*NOT(ISBLANK(Tabella2[[#This Row],[New deaths]]))</f>
        <v>5</v>
      </c>
      <c r="Z14" s="50">
        <f>Kt*EXP(-EXP(-(Tabella2[[#This Row],[Day]]-t0t)/wt))</f>
        <v>7.8843761230688827</v>
      </c>
      <c r="AA14" s="10">
        <f>Tabella2[[#This Row],[Cum_D_fit]]*EXP(-(Tabella2[[#This Row],[Day]]-t0t)/wt)/wt</f>
        <v>4.9648092336005343</v>
      </c>
      <c r="AB14" s="65">
        <f>Tabella2[[#This Row],[New_Deaths_fit]]*NOT(ISBLANK(Tabella2[[#This Row],[New deaths]]))</f>
        <v>4.9648092336005343</v>
      </c>
      <c r="AC14" s="10">
        <f>Tabella2[[#This Row],[New_Deaths_fit]]+CIt</f>
        <v>147.59315274401729</v>
      </c>
      <c r="AD14" s="10">
        <f>MAX(Tabella2[[#This Row],[New_Deaths_fit]]-CIt,0)</f>
        <v>0</v>
      </c>
      <c r="AE14" s="1"/>
      <c r="AF14" s="68" t="s">
        <v>110</v>
      </c>
      <c r="AG14" s="103" cm="1">
        <f t="array" ref="AG14">1-SUM((Tabella2[Colonna1]-Tabella2[Colonna2])^2)/SUM((Tabella2[Colonna1]-Mean_of_yn)^2)</f>
        <v>0.9603787317631004</v>
      </c>
      <c r="AT14" s="121" t="s">
        <v>98</v>
      </c>
    </row>
    <row r="15" spans="2:46" x14ac:dyDescent="0.3">
      <c r="B15" s="9">
        <v>43892</v>
      </c>
      <c r="C15" s="4">
        <f t="shared" si="0"/>
        <v>7</v>
      </c>
      <c r="D15" s="10">
        <f>'dpc-covid19-ita-andamento-naz'!L9</f>
        <v>2036</v>
      </c>
      <c r="E15" s="30">
        <f>'dpc-covid19-ita-andamento-naz'!I9</f>
        <v>342</v>
      </c>
      <c r="F15" s="56">
        <f>Tabella2[[#This Row],[New cases]]*NOT(ISBLANK(Tabella2[[#This Row],[New cases]]))</f>
        <v>342</v>
      </c>
      <c r="G15" s="50">
        <f>Kn*EXP(-EXP(-(Tabella2[[#This Row],[Day]]-t0n)/wn))</f>
        <v>929.17349036004475</v>
      </c>
      <c r="H15" s="10">
        <f>Tabella2[[#This Row],[Cum_fit]]*EXP(-(Tabella2[[#This Row],[Day]]-t0n)/wn)/wn</f>
        <v>365.34389670050433</v>
      </c>
      <c r="I15" s="56">
        <f>Tabella2[[#This Row],[New_cases_fit]]*NOT(ISBLANK(Tabella2[[#This Row],[New cases]]))</f>
        <v>365.34389670050433</v>
      </c>
      <c r="J15" s="10">
        <f>Tabella2[[#This Row],[New_cases_fit]]+CIn</f>
        <v>1549.3988158883649</v>
      </c>
      <c r="K15" s="10">
        <f>MAX(Tabella2[[#This Row],[New_cases_fit]]-CIn,0)</f>
        <v>0</v>
      </c>
      <c r="L15" s="54">
        <f>'dpc-covid19-ita-andamento-naz'!G9</f>
        <v>1835</v>
      </c>
      <c r="M15" s="54">
        <f>'dpc-covid19-ita-andamento-naz'!H9</f>
        <v>258</v>
      </c>
      <c r="N15" s="54">
        <f>Tabella2[[#This Row],[New_cases_fit]]-Tabella2[[#This Row],[New_Recovered_fit]]-Tabella2[[#This Row],[New_Deaths_fit]]</f>
        <v>293.30818856437679</v>
      </c>
      <c r="O15" s="10">
        <f>'dpc-covid19-ita-andamento-naz'!J9</f>
        <v>149</v>
      </c>
      <c r="P15" s="48">
        <f>Tabella2[[#This Row],[Cum_recov]]-O14</f>
        <v>66</v>
      </c>
      <c r="Q15" s="60">
        <f>Tabella2[[#This Row],[New recovered]]*NOT(ISBLANK(Tabella2[[#This Row],[New recovered]]))</f>
        <v>66</v>
      </c>
      <c r="R15" s="50">
        <f>Kd*EXP(-EXP(-(Tabella2[[#This Row],[Day]]-t0d)/wd))</f>
        <v>302.4989352439822</v>
      </c>
      <c r="S15" s="10">
        <f>Tabella2[[#This Row],[Cum_R_fit]]*EXP(-(Tabella2[[#This Row],[Day]]-t0d)/wd)/wd</f>
        <v>63.611054366544174</v>
      </c>
      <c r="T15" s="60">
        <f>Tabella2[[#This Row],[New_Recovered_fit]]*NOT(ISBLANK(Tabella2[[#This Row],[New recovered]]))</f>
        <v>63.611054366544174</v>
      </c>
      <c r="U15" s="10">
        <f>Tabella2[[#This Row],[New_Recovered_fit]]+CId</f>
        <v>603.18287562942112</v>
      </c>
      <c r="V15" s="10">
        <f>MAX(Tabella2[[#This Row],[New_Recovered_fit]]-CId,0)</f>
        <v>0</v>
      </c>
      <c r="W15" s="10">
        <f>'dpc-covid19-ita-andamento-naz'!K9</f>
        <v>52</v>
      </c>
      <c r="X15" s="26">
        <f>Tabella2[[#This Row],[Cum_deaths]]-W14</f>
        <v>18</v>
      </c>
      <c r="Y15" s="65">
        <f>Tabella2[[#This Row],[New deaths]]*NOT(ISBLANK(Tabella2[[#This Row],[New deaths]]))</f>
        <v>18</v>
      </c>
      <c r="Z15" s="50">
        <f>Kt*EXP(-EXP(-(Tabella2[[#This Row],[Day]]-t0t)/wt))</f>
        <v>14.452788850631316</v>
      </c>
      <c r="AA15" s="10">
        <f>Tabella2[[#This Row],[Cum_D_fit]]*EXP(-(Tabella2[[#This Row],[Day]]-t0t)/wt)/wt</f>
        <v>8.4246537695833492</v>
      </c>
      <c r="AB15" s="65">
        <f>Tabella2[[#This Row],[New_Deaths_fit]]*NOT(ISBLANK(Tabella2[[#This Row],[New deaths]]))</f>
        <v>8.4246537695833492</v>
      </c>
      <c r="AC15" s="10">
        <f>Tabella2[[#This Row],[New_Deaths_fit]]+CIt</f>
        <v>151.05299728000011</v>
      </c>
      <c r="AD15" s="10">
        <f>MAX(Tabella2[[#This Row],[New_Deaths_fit]]-CIt,0)</f>
        <v>0</v>
      </c>
      <c r="AE15" s="1"/>
      <c r="AF15" s="68" t="s">
        <v>6</v>
      </c>
      <c r="AG15" s="103">
        <f>TINV(0.05,dfn)</f>
        <v>2.0117405137297668</v>
      </c>
      <c r="AT15" s="122"/>
    </row>
    <row r="16" spans="2:46" x14ac:dyDescent="0.3">
      <c r="B16" s="9">
        <v>43893</v>
      </c>
      <c r="C16" s="4">
        <f t="shared" si="0"/>
        <v>8</v>
      </c>
      <c r="D16" s="10">
        <f>'dpc-covid19-ita-andamento-naz'!L10</f>
        <v>2502</v>
      </c>
      <c r="E16" s="30">
        <f>'dpc-covid19-ita-andamento-naz'!I10</f>
        <v>466</v>
      </c>
      <c r="F16" s="56">
        <f>Tabella2[[#This Row],[New cases]]*NOT(ISBLANK(Tabella2[[#This Row],[New cases]]))</f>
        <v>466</v>
      </c>
      <c r="G16" s="50">
        <f>Kn*EXP(-EXP(-(Tabella2[[#This Row],[Day]]-t0n)/wn))</f>
        <v>1357.603219604204</v>
      </c>
      <c r="H16" s="10">
        <f>Tabella2[[#This Row],[Cum_fit]]*EXP(-(Tabella2[[#This Row],[Day]]-t0n)/wn)/wn</f>
        <v>496.21183980892084</v>
      </c>
      <c r="I16" s="56">
        <f>Tabella2[[#This Row],[New_cases_fit]]*NOT(ISBLANK(Tabella2[[#This Row],[New cases]]))</f>
        <v>496.21183980892084</v>
      </c>
      <c r="J16" s="10">
        <f>Tabella2[[#This Row],[New_cases_fit]]+CIn</f>
        <v>1680.2667589967814</v>
      </c>
      <c r="K16" s="10">
        <f>MAX(Tabella2[[#This Row],[New_cases_fit]]-CIn,0)</f>
        <v>0</v>
      </c>
      <c r="L16" s="54">
        <f>'dpc-covid19-ita-andamento-naz'!G10</f>
        <v>2263</v>
      </c>
      <c r="M16" s="54">
        <f>'dpc-covid19-ita-andamento-naz'!H10</f>
        <v>428</v>
      </c>
      <c r="N16" s="54">
        <f>Tabella2[[#This Row],[New_cases_fit]]-Tabella2[[#This Row],[New_Recovered_fit]]-Tabella2[[#This Row],[New_Deaths_fit]]</f>
        <v>406.86076084688767</v>
      </c>
      <c r="O16" s="10">
        <f>'dpc-covid19-ita-andamento-naz'!J10</f>
        <v>160</v>
      </c>
      <c r="P16" s="48">
        <f>Tabella2[[#This Row],[Cum_recov]]-O15</f>
        <v>11</v>
      </c>
      <c r="Q16" s="60">
        <f>Tabella2[[#This Row],[New recovered]]*NOT(ISBLANK(Tabella2[[#This Row],[New recovered]]))</f>
        <v>11</v>
      </c>
      <c r="R16" s="50">
        <f>Kd*EXP(-EXP(-(Tabella2[[#This Row],[Day]]-t0d)/wd))</f>
        <v>372.01175764171796</v>
      </c>
      <c r="S16" s="10">
        <f>Tabella2[[#This Row],[Cum_R_fit]]*EXP(-(Tabella2[[#This Row],[Day]]-t0d)/wd)/wd</f>
        <v>75.684994341728995</v>
      </c>
      <c r="T16" s="60">
        <f>Tabella2[[#This Row],[New_Recovered_fit]]*NOT(ISBLANK(Tabella2[[#This Row],[New recovered]]))</f>
        <v>75.684994341728995</v>
      </c>
      <c r="U16" s="10">
        <f>Tabella2[[#This Row],[New_Recovered_fit]]+CId</f>
        <v>615.25681560460589</v>
      </c>
      <c r="V16" s="10">
        <f>MAX(Tabella2[[#This Row],[New_Recovered_fit]]-CId,0)</f>
        <v>0</v>
      </c>
      <c r="W16" s="10">
        <f>'dpc-covid19-ita-andamento-naz'!K10</f>
        <v>79</v>
      </c>
      <c r="X16" s="26">
        <f>Tabella2[[#This Row],[Cum_deaths]]-W15</f>
        <v>27</v>
      </c>
      <c r="Y16" s="65">
        <f>Tabella2[[#This Row],[New deaths]]*NOT(ISBLANK(Tabella2[[#This Row],[New deaths]]))</f>
        <v>27</v>
      </c>
      <c r="Z16" s="50">
        <f>Kt*EXP(-EXP(-(Tabella2[[#This Row],[Day]]-t0t)/wt))</f>
        <v>25.326695561431375</v>
      </c>
      <c r="AA16" s="10">
        <f>Tabella2[[#This Row],[Cum_D_fit]]*EXP(-(Tabella2[[#This Row],[Day]]-t0t)/wt)/wt</f>
        <v>13.666084620304167</v>
      </c>
      <c r="AB16" s="65">
        <f>Tabella2[[#This Row],[New_Deaths_fit]]*NOT(ISBLANK(Tabella2[[#This Row],[New deaths]]))</f>
        <v>13.666084620304167</v>
      </c>
      <c r="AC16" s="10">
        <f>Tabella2[[#This Row],[New_Deaths_fit]]+CIt</f>
        <v>156.29442813072092</v>
      </c>
      <c r="AD16" s="10">
        <f>MAX(Tabella2[[#This Row],[New_Deaths_fit]]-CIt,0)</f>
        <v>0</v>
      </c>
      <c r="AE16" s="1"/>
      <c r="AF16" s="68" t="s">
        <v>7</v>
      </c>
      <c r="AG16" s="101">
        <f>Critical_tn*SE_of_yn</f>
        <v>1184.0549191878606</v>
      </c>
      <c r="AT16" s="122"/>
    </row>
    <row r="17" spans="2:46" ht="15" thickBot="1" x14ac:dyDescent="0.35">
      <c r="B17" s="9">
        <v>43894</v>
      </c>
      <c r="C17" s="4">
        <f t="shared" si="0"/>
        <v>9</v>
      </c>
      <c r="D17" s="10">
        <f>'dpc-covid19-ita-andamento-naz'!L11</f>
        <v>3089</v>
      </c>
      <c r="E17" s="30">
        <f>'dpc-covid19-ita-andamento-naz'!I11</f>
        <v>587</v>
      </c>
      <c r="F17" s="56">
        <f>Tabella2[[#This Row],[New cases]]*NOT(ISBLANK(Tabella2[[#This Row],[New cases]]))</f>
        <v>587</v>
      </c>
      <c r="G17" s="50">
        <f>Kn*EXP(-EXP(-(Tabella2[[#This Row],[Day]]-t0n)/wn))</f>
        <v>1931.3157519875299</v>
      </c>
      <c r="H17" s="10">
        <f>Tabella2[[#This Row],[Cum_fit]]*EXP(-(Tabella2[[#This Row],[Day]]-t0n)/wn)/wn</f>
        <v>656.20081174505128</v>
      </c>
      <c r="I17" s="56">
        <f>Tabella2[[#This Row],[New_cases_fit]]*NOT(ISBLANK(Tabella2[[#This Row],[New cases]]))</f>
        <v>656.20081174505128</v>
      </c>
      <c r="J17" s="10">
        <f>Tabella2[[#This Row],[New_cases_fit]]+CIn</f>
        <v>1840.2557309329118</v>
      </c>
      <c r="K17" s="10">
        <f>MAX(Tabella2[[#This Row],[New_cases_fit]]-CIn,0)</f>
        <v>0</v>
      </c>
      <c r="L17" s="54">
        <f>'dpc-covid19-ita-andamento-naz'!G11</f>
        <v>2706</v>
      </c>
      <c r="M17" s="54">
        <f>'dpc-covid19-ita-andamento-naz'!H11</f>
        <v>443</v>
      </c>
      <c r="N17" s="54">
        <f>Tabella2[[#This Row],[New_cases_fit]]-Tabella2[[#This Row],[New_Recovered_fit]]-Tabella2[[#This Row],[New_Deaths_fit]]</f>
        <v>545.49038228889799</v>
      </c>
      <c r="O17" s="10">
        <f>'dpc-covid19-ita-andamento-naz'!J11</f>
        <v>276</v>
      </c>
      <c r="P17" s="48">
        <f>Tabella2[[#This Row],[Cum_recov]]-O16</f>
        <v>116</v>
      </c>
      <c r="Q17" s="60">
        <f>Tabella2[[#This Row],[New recovered]]*NOT(ISBLANK(Tabella2[[#This Row],[New recovered]]))</f>
        <v>116</v>
      </c>
      <c r="R17" s="50">
        <f>Kd*EXP(-EXP(-(Tabella2[[#This Row],[Day]]-t0d)/wd))</f>
        <v>454.43167441678514</v>
      </c>
      <c r="S17" s="10">
        <f>Tabella2[[#This Row],[Cum_R_fit]]*EXP(-(Tabella2[[#This Row],[Day]]-t0d)/wd)/wd</f>
        <v>89.447062765244155</v>
      </c>
      <c r="T17" s="60">
        <f>Tabella2[[#This Row],[New_Recovered_fit]]*NOT(ISBLANK(Tabella2[[#This Row],[New recovered]]))</f>
        <v>89.447062765244155</v>
      </c>
      <c r="U17" s="10">
        <f>Tabella2[[#This Row],[New_Recovered_fit]]+CId</f>
        <v>629.01888402812108</v>
      </c>
      <c r="V17" s="10">
        <f>MAX(Tabella2[[#This Row],[New_Recovered_fit]]-CId,0)</f>
        <v>0</v>
      </c>
      <c r="W17" s="10">
        <f>'dpc-covid19-ita-andamento-naz'!K11</f>
        <v>107</v>
      </c>
      <c r="X17" s="26">
        <f>Tabella2[[#This Row],[Cum_deaths]]-W16</f>
        <v>28</v>
      </c>
      <c r="Y17" s="65">
        <f>Tabella2[[#This Row],[New deaths]]*NOT(ISBLANK(Tabella2[[#This Row],[New deaths]]))</f>
        <v>28</v>
      </c>
      <c r="Z17" s="50">
        <f>Kt*EXP(-EXP(-(Tabella2[[#This Row],[Day]]-t0t)/wt))</f>
        <v>42.569767804671415</v>
      </c>
      <c r="AA17" s="10">
        <f>Tabella2[[#This Row],[Cum_D_fit]]*EXP(-(Tabella2[[#This Row],[Day]]-t0t)/wt)/wt</f>
        <v>21.263366690909152</v>
      </c>
      <c r="AB17" s="65">
        <f>Tabella2[[#This Row],[New_Deaths_fit]]*NOT(ISBLANK(Tabella2[[#This Row],[New deaths]]))</f>
        <v>21.263366690909152</v>
      </c>
      <c r="AC17" s="10">
        <f>Tabella2[[#This Row],[New_Deaths_fit]]+CIt</f>
        <v>163.89171020132591</v>
      </c>
      <c r="AD17" s="10">
        <f>MAX(Tabella2[[#This Row],[New_Deaths_fit]]-CIt,0)</f>
        <v>0</v>
      </c>
      <c r="AE17" s="1"/>
      <c r="AF17" s="68" t="s">
        <v>69</v>
      </c>
      <c r="AG17" s="101">
        <f>Kn/(EXP(1)*wn)</f>
        <v>5443.5589989138907</v>
      </c>
      <c r="AT17" s="123"/>
    </row>
    <row r="18" spans="2:46" ht="15" thickTop="1" x14ac:dyDescent="0.3">
      <c r="B18" s="22">
        <v>43895</v>
      </c>
      <c r="C18" s="4">
        <f t="shared" si="0"/>
        <v>10</v>
      </c>
      <c r="D18" s="10">
        <f>'dpc-covid19-ita-andamento-naz'!L12</f>
        <v>3858</v>
      </c>
      <c r="E18" s="30">
        <f>'dpc-covid19-ita-andamento-naz'!I12</f>
        <v>769</v>
      </c>
      <c r="F18" s="56">
        <f>Tabella2[[#This Row],[New cases]]*NOT(ISBLANK(Tabella2[[#This Row],[New cases]]))</f>
        <v>769</v>
      </c>
      <c r="G18" s="50">
        <f>Kn*EXP(-EXP(-(Tabella2[[#This Row],[Day]]-t0n)/wn))</f>
        <v>2680.1221261073588</v>
      </c>
      <c r="H18" s="10">
        <f>Tabella2[[#This Row],[Cum_fit]]*EXP(-(Tabella2[[#This Row],[Day]]-t0n)/wn)/wn</f>
        <v>846.50062318094228</v>
      </c>
      <c r="I18" s="56">
        <f>Tabella2[[#This Row],[New_cases_fit]]*NOT(ISBLANK(Tabella2[[#This Row],[New cases]]))</f>
        <v>846.50062318094228</v>
      </c>
      <c r="J18" s="10">
        <f>Tabella2[[#This Row],[New_cases_fit]]+CIn</f>
        <v>2030.5555423688029</v>
      </c>
      <c r="K18" s="10">
        <f>MAX(Tabella2[[#This Row],[New_cases_fit]]-CIn,0)</f>
        <v>0</v>
      </c>
      <c r="L18" s="54">
        <f>'dpc-covid19-ita-andamento-naz'!G12</f>
        <v>3296</v>
      </c>
      <c r="M18" s="54">
        <f>'dpc-covid19-ita-andamento-naz'!H12</f>
        <v>590</v>
      </c>
      <c r="N18" s="54">
        <f>Tabella2[[#This Row],[New_cases_fit]]-Tabella2[[#This Row],[New_Recovered_fit]]-Tabella2[[#This Row],[New_Deaths_fit]]</f>
        <v>709.64291174668108</v>
      </c>
      <c r="O18" s="10">
        <f>'dpc-covid19-ita-andamento-naz'!J12</f>
        <v>414</v>
      </c>
      <c r="P18" s="48">
        <f>Tabella2[[#This Row],[Cum_recov]]-O17</f>
        <v>138</v>
      </c>
      <c r="Q18" s="60">
        <f>Tabella2[[#This Row],[New recovered]]*NOT(ISBLANK(Tabella2[[#This Row],[New recovered]]))</f>
        <v>138</v>
      </c>
      <c r="R18" s="50">
        <f>Kd*EXP(-EXP(-(Tabella2[[#This Row],[Day]]-t0d)/wd))</f>
        <v>551.51154386980943</v>
      </c>
      <c r="S18" s="10">
        <f>Tabella2[[#This Row],[Cum_R_fit]]*EXP(-(Tabella2[[#This Row],[Day]]-t0d)/wd)/wd</f>
        <v>105.02591389800223</v>
      </c>
      <c r="T18" s="60">
        <f>Tabella2[[#This Row],[New_Recovered_fit]]*NOT(ISBLANK(Tabella2[[#This Row],[New recovered]]))</f>
        <v>105.02591389800223</v>
      </c>
      <c r="U18" s="10">
        <f>Tabella2[[#This Row],[New_Recovered_fit]]+CId</f>
        <v>644.59773516087921</v>
      </c>
      <c r="V18" s="10">
        <f>MAX(Tabella2[[#This Row],[New_Recovered_fit]]-CId,0)</f>
        <v>0</v>
      </c>
      <c r="W18" s="10">
        <f>'dpc-covid19-ita-andamento-naz'!K12</f>
        <v>148</v>
      </c>
      <c r="X18" s="26">
        <f>Tabella2[[#This Row],[Cum_deaths]]-W17</f>
        <v>41</v>
      </c>
      <c r="Y18" s="65">
        <f>Tabella2[[#This Row],[New deaths]]*NOT(ISBLANK(Tabella2[[#This Row],[New deaths]]))</f>
        <v>41</v>
      </c>
      <c r="Z18" s="50">
        <f>Kt*EXP(-EXP(-(Tabella2[[#This Row],[Day]]-t0t)/wt))</f>
        <v>68.843865048820206</v>
      </c>
      <c r="AA18" s="10">
        <f>Tabella2[[#This Row],[Cum_D_fit]]*EXP(-(Tabella2[[#This Row],[Day]]-t0t)/wt)/wt</f>
        <v>31.831797536258907</v>
      </c>
      <c r="AB18" s="65">
        <f>Tabella2[[#This Row],[New_Deaths_fit]]*NOT(ISBLANK(Tabella2[[#This Row],[New deaths]]))</f>
        <v>31.831797536258907</v>
      </c>
      <c r="AC18" s="10">
        <f>Tabella2[[#This Row],[New_Deaths_fit]]+CIt</f>
        <v>174.46014104667566</v>
      </c>
      <c r="AD18" s="10">
        <f>MAX(Tabella2[[#This Row],[New_Deaths_fit]]-CIt,0)</f>
        <v>0</v>
      </c>
      <c r="AE18" s="1"/>
      <c r="AF18" s="68" t="s">
        <v>70</v>
      </c>
      <c r="AG18" s="77">
        <f>_xlfn.XLOOKUP(ROUND(t0n,0),Tabella2[Day],Tabella2[Date])</f>
        <v>43915</v>
      </c>
      <c r="AT18" s="94">
        <f>MAX($AG$26)</f>
        <v>0.89674422435729884</v>
      </c>
    </row>
    <row r="19" spans="2:46" x14ac:dyDescent="0.3">
      <c r="B19" s="9">
        <v>43896</v>
      </c>
      <c r="C19" s="4">
        <f t="shared" si="0"/>
        <v>11</v>
      </c>
      <c r="D19" s="10">
        <f>'dpc-covid19-ita-andamento-naz'!L13</f>
        <v>4636</v>
      </c>
      <c r="E19" s="30">
        <f>'dpc-covid19-ita-andamento-naz'!I13</f>
        <v>778</v>
      </c>
      <c r="F19" s="56">
        <f>Tabella2[[#This Row],[New cases]]*NOT(ISBLANK(Tabella2[[#This Row],[New cases]]))</f>
        <v>778</v>
      </c>
      <c r="G19" s="50">
        <f>Kn*EXP(-EXP(-(Tabella2[[#This Row],[Day]]-t0n)/wn))</f>
        <v>3634.425517563388</v>
      </c>
      <c r="H19" s="10">
        <f>Tabella2[[#This Row],[Cum_fit]]*EXP(-(Tabella2[[#This Row],[Day]]-t0n)/wn)/wn</f>
        <v>1067.0817404258862</v>
      </c>
      <c r="I19" s="56">
        <f>Tabella2[[#This Row],[New_cases_fit]]*NOT(ISBLANK(Tabella2[[#This Row],[New cases]]))</f>
        <v>1067.0817404258862</v>
      </c>
      <c r="J19" s="10">
        <f>Tabella2[[#This Row],[New_cases_fit]]+CIn</f>
        <v>2251.1366596137468</v>
      </c>
      <c r="K19" s="10">
        <f>MAX(Tabella2[[#This Row],[New_cases_fit]]-CIn,0)</f>
        <v>0</v>
      </c>
      <c r="L19" s="54">
        <f>'dpc-covid19-ita-andamento-naz'!G13</f>
        <v>3916</v>
      </c>
      <c r="M19" s="54">
        <f>'dpc-covid19-ita-andamento-naz'!H13</f>
        <v>620</v>
      </c>
      <c r="N19" s="54">
        <f>Tabella2[[#This Row],[New_cases_fit]]-Tabella2[[#This Row],[New_Recovered_fit]]-Tabella2[[#This Row],[New_Deaths_fit]]</f>
        <v>898.5566861831104</v>
      </c>
      <c r="O19" s="10">
        <f>'dpc-covid19-ita-andamento-naz'!J13</f>
        <v>523</v>
      </c>
      <c r="P19" s="48">
        <f>Tabella2[[#This Row],[Cum_recov]]-O18</f>
        <v>109</v>
      </c>
      <c r="Q19" s="60">
        <f>Tabella2[[#This Row],[New recovered]]*NOT(ISBLANK(Tabella2[[#This Row],[New recovered]]))</f>
        <v>109</v>
      </c>
      <c r="R19" s="50">
        <f>Kd*EXP(-EXP(-(Tabella2[[#This Row],[Day]]-t0d)/wd))</f>
        <v>665.13007854939519</v>
      </c>
      <c r="S19" s="10">
        <f>Tabella2[[#This Row],[Cum_R_fit]]*EXP(-(Tabella2[[#This Row],[Day]]-t0d)/wd)/wd</f>
        <v>122.54421744035858</v>
      </c>
      <c r="T19" s="60">
        <f>Tabella2[[#This Row],[New_Recovered_fit]]*NOT(ISBLANK(Tabella2[[#This Row],[New recovered]]))</f>
        <v>122.54421744035858</v>
      </c>
      <c r="U19" s="10">
        <f>Tabella2[[#This Row],[New_Recovered_fit]]+CId</f>
        <v>662.11603870323552</v>
      </c>
      <c r="V19" s="10">
        <f>MAX(Tabella2[[#This Row],[New_Recovered_fit]]-CId,0)</f>
        <v>0</v>
      </c>
      <c r="W19" s="10">
        <f>'dpc-covid19-ita-andamento-naz'!K13</f>
        <v>197</v>
      </c>
      <c r="X19" s="26">
        <f>Tabella2[[#This Row],[Cum_deaths]]-W18</f>
        <v>49</v>
      </c>
      <c r="Y19" s="65">
        <f>Tabella2[[#This Row],[New deaths]]*NOT(ISBLANK(Tabella2[[#This Row],[New deaths]]))</f>
        <v>49</v>
      </c>
      <c r="Z19" s="50">
        <f>Kt*EXP(-EXP(-(Tabella2[[#This Row],[Day]]-t0t)/wt))</f>
        <v>107.42757679522762</v>
      </c>
      <c r="AA19" s="10">
        <f>Tabella2[[#This Row],[Cum_D_fit]]*EXP(-(Tabella2[[#This Row],[Day]]-t0t)/wt)/wt</f>
        <v>45.98083680241723</v>
      </c>
      <c r="AB19" s="65">
        <f>Tabella2[[#This Row],[New_Deaths_fit]]*NOT(ISBLANK(Tabella2[[#This Row],[New deaths]]))</f>
        <v>45.98083680241723</v>
      </c>
      <c r="AC19" s="10">
        <f>Tabella2[[#This Row],[New_Deaths_fit]]+CIt</f>
        <v>188.60918031283398</v>
      </c>
      <c r="AD19" s="10">
        <f>MAX(Tabella2[[#This Row],[New_Deaths_fit]]-CIt,0)</f>
        <v>0</v>
      </c>
      <c r="AE19" s="1"/>
      <c r="AF19" s="59" t="s">
        <v>81</v>
      </c>
      <c r="AG19" s="75" t="s">
        <v>95</v>
      </c>
      <c r="AT19" s="95">
        <f>COUNT($AG$20,$AG$21,$AG$22)</f>
        <v>3</v>
      </c>
    </row>
    <row r="20" spans="2:46" x14ac:dyDescent="0.3">
      <c r="B20" s="9">
        <v>43897</v>
      </c>
      <c r="C20" s="4">
        <f t="shared" si="0"/>
        <v>12</v>
      </c>
      <c r="D20" s="10">
        <f>'dpc-covid19-ita-andamento-naz'!L14</f>
        <v>5883</v>
      </c>
      <c r="E20" s="30">
        <f>'dpc-covid19-ita-andamento-naz'!I14</f>
        <v>1247</v>
      </c>
      <c r="F20" s="56">
        <f>Tabella2[[#This Row],[New cases]]*NOT(ISBLANK(Tabella2[[#This Row],[New cases]]))</f>
        <v>1247</v>
      </c>
      <c r="G20" s="50">
        <f>Kn*EXP(-EXP(-(Tabella2[[#This Row],[Day]]-t0n)/wn))</f>
        <v>4823.9457290044629</v>
      </c>
      <c r="H20" s="10">
        <f>Tabella2[[#This Row],[Cum_fit]]*EXP(-(Tabella2[[#This Row],[Day]]-t0n)/wn)/wn</f>
        <v>1316.5990761749904</v>
      </c>
      <c r="I20" s="56">
        <f>Tabella2[[#This Row],[New_cases_fit]]*NOT(ISBLANK(Tabella2[[#This Row],[New cases]]))</f>
        <v>1316.5990761749904</v>
      </c>
      <c r="J20" s="10">
        <f>Tabella2[[#This Row],[New_cases_fit]]+CIn</f>
        <v>2500.6539953628508</v>
      </c>
      <c r="K20" s="10">
        <f>MAX(Tabella2[[#This Row],[New_cases_fit]]-CIn,0)</f>
        <v>132.54415698712978</v>
      </c>
      <c r="L20" s="54">
        <f>'dpc-covid19-ita-andamento-naz'!G14</f>
        <v>5061</v>
      </c>
      <c r="M20" s="54">
        <f>'dpc-covid19-ita-andamento-naz'!H14</f>
        <v>1145</v>
      </c>
      <c r="N20" s="54">
        <f>Tabella2[[#This Row],[New_cases_fit]]-Tabella2[[#This Row],[New_Recovered_fit]]-Tabella2[[#This Row],[New_Deaths_fit]]</f>
        <v>1110.224023114281</v>
      </c>
      <c r="O20" s="10">
        <f>'dpc-covid19-ita-andamento-naz'!J14</f>
        <v>589</v>
      </c>
      <c r="P20" s="48">
        <f>Tabella2[[#This Row],[Cum_recov]]-O19</f>
        <v>66</v>
      </c>
      <c r="Q20" s="60">
        <f>Tabella2[[#This Row],[New recovered]]*NOT(ISBLANK(Tabella2[[#This Row],[New recovered]]))</f>
        <v>66</v>
      </c>
      <c r="R20" s="50">
        <f>Kd*EXP(-EXP(-(Tabella2[[#This Row],[Day]]-t0d)/wd))</f>
        <v>797.28470556597097</v>
      </c>
      <c r="S20" s="10">
        <f>Tabella2[[#This Row],[Cum_R_fit]]*EXP(-(Tabella2[[#This Row],[Day]]-t0d)/wd)/wd</f>
        <v>142.11634859459738</v>
      </c>
      <c r="T20" s="60">
        <f>Tabella2[[#This Row],[New_Recovered_fit]]*NOT(ISBLANK(Tabella2[[#This Row],[New recovered]]))</f>
        <v>142.11634859459738</v>
      </c>
      <c r="U20" s="10">
        <f>Tabella2[[#This Row],[New_Recovered_fit]]+CId</f>
        <v>681.68816985747435</v>
      </c>
      <c r="V20" s="10">
        <f>MAX(Tabella2[[#This Row],[New_Recovered_fit]]-CId,0)</f>
        <v>0</v>
      </c>
      <c r="W20" s="10">
        <f>'dpc-covid19-ita-andamento-naz'!K14</f>
        <v>233</v>
      </c>
      <c r="X20" s="26">
        <f>Tabella2[[#This Row],[Cum_deaths]]-W19</f>
        <v>36</v>
      </c>
      <c r="Y20" s="65">
        <f>Tabella2[[#This Row],[New deaths]]*NOT(ISBLANK(Tabella2[[#This Row],[New deaths]]))</f>
        <v>36</v>
      </c>
      <c r="Z20" s="50">
        <f>Kt*EXP(-EXP(-(Tabella2[[#This Row],[Day]]-t0t)/wt))</f>
        <v>162.18313925623218</v>
      </c>
      <c r="AA20" s="10">
        <f>Tabella2[[#This Row],[Cum_D_fit]]*EXP(-(Tabella2[[#This Row],[Day]]-t0t)/wt)/wt</f>
        <v>64.25870446611205</v>
      </c>
      <c r="AB20" s="65">
        <f>Tabella2[[#This Row],[New_Deaths_fit]]*NOT(ISBLANK(Tabella2[[#This Row],[New deaths]]))</f>
        <v>64.25870446611205</v>
      </c>
      <c r="AC20" s="10">
        <f>Tabella2[[#This Row],[New_Deaths_fit]]+CIt</f>
        <v>206.88704797652881</v>
      </c>
      <c r="AD20" s="10">
        <f>MAX(Tabella2[[#This Row],[New_Deaths_fit]]-CIt,0)</f>
        <v>0</v>
      </c>
      <c r="AE20" s="1"/>
      <c r="AF20" s="124" t="s">
        <v>0</v>
      </c>
      <c r="AG20" s="125">
        <f>Kr</f>
        <v>175210.61070304521</v>
      </c>
      <c r="AT20" s="95">
        <f>{32767;32767;0.000001;0;FALSE;FALSE;TRUE;1;1;1;0.0001;TRUE}</f>
        <v>32767</v>
      </c>
    </row>
    <row r="21" spans="2:46" ht="15.6" x14ac:dyDescent="0.35">
      <c r="B21" s="22">
        <v>43898</v>
      </c>
      <c r="C21" s="4">
        <f t="shared" si="0"/>
        <v>13</v>
      </c>
      <c r="D21" s="10">
        <f>'dpc-covid19-ita-andamento-naz'!L15</f>
        <v>7375</v>
      </c>
      <c r="E21" s="30">
        <f>'dpc-covid19-ita-andamento-naz'!I15</f>
        <v>1492</v>
      </c>
      <c r="F21" s="56">
        <f>Tabella2[[#This Row],[New cases]]*NOT(ISBLANK(Tabella2[[#This Row],[New cases]]))</f>
        <v>1492</v>
      </c>
      <c r="G21" s="50">
        <f>Kn*EXP(-EXP(-(Tabella2[[#This Row],[Day]]-t0n)/wn))</f>
        <v>6276.3967146554278</v>
      </c>
      <c r="H21" s="10">
        <f>Tabella2[[#This Row],[Cum_fit]]*EXP(-(Tabella2[[#This Row],[Day]]-t0n)/wn)/wn</f>
        <v>1592.3947483089371</v>
      </c>
      <c r="I21" s="56">
        <f>Tabella2[[#This Row],[New_cases_fit]]*NOT(ISBLANK(Tabella2[[#This Row],[New cases]]))</f>
        <v>1592.3947483089371</v>
      </c>
      <c r="J21" s="10">
        <f>Tabella2[[#This Row],[New_cases_fit]]+CIn</f>
        <v>2776.4496674967977</v>
      </c>
      <c r="K21" s="10">
        <f>MAX(Tabella2[[#This Row],[New_cases_fit]]-CIn,0)</f>
        <v>408.33982912107649</v>
      </c>
      <c r="L21" s="54">
        <f>'dpc-covid19-ita-andamento-naz'!G15</f>
        <v>6387</v>
      </c>
      <c r="M21" s="54">
        <f>'dpc-covid19-ita-andamento-naz'!H15</f>
        <v>1326</v>
      </c>
      <c r="N21" s="54">
        <f>Tabella2[[#This Row],[New_cases_fit]]-Tabella2[[#This Row],[New_Recovered_fit]]-Tabella2[[#This Row],[New_Deaths_fit]]</f>
        <v>1341.4535657472397</v>
      </c>
      <c r="O21" s="10">
        <f>'dpc-covid19-ita-andamento-naz'!J15</f>
        <v>622</v>
      </c>
      <c r="P21" s="48">
        <f>Tabella2[[#This Row],[Cum_recov]]-O20</f>
        <v>33</v>
      </c>
      <c r="Q21" s="60">
        <f>Tabella2[[#This Row],[New recovered]]*NOT(ISBLANK(Tabella2[[#This Row],[New recovered]]))</f>
        <v>33</v>
      </c>
      <c r="R21" s="50">
        <f>Kd*EXP(-EXP(-(Tabella2[[#This Row],[Day]]-t0d)/wd))</f>
        <v>950.08212710664395</v>
      </c>
      <c r="S21" s="10">
        <f>Tabella2[[#This Row],[Cum_R_fit]]*EXP(-(Tabella2[[#This Row],[Day]]-t0d)/wd)/wd</f>
        <v>163.84610760272653</v>
      </c>
      <c r="T21" s="60">
        <f>Tabella2[[#This Row],[New_Recovered_fit]]*NOT(ISBLANK(Tabella2[[#This Row],[New recovered]]))</f>
        <v>163.84610760272653</v>
      </c>
      <c r="U21" s="10">
        <f>Tabella2[[#This Row],[New_Recovered_fit]]+CId</f>
        <v>703.41792886560347</v>
      </c>
      <c r="V21" s="10">
        <f>MAX(Tabella2[[#This Row],[New_Recovered_fit]]-CId,0)</f>
        <v>0</v>
      </c>
      <c r="W21" s="10">
        <f>'dpc-covid19-ita-andamento-naz'!K15</f>
        <v>366</v>
      </c>
      <c r="X21" s="26">
        <f>Tabella2[[#This Row],[Cum_deaths]]-W20</f>
        <v>133</v>
      </c>
      <c r="Y21" s="65">
        <f>Tabella2[[#This Row],[New deaths]]*NOT(ISBLANK(Tabella2[[#This Row],[New deaths]]))</f>
        <v>133</v>
      </c>
      <c r="Z21" s="50">
        <f>Kt*EXP(-EXP(-(Tabella2[[#This Row],[Day]]-t0t)/wt))</f>
        <v>237.46639679386632</v>
      </c>
      <c r="AA21" s="10">
        <f>Tabella2[[#This Row],[Cum_D_fit]]*EXP(-(Tabella2[[#This Row],[Day]]-t0t)/wt)/wt</f>
        <v>87.095074958970727</v>
      </c>
      <c r="AB21" s="65">
        <f>Tabella2[[#This Row],[New_Deaths_fit]]*NOT(ISBLANK(Tabella2[[#This Row],[New deaths]]))</f>
        <v>87.095074958970727</v>
      </c>
      <c r="AC21" s="10">
        <f>Tabella2[[#This Row],[New_Deaths_fit]]+CIt</f>
        <v>229.72341846938747</v>
      </c>
      <c r="AD21" s="10">
        <f>MAX(Tabella2[[#This Row],[New_Deaths_fit]]-CIt,0)</f>
        <v>0</v>
      </c>
      <c r="AE21" s="1"/>
      <c r="AF21" s="124" t="s">
        <v>112</v>
      </c>
      <c r="AG21" s="126">
        <f>t0r</f>
        <v>62.976020259755963</v>
      </c>
      <c r="AT21" s="95">
        <f>{0;0;1;100;0;FALSE;TRUE;0.075;0;0;FALSE;30}</f>
        <v>0</v>
      </c>
    </row>
    <row r="22" spans="2:46" x14ac:dyDescent="0.3">
      <c r="B22" s="9">
        <v>43899</v>
      </c>
      <c r="C22" s="4">
        <f t="shared" si="0"/>
        <v>14</v>
      </c>
      <c r="D22" s="10">
        <f>'dpc-covid19-ita-andamento-naz'!L16</f>
        <v>9172</v>
      </c>
      <c r="E22" s="30">
        <f>'dpc-covid19-ita-andamento-naz'!I16</f>
        <v>1797</v>
      </c>
      <c r="F22" s="56">
        <f>Tabella2[[#This Row],[New cases]]*NOT(ISBLANK(Tabella2[[#This Row],[New cases]]))</f>
        <v>1797</v>
      </c>
      <c r="G22" s="50">
        <f>Kn*EXP(-EXP(-(Tabella2[[#This Row],[Day]]-t0n)/wn))</f>
        <v>8016.2156255800492</v>
      </c>
      <c r="H22" s="10">
        <f>Tabella2[[#This Row],[Cum_fit]]*EXP(-(Tabella2[[#This Row],[Day]]-t0n)/wn)/wn</f>
        <v>1890.5969730845879</v>
      </c>
      <c r="I22" s="56">
        <f>Tabella2[[#This Row],[New_cases_fit]]*NOT(ISBLANK(Tabella2[[#This Row],[New cases]]))</f>
        <v>1890.5969730845879</v>
      </c>
      <c r="J22" s="10">
        <f>Tabella2[[#This Row],[New_cases_fit]]+CIn</f>
        <v>3074.6518922724485</v>
      </c>
      <c r="K22" s="10">
        <f>MAX(Tabella2[[#This Row],[New_cases_fit]]-CIn,0)</f>
        <v>706.54205389672734</v>
      </c>
      <c r="L22" s="54">
        <f>'dpc-covid19-ita-andamento-naz'!G16</f>
        <v>7985</v>
      </c>
      <c r="M22" s="54">
        <f>'dpc-covid19-ita-andamento-naz'!H16</f>
        <v>1598</v>
      </c>
      <c r="N22" s="54">
        <f>Tabella2[[#This Row],[New_cases_fit]]-Tabella2[[#This Row],[New_Recovered_fit]]-Tabella2[[#This Row],[New_Deaths_fit]]</f>
        <v>1588.0232630837438</v>
      </c>
      <c r="O22" s="10">
        <f>'dpc-covid19-ita-andamento-naz'!J16</f>
        <v>724</v>
      </c>
      <c r="P22" s="48">
        <f>Tabella2[[#This Row],[Cum_recov]]-O21</f>
        <v>102</v>
      </c>
      <c r="Q22" s="60">
        <f>Tabella2[[#This Row],[New recovered]]*NOT(ISBLANK(Tabella2[[#This Row],[New recovered]]))</f>
        <v>102</v>
      </c>
      <c r="R22" s="50">
        <f>Kd*EXP(-EXP(-(Tabella2[[#This Row],[Day]]-t0d)/wd))</f>
        <v>1125.7266381314669</v>
      </c>
      <c r="S22" s="10">
        <f>Tabella2[[#This Row],[Cum_R_fit]]*EXP(-(Tabella2[[#This Row],[Day]]-t0d)/wd)/wd</f>
        <v>187.82452361828987</v>
      </c>
      <c r="T22" s="60">
        <f>Tabella2[[#This Row],[New_Recovered_fit]]*NOT(ISBLANK(Tabella2[[#This Row],[New recovered]]))</f>
        <v>187.82452361828987</v>
      </c>
      <c r="U22" s="10">
        <f>Tabella2[[#This Row],[New_Recovered_fit]]+CId</f>
        <v>727.39634488116678</v>
      </c>
      <c r="V22" s="10">
        <f>MAX(Tabella2[[#This Row],[New_Recovered_fit]]-CId,0)</f>
        <v>0</v>
      </c>
      <c r="W22" s="10">
        <f>'dpc-covid19-ita-andamento-naz'!K16</f>
        <v>463</v>
      </c>
      <c r="X22" s="26">
        <f>Tabella2[[#This Row],[Cum_deaths]]-W21</f>
        <v>97</v>
      </c>
      <c r="Y22" s="65">
        <f>Tabella2[[#This Row],[New deaths]]*NOT(ISBLANK(Tabella2[[#This Row],[New deaths]]))</f>
        <v>97</v>
      </c>
      <c r="Z22" s="50">
        <f>Kt*EXP(-EXP(-(Tabella2[[#This Row],[Day]]-t0t)/wt))</f>
        <v>337.98156165544094</v>
      </c>
      <c r="AA22" s="10">
        <f>Tabella2[[#This Row],[Cum_D_fit]]*EXP(-(Tabella2[[#This Row],[Day]]-t0t)/wt)/wt</f>
        <v>114.74918638255416</v>
      </c>
      <c r="AB22" s="65">
        <f>Tabella2[[#This Row],[New_Deaths_fit]]*NOT(ISBLANK(Tabella2[[#This Row],[New deaths]]))</f>
        <v>114.74918638255416</v>
      </c>
      <c r="AC22" s="10">
        <f>Tabella2[[#This Row],[New_Deaths_fit]]+CIt</f>
        <v>257.37752989297093</v>
      </c>
      <c r="AD22" s="10">
        <f>MAX(Tabella2[[#This Row],[New_Deaths_fit]]-CIt,0)</f>
        <v>0</v>
      </c>
      <c r="AE22" s="1"/>
      <c r="AF22" s="124" t="s">
        <v>1</v>
      </c>
      <c r="AG22" s="126">
        <f>wr</f>
        <v>30.252560496268416</v>
      </c>
      <c r="AT22" s="95">
        <f>{32767;32767;0.000001;0;FALSE;FALSE;FALSE;1;2;1;0.0001;TRUE}</f>
        <v>32767</v>
      </c>
    </row>
    <row r="23" spans="2:46" ht="15" thickBot="1" x14ac:dyDescent="0.35">
      <c r="B23" s="22">
        <v>43900</v>
      </c>
      <c r="C23" s="4">
        <f t="shared" si="0"/>
        <v>15</v>
      </c>
      <c r="D23" s="10">
        <f>'dpc-covid19-ita-andamento-naz'!L17</f>
        <v>10149</v>
      </c>
      <c r="E23" s="30">
        <f>'dpc-covid19-ita-andamento-naz'!I17</f>
        <v>977</v>
      </c>
      <c r="F23" s="56">
        <f>Tabella2[[#This Row],[New cases]]*NOT(ISBLANK(Tabella2[[#This Row],[New cases]]))</f>
        <v>977</v>
      </c>
      <c r="G23" s="50">
        <f>Kn*EXP(-EXP(-(Tabella2[[#This Row],[Day]]-t0n)/wn))</f>
        <v>10063.433755753209</v>
      </c>
      <c r="H23" s="10">
        <f>Tabella2[[#This Row],[Cum_fit]]*EXP(-(Tabella2[[#This Row],[Day]]-t0n)/wn)/wn</f>
        <v>2206.3020937589085</v>
      </c>
      <c r="I23" s="56">
        <f>Tabella2[[#This Row],[New_cases_fit]]*NOT(ISBLANK(Tabella2[[#This Row],[New cases]]))</f>
        <v>2206.3020937589085</v>
      </c>
      <c r="J23" s="10">
        <f>Tabella2[[#This Row],[New_cases_fit]]+CIn</f>
        <v>3390.3570129467689</v>
      </c>
      <c r="K23" s="10">
        <f>MAX(Tabella2[[#This Row],[New_cases_fit]]-CIn,0)</f>
        <v>1022.2471745710479</v>
      </c>
      <c r="L23" s="54">
        <f>'dpc-covid19-ita-andamento-naz'!G17</f>
        <v>8514</v>
      </c>
      <c r="M23" s="54">
        <f>'dpc-covid19-ita-andamento-naz'!H17</f>
        <v>529</v>
      </c>
      <c r="N23" s="54">
        <f>Tabella2[[#This Row],[New_cases_fit]]-Tabella2[[#This Row],[New_Recovered_fit]]-Tabella2[[#This Row],[New_Deaths_fit]]</f>
        <v>1844.9042394276082</v>
      </c>
      <c r="O23" s="10">
        <f>'dpc-covid19-ita-andamento-naz'!J17</f>
        <v>1004</v>
      </c>
      <c r="P23" s="48">
        <f>Tabella2[[#This Row],[Cum_recov]]-O22</f>
        <v>280</v>
      </c>
      <c r="Q23" s="60">
        <f>Tabella2[[#This Row],[New recovered]]*NOT(ISBLANK(Tabella2[[#This Row],[New recovered]]))</f>
        <v>280</v>
      </c>
      <c r="R23" s="50">
        <f>Kd*EXP(-EXP(-(Tabella2[[#This Row],[Day]]-t0d)/wd))</f>
        <v>1326.5063123321288</v>
      </c>
      <c r="S23" s="10">
        <f>Tabella2[[#This Row],[Cum_R_fit]]*EXP(-(Tabella2[[#This Row],[Day]]-t0d)/wd)/wd</f>
        <v>214.12779595506279</v>
      </c>
      <c r="T23" s="60">
        <f>Tabella2[[#This Row],[New_Recovered_fit]]*NOT(ISBLANK(Tabella2[[#This Row],[New recovered]]))</f>
        <v>214.12779595506279</v>
      </c>
      <c r="U23" s="10">
        <f>Tabella2[[#This Row],[New_Recovered_fit]]+CId</f>
        <v>753.6996172179397</v>
      </c>
      <c r="V23" s="10">
        <f>MAX(Tabella2[[#This Row],[New_Recovered_fit]]-CId,0)</f>
        <v>0</v>
      </c>
      <c r="W23" s="10">
        <f>'dpc-covid19-ita-andamento-naz'!K17</f>
        <v>631</v>
      </c>
      <c r="X23" s="26">
        <f>Tabella2[[#This Row],[Cum_deaths]]-W22</f>
        <v>168</v>
      </c>
      <c r="Y23" s="65">
        <f>Tabella2[[#This Row],[New deaths]]*NOT(ISBLANK(Tabella2[[#This Row],[New deaths]]))</f>
        <v>168</v>
      </c>
      <c r="Z23" s="50">
        <f>Kt*EXP(-EXP(-(Tabella2[[#This Row],[Day]]-t0t)/wt))</f>
        <v>468.58963776790205</v>
      </c>
      <c r="AA23" s="10">
        <f>Tabella2[[#This Row],[Cum_D_fit]]*EXP(-(Tabella2[[#This Row],[Day]]-t0t)/wt)/wt</f>
        <v>147.2700583762375</v>
      </c>
      <c r="AB23" s="65">
        <f>Tabella2[[#This Row],[New_Deaths_fit]]*NOT(ISBLANK(Tabella2[[#This Row],[New deaths]]))</f>
        <v>147.2700583762375</v>
      </c>
      <c r="AC23" s="10">
        <f>Tabella2[[#This Row],[New_Deaths_fit]]+CIt</f>
        <v>289.89840188665426</v>
      </c>
      <c r="AD23" s="10">
        <f>MAX(Tabella2[[#This Row],[New_Deaths_fit]]-CIt,0)</f>
        <v>4.6417148658207452</v>
      </c>
      <c r="AE23" s="1"/>
      <c r="AF23" s="127" t="s">
        <v>2</v>
      </c>
      <c r="AG23" s="128">
        <f>AVERAGE(Tabella2[New recovered])</f>
        <v>723.14285714285711</v>
      </c>
      <c r="AT23" s="96">
        <f>{0;0;1;100;0;FALSE;FALSE;0.075;0;0;FALSE;30}</f>
        <v>0</v>
      </c>
    </row>
    <row r="24" spans="2:46" x14ac:dyDescent="0.3">
      <c r="B24" s="9">
        <v>43901</v>
      </c>
      <c r="C24" s="4">
        <f t="shared" si="0"/>
        <v>16</v>
      </c>
      <c r="D24" s="10">
        <f>'dpc-covid19-ita-andamento-naz'!L18</f>
        <v>12462</v>
      </c>
      <c r="E24" s="30">
        <f>'dpc-covid19-ita-andamento-naz'!I18</f>
        <v>2313</v>
      </c>
      <c r="F24" s="56">
        <f>Tabella2[[#This Row],[New cases]]*NOT(ISBLANK(Tabella2[[#This Row],[New cases]]))</f>
        <v>2313</v>
      </c>
      <c r="G24" s="50">
        <f>Kn*EXP(-EXP(-(Tabella2[[#This Row],[Day]]-t0n)/wn))</f>
        <v>12432.76281288702</v>
      </c>
      <c r="H24" s="10">
        <f>Tabella2[[#This Row],[Cum_fit]]*EXP(-(Tabella2[[#This Row],[Day]]-t0n)/wn)/wn</f>
        <v>2533.8193642527394</v>
      </c>
      <c r="I24" s="56">
        <f>Tabella2[[#This Row],[New_cases_fit]]*NOT(ISBLANK(Tabella2[[#This Row],[New cases]]))</f>
        <v>2533.8193642527394</v>
      </c>
      <c r="J24" s="10">
        <f>Tabella2[[#This Row],[New_cases_fit]]+CIn</f>
        <v>3717.8742834406003</v>
      </c>
      <c r="K24" s="10">
        <f>MAX(Tabella2[[#This Row],[New_cases_fit]]-CIn,0)</f>
        <v>1349.7644450648788</v>
      </c>
      <c r="L24" s="54">
        <f>'dpc-covid19-ita-andamento-naz'!G18</f>
        <v>10590</v>
      </c>
      <c r="M24" s="54">
        <f>'dpc-covid19-ita-andamento-naz'!H18</f>
        <v>2076</v>
      </c>
      <c r="N24" s="54">
        <f>Tabella2[[#This Row],[New_cases_fit]]-Tabella2[[#This Row],[New_Recovered_fit]]-Tabella2[[#This Row],[New_Deaths_fit]]</f>
        <v>2106.5301745894994</v>
      </c>
      <c r="O24" s="10">
        <f>'dpc-covid19-ita-andamento-naz'!J18</f>
        <v>1045</v>
      </c>
      <c r="P24" s="48">
        <f>Tabella2[[#This Row],[Cum_recov]]-O23</f>
        <v>41</v>
      </c>
      <c r="Q24" s="60">
        <f>Tabella2[[#This Row],[New recovered]]*NOT(ISBLANK(Tabella2[[#This Row],[New recovered]]))</f>
        <v>41</v>
      </c>
      <c r="R24" s="50">
        <f>Kd*EXP(-EXP(-(Tabella2[[#This Row],[Day]]-t0d)/wd))</f>
        <v>1554.7772188436115</v>
      </c>
      <c r="S24" s="10">
        <f>Tabella2[[#This Row],[Cum_R_fit]]*EXP(-(Tabella2[[#This Row],[Day]]-t0d)/wd)/wd</f>
        <v>242.81542221521863</v>
      </c>
      <c r="T24" s="60">
        <f>Tabella2[[#This Row],[New_Recovered_fit]]*NOT(ISBLANK(Tabella2[[#This Row],[New recovered]]))</f>
        <v>242.81542221521863</v>
      </c>
      <c r="U24" s="10">
        <f>Tabella2[[#This Row],[New_Recovered_fit]]+CId</f>
        <v>782.38724347809557</v>
      </c>
      <c r="V24" s="10">
        <f>MAX(Tabella2[[#This Row],[New_Recovered_fit]]-CId,0)</f>
        <v>0</v>
      </c>
      <c r="W24" s="10">
        <f>'dpc-covid19-ita-andamento-naz'!K18</f>
        <v>827</v>
      </c>
      <c r="X24" s="26">
        <f>Tabella2[[#This Row],[Cum_deaths]]-W23</f>
        <v>196</v>
      </c>
      <c r="Y24" s="65">
        <f>Tabella2[[#This Row],[New deaths]]*NOT(ISBLANK(Tabella2[[#This Row],[New deaths]]))</f>
        <v>196</v>
      </c>
      <c r="Z24" s="50">
        <f>Kt*EXP(-EXP(-(Tabella2[[#This Row],[Day]]-t0t)/wt))</f>
        <v>634.08527368116449</v>
      </c>
      <c r="AA24" s="10">
        <f>Tabella2[[#This Row],[Cum_D_fit]]*EXP(-(Tabella2[[#This Row],[Day]]-t0t)/wt)/wt</f>
        <v>184.47376744802105</v>
      </c>
      <c r="AB24" s="65">
        <f>Tabella2[[#This Row],[New_Deaths_fit]]*NOT(ISBLANK(Tabella2[[#This Row],[New deaths]]))</f>
        <v>184.47376744802105</v>
      </c>
      <c r="AC24" s="10">
        <f>Tabella2[[#This Row],[New_Deaths_fit]]+CIt</f>
        <v>327.10211095843783</v>
      </c>
      <c r="AD24" s="10">
        <f>MAX(Tabella2[[#This Row],[New_Deaths_fit]]-CIt,0)</f>
        <v>41.845423937604295</v>
      </c>
      <c r="AE24" s="1"/>
      <c r="AF24" s="127" t="s">
        <v>3</v>
      </c>
      <c r="AG24" s="128">
        <f>COUNT(Tabella2[New recovered])-COUNT(AG20:AG22)</f>
        <v>46</v>
      </c>
      <c r="AT24" s="121" t="s">
        <v>98</v>
      </c>
    </row>
    <row r="25" spans="2:46" x14ac:dyDescent="0.3">
      <c r="B25" s="22">
        <v>43902</v>
      </c>
      <c r="C25" s="4">
        <f t="shared" si="0"/>
        <v>17</v>
      </c>
      <c r="D25" s="10">
        <f>'dpc-covid19-ita-andamento-naz'!L19</f>
        <v>15113</v>
      </c>
      <c r="E25" s="30">
        <f>'dpc-covid19-ita-andamento-naz'!I19</f>
        <v>2651</v>
      </c>
      <c r="F25" s="56">
        <f>Tabella2[[#This Row],[New cases]]*NOT(ISBLANK(Tabella2[[#This Row],[New cases]]))</f>
        <v>2651</v>
      </c>
      <c r="G25" s="50">
        <f>Kn*EXP(-EXP(-(Tabella2[[#This Row],[Day]]-t0n)/wn))</f>
        <v>15132.94726154727</v>
      </c>
      <c r="H25" s="10">
        <f>Tabella2[[#This Row],[Cum_fit]]*EXP(-(Tabella2[[#This Row],[Day]]-t0n)/wn)/wn</f>
        <v>2866.9540895321479</v>
      </c>
      <c r="I25" s="56">
        <f>Tabella2[[#This Row],[New_cases_fit]]*NOT(ISBLANK(Tabella2[[#This Row],[New cases]]))</f>
        <v>2866.9540895321479</v>
      </c>
      <c r="J25" s="10">
        <f>Tabella2[[#This Row],[New_cases_fit]]+CIn</f>
        <v>4051.0090087200088</v>
      </c>
      <c r="K25" s="10">
        <f>MAX(Tabella2[[#This Row],[New_cases_fit]]-CIn,0)</f>
        <v>1682.8991703442873</v>
      </c>
      <c r="L25" s="54">
        <f>'dpc-covid19-ita-andamento-naz'!G19</f>
        <v>12839</v>
      </c>
      <c r="M25" s="54">
        <f>'dpc-covid19-ita-andamento-naz'!H19</f>
        <v>2249</v>
      </c>
      <c r="N25" s="54">
        <f>Tabella2[[#This Row],[New_cases_fit]]-Tabella2[[#This Row],[New_Recovered_fit]]-Tabella2[[#This Row],[New_Deaths_fit]]</f>
        <v>2367.0852456219586</v>
      </c>
      <c r="O25" s="10">
        <f>'dpc-covid19-ita-andamento-naz'!J19</f>
        <v>1258</v>
      </c>
      <c r="P25" s="48">
        <f>Tabella2[[#This Row],[Cum_recov]]-O24</f>
        <v>213</v>
      </c>
      <c r="Q25" s="60">
        <f>Tabella2[[#This Row],[New recovered]]*NOT(ISBLANK(Tabella2[[#This Row],[New recovered]]))</f>
        <v>213</v>
      </c>
      <c r="R25" s="50">
        <f>Kd*EXP(-EXP(-(Tabella2[[#This Row],[Day]]-t0d)/wd))</f>
        <v>1812.9458792824801</v>
      </c>
      <c r="S25" s="10">
        <f>Tabella2[[#This Row],[Cum_R_fit]]*EXP(-(Tabella2[[#This Row],[Day]]-t0d)/wd)/wd</f>
        <v>273.92855772356529</v>
      </c>
      <c r="T25" s="60">
        <f>Tabella2[[#This Row],[New_Recovered_fit]]*NOT(ISBLANK(Tabella2[[#This Row],[New recovered]]))</f>
        <v>273.92855772356529</v>
      </c>
      <c r="U25" s="10">
        <f>Tabella2[[#This Row],[New_Recovered_fit]]+CId</f>
        <v>813.50037898644223</v>
      </c>
      <c r="V25" s="10">
        <f>MAX(Tabella2[[#This Row],[New_Recovered_fit]]-CId,0)</f>
        <v>0</v>
      </c>
      <c r="W25" s="10">
        <f>'dpc-covid19-ita-andamento-naz'!K19</f>
        <v>1016</v>
      </c>
      <c r="X25" s="26">
        <f>Tabella2[[#This Row],[Cum_deaths]]-W24</f>
        <v>189</v>
      </c>
      <c r="Y25" s="65">
        <f>Tabella2[[#This Row],[New deaths]]*NOT(ISBLANK(Tabella2[[#This Row],[New deaths]]))</f>
        <v>189</v>
      </c>
      <c r="Z25" s="50">
        <f>Kt*EXP(-EXP(-(Tabella2[[#This Row],[Day]]-t0t)/wt))</f>
        <v>838.96057450976843</v>
      </c>
      <c r="AA25" s="10">
        <f>Tabella2[[#This Row],[Cum_D_fit]]*EXP(-(Tabella2[[#This Row],[Day]]-t0t)/wt)/wt</f>
        <v>225.94028618662404</v>
      </c>
      <c r="AB25" s="65">
        <f>Tabella2[[#This Row],[New_Deaths_fit]]*NOT(ISBLANK(Tabella2[[#This Row],[New deaths]]))</f>
        <v>225.94028618662404</v>
      </c>
      <c r="AC25" s="10">
        <f>Tabella2[[#This Row],[New_Deaths_fit]]+CIt</f>
        <v>368.56862969704082</v>
      </c>
      <c r="AD25" s="10">
        <f>MAX(Tabella2[[#This Row],[New_Deaths_fit]]-CIt,0)</f>
        <v>83.311942676207281</v>
      </c>
      <c r="AE25" s="1"/>
      <c r="AF25" s="127" t="s">
        <v>4</v>
      </c>
      <c r="AG25" s="129" cm="1">
        <f t="array" ref="AG25">SQRT(SUM((Tabella2[Colonna3]-Tabella2[Colonna4])^2)/dfd)</f>
        <v>268.05752943795591</v>
      </c>
      <c r="AT25" s="122"/>
    </row>
    <row r="26" spans="2:46" ht="16.2" x14ac:dyDescent="0.3">
      <c r="B26" s="9">
        <v>43903</v>
      </c>
      <c r="C26" s="4">
        <f t="shared" si="0"/>
        <v>18</v>
      </c>
      <c r="D26" s="10">
        <f>'dpc-covid19-ita-andamento-naz'!L20</f>
        <v>17660</v>
      </c>
      <c r="E26" s="30">
        <f>'dpc-covid19-ita-andamento-naz'!I20</f>
        <v>2547</v>
      </c>
      <c r="F26" s="56">
        <f>Tabella2[[#This Row],[New cases]]*NOT(ISBLANK(Tabella2[[#This Row],[New cases]]))</f>
        <v>2547</v>
      </c>
      <c r="G26" s="50">
        <f>Kn*EXP(-EXP(-(Tabella2[[#This Row],[Day]]-t0n)/wn))</f>
        <v>18166.408477388894</v>
      </c>
      <c r="H26" s="10">
        <f>Tabella2[[#This Row],[Cum_fit]]*EXP(-(Tabella2[[#This Row],[Day]]-t0n)/wn)/wn</f>
        <v>3199.3040250723498</v>
      </c>
      <c r="I26" s="56">
        <f>Tabella2[[#This Row],[New_cases_fit]]*NOT(ISBLANK(Tabella2[[#This Row],[New cases]]))</f>
        <v>3199.3040250723498</v>
      </c>
      <c r="J26" s="10">
        <f>Tabella2[[#This Row],[New_cases_fit]]+CIn</f>
        <v>4383.3589442602106</v>
      </c>
      <c r="K26" s="10">
        <f>MAX(Tabella2[[#This Row],[New_cases_fit]]-CIn,0)</f>
        <v>2015.2491058844892</v>
      </c>
      <c r="L26" s="54">
        <f>'dpc-covid19-ita-andamento-naz'!G20</f>
        <v>14955</v>
      </c>
      <c r="M26" s="54">
        <f>'dpc-covid19-ita-andamento-naz'!H20</f>
        <v>2116</v>
      </c>
      <c r="N26" s="54">
        <f>Tabella2[[#This Row],[New_cases_fit]]-Tabella2[[#This Row],[New_Recovered_fit]]-Tabella2[[#This Row],[New_Deaths_fit]]</f>
        <v>2620.7856171104049</v>
      </c>
      <c r="O26" s="10">
        <f>'dpc-covid19-ita-andamento-naz'!J20</f>
        <v>1439</v>
      </c>
      <c r="P26" s="48">
        <f>Tabella2[[#This Row],[Cum_recov]]-O25</f>
        <v>181</v>
      </c>
      <c r="Q26" s="60">
        <f>Tabella2[[#This Row],[New recovered]]*NOT(ISBLANK(Tabella2[[#This Row],[New recovered]]))</f>
        <v>181</v>
      </c>
      <c r="R26" s="50">
        <f>Kd*EXP(-EXP(-(Tabella2[[#This Row],[Day]]-t0d)/wd))</f>
        <v>2103.4502160246079</v>
      </c>
      <c r="S26" s="10">
        <f>Tabella2[[#This Row],[Cum_R_fit]]*EXP(-(Tabella2[[#This Row],[Day]]-t0d)/wd)/wd</f>
        <v>307.48864432696405</v>
      </c>
      <c r="T26" s="60">
        <f>Tabella2[[#This Row],[New_Recovered_fit]]*NOT(ISBLANK(Tabella2[[#This Row],[New recovered]]))</f>
        <v>307.48864432696405</v>
      </c>
      <c r="U26" s="10">
        <f>Tabella2[[#This Row],[New_Recovered_fit]]+CId</f>
        <v>847.06046558984099</v>
      </c>
      <c r="V26" s="10">
        <f>MAX(Tabella2[[#This Row],[New_Recovered_fit]]-CId,0)</f>
        <v>0</v>
      </c>
      <c r="W26" s="10">
        <f>'dpc-covid19-ita-andamento-naz'!K20</f>
        <v>1266</v>
      </c>
      <c r="X26" s="26">
        <f>Tabella2[[#This Row],[Cum_deaths]]-W25</f>
        <v>250</v>
      </c>
      <c r="Y26" s="65">
        <f>Tabella2[[#This Row],[New deaths]]*NOT(ISBLANK(Tabella2[[#This Row],[New deaths]]))</f>
        <v>250</v>
      </c>
      <c r="Z26" s="50">
        <f>Kt*EXP(-EXP(-(Tabella2[[#This Row],[Day]]-t0t)/wt))</f>
        <v>1087.1755890559134</v>
      </c>
      <c r="AA26" s="10">
        <f>Tabella2[[#This Row],[Cum_D_fit]]*EXP(-(Tabella2[[#This Row],[Day]]-t0t)/wt)/wt</f>
        <v>271.02976363498044</v>
      </c>
      <c r="AB26" s="65">
        <f>Tabella2[[#This Row],[New_Deaths_fit]]*NOT(ISBLANK(Tabella2[[#This Row],[New deaths]]))</f>
        <v>271.02976363498044</v>
      </c>
      <c r="AC26" s="10">
        <f>Tabella2[[#This Row],[New_Deaths_fit]]+CIt</f>
        <v>413.6581071453972</v>
      </c>
      <c r="AD26" s="10">
        <f>MAX(Tabella2[[#This Row],[New_Deaths_fit]]-CIt,0)</f>
        <v>128.40142012456369</v>
      </c>
      <c r="AE26" s="1"/>
      <c r="AF26" s="127" t="s">
        <v>113</v>
      </c>
      <c r="AG26" s="130" cm="1">
        <f t="array" ref="AG26">1-SUM((Tabella2[Colonna3]-Tabella2[Colonna4])^2)/SUM((Tabella2[Colonna3]-Mean_of_yd)^2)</f>
        <v>0.89674422435729884</v>
      </c>
      <c r="AT26" s="122"/>
    </row>
    <row r="27" spans="2:46" ht="15" thickBot="1" x14ac:dyDescent="0.35">
      <c r="B27" s="9">
        <v>43904</v>
      </c>
      <c r="C27" s="4">
        <f t="shared" si="0"/>
        <v>19</v>
      </c>
      <c r="D27" s="10">
        <f>'dpc-covid19-ita-andamento-naz'!L21</f>
        <v>21157</v>
      </c>
      <c r="E27" s="30">
        <f>'dpc-covid19-ita-andamento-naz'!I21</f>
        <v>3497</v>
      </c>
      <c r="F27" s="56">
        <f>Tabella2[[#This Row],[New cases]]*NOT(ISBLANK(Tabella2[[#This Row],[New cases]]))</f>
        <v>3497</v>
      </c>
      <c r="G27" s="50">
        <f>Kn*EXP(-EXP(-(Tabella2[[#This Row],[Day]]-t0n)/wn))</f>
        <v>21529.182201146901</v>
      </c>
      <c r="H27" s="10">
        <f>Tabella2[[#This Row],[Cum_fit]]*EXP(-(Tabella2[[#This Row],[Day]]-t0n)/wn)/wn</f>
        <v>3524.5460383569366</v>
      </c>
      <c r="I27" s="56">
        <f>Tabella2[[#This Row],[New_cases_fit]]*NOT(ISBLANK(Tabella2[[#This Row],[New cases]]))</f>
        <v>3524.5460383569366</v>
      </c>
      <c r="J27" s="10">
        <f>Tabella2[[#This Row],[New_cases_fit]]+CIn</f>
        <v>4708.600957544797</v>
      </c>
      <c r="K27" s="10">
        <f>MAX(Tabella2[[#This Row],[New_cases_fit]]-CIn,0)</f>
        <v>2340.4911191690762</v>
      </c>
      <c r="L27" s="54">
        <f>'dpc-covid19-ita-andamento-naz'!G21</f>
        <v>17750</v>
      </c>
      <c r="M27" s="54">
        <f>'dpc-covid19-ita-andamento-naz'!H21</f>
        <v>2795</v>
      </c>
      <c r="N27" s="54">
        <f>Tabella2[[#This Row],[New_cases_fit]]-Tabella2[[#This Row],[New_Recovered_fit]]-Tabella2[[#This Row],[New_Deaths_fit]]</f>
        <v>2862.1339205726681</v>
      </c>
      <c r="O27" s="10">
        <f>'dpc-covid19-ita-andamento-naz'!J21</f>
        <v>1966</v>
      </c>
      <c r="P27" s="48">
        <f>Tabella2[[#This Row],[Cum_recov]]-O26</f>
        <v>527</v>
      </c>
      <c r="Q27" s="60">
        <f>Tabella2[[#This Row],[New recovered]]*NOT(ISBLANK(Tabella2[[#This Row],[New recovered]]))</f>
        <v>527</v>
      </c>
      <c r="R27" s="50">
        <f>Kd*EXP(-EXP(-(Tabella2[[#This Row],[Day]]-t0d)/wd))</f>
        <v>2428.7392770781707</v>
      </c>
      <c r="S27" s="10">
        <f>Tabella2[[#This Row],[Cum_R_fit]]*EXP(-(Tabella2[[#This Row],[Day]]-t0d)/wd)/wd</f>
        <v>343.49633924317379</v>
      </c>
      <c r="T27" s="60">
        <f>Tabella2[[#This Row],[New_Recovered_fit]]*NOT(ISBLANK(Tabella2[[#This Row],[New recovered]]))</f>
        <v>343.49633924317379</v>
      </c>
      <c r="U27" s="10">
        <f>Tabella2[[#This Row],[New_Recovered_fit]]+CId</f>
        <v>883.06816050605073</v>
      </c>
      <c r="V27" s="10">
        <f>MAX(Tabella2[[#This Row],[New_Recovered_fit]]-CId,0)</f>
        <v>0</v>
      </c>
      <c r="W27" s="10">
        <f>'dpc-covid19-ita-andamento-naz'!K21</f>
        <v>1441</v>
      </c>
      <c r="X27" s="26">
        <f>Tabella2[[#This Row],[Cum_deaths]]-W26</f>
        <v>175</v>
      </c>
      <c r="Y27" s="65">
        <f>Tabella2[[#This Row],[New deaths]]*NOT(ISBLANK(Tabella2[[#This Row],[New deaths]]))</f>
        <v>175</v>
      </c>
      <c r="Z27" s="50">
        <f>Kt*EXP(-EXP(-(Tabella2[[#This Row],[Day]]-t0t)/wt))</f>
        <v>1381.9538525977396</v>
      </c>
      <c r="AA27" s="10">
        <f>Tabella2[[#This Row],[Cum_D_fit]]*EXP(-(Tabella2[[#This Row],[Day]]-t0t)/wt)/wt</f>
        <v>318.91577854109494</v>
      </c>
      <c r="AB27" s="65">
        <f>Tabella2[[#This Row],[New_Deaths_fit]]*NOT(ISBLANK(Tabella2[[#This Row],[New deaths]]))</f>
        <v>318.91577854109494</v>
      </c>
      <c r="AC27" s="10">
        <f>Tabella2[[#This Row],[New_Deaths_fit]]+CIt</f>
        <v>461.54412205151169</v>
      </c>
      <c r="AD27" s="10">
        <f>MAX(Tabella2[[#This Row],[New_Deaths_fit]]-CIt,0)</f>
        <v>176.28743503067818</v>
      </c>
      <c r="AE27" s="1"/>
      <c r="AF27" s="127" t="s">
        <v>6</v>
      </c>
      <c r="AG27" s="130">
        <f>TINV(0.05,dfd)</f>
        <v>2.0128955989194299</v>
      </c>
      <c r="AT27" s="123"/>
    </row>
    <row r="28" spans="2:46" ht="15" thickTop="1" x14ac:dyDescent="0.3">
      <c r="B28" s="9">
        <v>43905</v>
      </c>
      <c r="C28" s="4">
        <f t="shared" si="0"/>
        <v>20</v>
      </c>
      <c r="D28" s="10">
        <f>'dpc-covid19-ita-andamento-naz'!L22</f>
        <v>24747</v>
      </c>
      <c r="E28" s="30">
        <f>'dpc-covid19-ita-andamento-naz'!I22</f>
        <v>3590</v>
      </c>
      <c r="F28" s="56">
        <f>Tabella2[[#This Row],[New cases]]*NOT(ISBLANK(Tabella2[[#This Row],[New cases]]))</f>
        <v>3590</v>
      </c>
      <c r="G28" s="50">
        <f>Kn*EXP(-EXP(-(Tabella2[[#This Row],[Day]]-t0n)/wn))</f>
        <v>25211.129705982854</v>
      </c>
      <c r="H28" s="10">
        <f>Tabella2[[#This Row],[Cum_fit]]*EXP(-(Tabella2[[#This Row],[Day]]-t0n)/wn)/wn</f>
        <v>3836.6941398404656</v>
      </c>
      <c r="I28" s="56">
        <f>Tabella2[[#This Row],[New_cases_fit]]*NOT(ISBLANK(Tabella2[[#This Row],[New cases]]))</f>
        <v>3836.6941398404656</v>
      </c>
      <c r="J28" s="10">
        <f>Tabella2[[#This Row],[New_cases_fit]]+CIn</f>
        <v>5020.749059028326</v>
      </c>
      <c r="K28" s="10">
        <f>MAX(Tabella2[[#This Row],[New_cases_fit]]-CIn,0)</f>
        <v>2652.6392206526052</v>
      </c>
      <c r="L28" s="54">
        <f>'dpc-covid19-ita-andamento-naz'!G22</f>
        <v>20603</v>
      </c>
      <c r="M28" s="54">
        <f>'dpc-covid19-ita-andamento-naz'!H22</f>
        <v>2853</v>
      </c>
      <c r="N28" s="54">
        <f>Tabella2[[#This Row],[New_cases_fit]]-Tabella2[[#This Row],[New_Recovered_fit]]-Tabella2[[#This Row],[New_Deaths_fit]]</f>
        <v>3086.1320006808023</v>
      </c>
      <c r="O28" s="10">
        <f>'dpc-covid19-ita-andamento-naz'!J22</f>
        <v>2335</v>
      </c>
      <c r="P28" s="48">
        <f>Tabella2[[#This Row],[Cum_recov]]-O27</f>
        <v>369</v>
      </c>
      <c r="Q28" s="60">
        <f>Tabella2[[#This Row],[New recovered]]*NOT(ISBLANK(Tabella2[[#This Row],[New recovered]]))</f>
        <v>369</v>
      </c>
      <c r="R28" s="50">
        <f>Kd*EXP(-EXP(-(Tabella2[[#This Row],[Day]]-t0d)/wd))</f>
        <v>2791.2520495999206</v>
      </c>
      <c r="S28" s="10">
        <f>Tabella2[[#This Row],[Cum_R_fit]]*EXP(-(Tabella2[[#This Row],[Day]]-t0d)/wd)/wd</f>
        <v>381.93076656893726</v>
      </c>
      <c r="T28" s="60">
        <f>Tabella2[[#This Row],[New_Recovered_fit]]*NOT(ISBLANK(Tabella2[[#This Row],[New recovered]]))</f>
        <v>381.93076656893726</v>
      </c>
      <c r="U28" s="10">
        <f>Tabella2[[#This Row],[New_Recovered_fit]]+CId</f>
        <v>921.50258783181425</v>
      </c>
      <c r="V28" s="10">
        <f>MAX(Tabella2[[#This Row],[New_Recovered_fit]]-CId,0)</f>
        <v>0</v>
      </c>
      <c r="W28" s="10">
        <f>'dpc-covid19-ita-andamento-naz'!K22</f>
        <v>1809</v>
      </c>
      <c r="X28" s="26">
        <f>Tabella2[[#This Row],[Cum_deaths]]-W27</f>
        <v>368</v>
      </c>
      <c r="Y28" s="65">
        <f>Tabella2[[#This Row],[New deaths]]*NOT(ISBLANK(Tabella2[[#This Row],[New deaths]]))</f>
        <v>368</v>
      </c>
      <c r="Z28" s="50">
        <f>Kt*EXP(-EXP(-(Tabella2[[#This Row],[Day]]-t0t)/wt))</f>
        <v>1725.6179739349398</v>
      </c>
      <c r="AA28" s="10">
        <f>Tabella2[[#This Row],[Cum_D_fit]]*EXP(-(Tabella2[[#This Row],[Day]]-t0t)/wt)/wt</f>
        <v>368.63137259072624</v>
      </c>
      <c r="AB28" s="65">
        <f>Tabella2[[#This Row],[New_Deaths_fit]]*NOT(ISBLANK(Tabella2[[#This Row],[New deaths]]))</f>
        <v>368.63137259072624</v>
      </c>
      <c r="AC28" s="10">
        <f>Tabella2[[#This Row],[New_Deaths_fit]]+CIt</f>
        <v>511.259716101143</v>
      </c>
      <c r="AD28" s="10">
        <f>MAX(Tabella2[[#This Row],[New_Deaths_fit]]-CIt,0)</f>
        <v>226.00302908030949</v>
      </c>
      <c r="AE28" s="1"/>
      <c r="AF28" s="127" t="s">
        <v>7</v>
      </c>
      <c r="AG28" s="128">
        <f>Critical_td*SE_of_yd</f>
        <v>539.57182126287694</v>
      </c>
      <c r="AT28" s="79">
        <f>MAX($AG$38)</f>
        <v>0.97222019115045633</v>
      </c>
    </row>
    <row r="29" spans="2:46" x14ac:dyDescent="0.3">
      <c r="B29" s="9">
        <v>43906</v>
      </c>
      <c r="C29" s="4">
        <f t="shared" si="0"/>
        <v>21</v>
      </c>
      <c r="D29" s="10">
        <f>'dpc-covid19-ita-andamento-naz'!L23</f>
        <v>27980</v>
      </c>
      <c r="E29" s="30">
        <f>'dpc-covid19-ita-andamento-naz'!I23</f>
        <v>3233</v>
      </c>
      <c r="F29" s="56">
        <f>Tabella2[[#This Row],[New cases]]*NOT(ISBLANK(Tabella2[[#This Row],[New cases]]))</f>
        <v>3233</v>
      </c>
      <c r="G29" s="50">
        <f>Kn*EXP(-EXP(-(Tabella2[[#This Row],[Day]]-t0n)/wn))</f>
        <v>29196.386754718893</v>
      </c>
      <c r="H29" s="10">
        <f>Tabella2[[#This Row],[Cum_fit]]*EXP(-(Tabella2[[#This Row],[Day]]-t0n)/wn)/wn</f>
        <v>4130.3152167953949</v>
      </c>
      <c r="I29" s="56">
        <f>Tabella2[[#This Row],[New_cases_fit]]*NOT(ISBLANK(Tabella2[[#This Row],[New cases]]))</f>
        <v>4130.3152167953949</v>
      </c>
      <c r="J29" s="10">
        <f>Tabella2[[#This Row],[New_cases_fit]]+CIn</f>
        <v>5314.3701359832558</v>
      </c>
      <c r="K29" s="10">
        <f>MAX(Tabella2[[#This Row],[New_cases_fit]]-CIn,0)</f>
        <v>2946.2602976075341</v>
      </c>
      <c r="L29" s="54">
        <f>'dpc-covid19-ita-andamento-naz'!G23</f>
        <v>23073</v>
      </c>
      <c r="M29" s="54">
        <f>'dpc-covid19-ita-andamento-naz'!H23</f>
        <v>2470</v>
      </c>
      <c r="N29" s="54">
        <f>Tabella2[[#This Row],[New_cases_fit]]-Tabella2[[#This Row],[New_Recovered_fit]]-Tabella2[[#This Row],[New_Deaths_fit]]</f>
        <v>3288.443380200154</v>
      </c>
      <c r="O29" s="10">
        <f>'dpc-covid19-ita-andamento-naz'!J23</f>
        <v>2749</v>
      </c>
      <c r="P29" s="48">
        <f>Tabella2[[#This Row],[Cum_recov]]-O28</f>
        <v>414</v>
      </c>
      <c r="Q29" s="60">
        <f>Tabella2[[#This Row],[New recovered]]*NOT(ISBLANK(Tabella2[[#This Row],[New recovered]]))</f>
        <v>414</v>
      </c>
      <c r="R29" s="50">
        <f>Kd*EXP(-EXP(-(Tabella2[[#This Row],[Day]]-t0d)/wd))</f>
        <v>3193.3956925023044</v>
      </c>
      <c r="S29" s="10">
        <f>Tabella2[[#This Row],[Cum_R_fit]]*EXP(-(Tabella2[[#This Row],[Day]]-t0d)/wd)/wd</f>
        <v>422.7491055987191</v>
      </c>
      <c r="T29" s="60">
        <f>Tabella2[[#This Row],[New_Recovered_fit]]*NOT(ISBLANK(Tabella2[[#This Row],[New recovered]]))</f>
        <v>422.7491055987191</v>
      </c>
      <c r="U29" s="10">
        <f>Tabella2[[#This Row],[New_Recovered_fit]]+CId</f>
        <v>962.32092686159604</v>
      </c>
      <c r="V29" s="10">
        <f>MAX(Tabella2[[#This Row],[New_Recovered_fit]]-CId,0)</f>
        <v>0</v>
      </c>
      <c r="W29" s="10">
        <f>'dpc-covid19-ita-andamento-naz'!K23</f>
        <v>2158</v>
      </c>
      <c r="X29" s="26">
        <f>Tabella2[[#This Row],[Cum_deaths]]-W28</f>
        <v>349</v>
      </c>
      <c r="Y29" s="65">
        <f>Tabella2[[#This Row],[New deaths]]*NOT(ISBLANK(Tabella2[[#This Row],[New deaths]]))</f>
        <v>349</v>
      </c>
      <c r="Z29" s="50">
        <f>Kt*EXP(-EXP(-(Tabella2[[#This Row],[Day]]-t0t)/wt))</f>
        <v>2119.4755249005889</v>
      </c>
      <c r="AA29" s="10">
        <f>Tabella2[[#This Row],[Cum_D_fit]]*EXP(-(Tabella2[[#This Row],[Day]]-t0t)/wt)/wt</f>
        <v>419.12273099652163</v>
      </c>
      <c r="AB29" s="65">
        <f>Tabella2[[#This Row],[New_Deaths_fit]]*NOT(ISBLANK(Tabella2[[#This Row],[New deaths]]))</f>
        <v>419.12273099652163</v>
      </c>
      <c r="AC29" s="10">
        <f>Tabella2[[#This Row],[New_Deaths_fit]]+CIt</f>
        <v>561.75107450693838</v>
      </c>
      <c r="AD29" s="10">
        <f>MAX(Tabella2[[#This Row],[New_Deaths_fit]]-CIt,0)</f>
        <v>276.49438748610487</v>
      </c>
      <c r="AE29" s="1"/>
      <c r="AF29" s="89" t="s">
        <v>69</v>
      </c>
      <c r="AG29" s="128">
        <f>Kd/(EXP(1)*wd)</f>
        <v>2130.6091284634881</v>
      </c>
      <c r="AT29" s="80">
        <f>COUNT($AG$32,$AG$33,$AG$34)</f>
        <v>3</v>
      </c>
    </row>
    <row r="30" spans="2:46" x14ac:dyDescent="0.3">
      <c r="B30" s="9">
        <v>43907</v>
      </c>
      <c r="C30" s="4">
        <f t="shared" si="0"/>
        <v>22</v>
      </c>
      <c r="D30" s="10">
        <f>'dpc-covid19-ita-andamento-naz'!L24</f>
        <v>31506</v>
      </c>
      <c r="E30" s="30">
        <f>'dpc-covid19-ita-andamento-naz'!I24</f>
        <v>3526</v>
      </c>
      <c r="F30" s="56">
        <f>Tabella2[[#This Row],[New cases]]*NOT(ISBLANK(Tabella2[[#This Row],[New cases]]))</f>
        <v>3526</v>
      </c>
      <c r="G30" s="50">
        <f>Kn*EXP(-EXP(-(Tabella2[[#This Row],[Day]]-t0n)/wn))</f>
        <v>33464.003526984117</v>
      </c>
      <c r="H30" s="10">
        <f>Tabella2[[#This Row],[Cum_fit]]*EXP(-(Tabella2[[#This Row],[Day]]-t0n)/wn)/wn</f>
        <v>4400.6943338460978</v>
      </c>
      <c r="I30" s="56">
        <f>Tabella2[[#This Row],[New_cases_fit]]*NOT(ISBLANK(Tabella2[[#This Row],[New cases]]))</f>
        <v>4400.6943338460978</v>
      </c>
      <c r="J30" s="10">
        <f>Tabella2[[#This Row],[New_cases_fit]]+CIn</f>
        <v>5584.7492530339587</v>
      </c>
      <c r="K30" s="10">
        <f>MAX(Tabella2[[#This Row],[New_cases_fit]]-CIn,0)</f>
        <v>3216.639414658237</v>
      </c>
      <c r="L30" s="54">
        <f>'dpc-covid19-ita-andamento-naz'!G24</f>
        <v>26062</v>
      </c>
      <c r="M30" s="54">
        <f>'dpc-covid19-ita-andamento-naz'!H24</f>
        <v>2989</v>
      </c>
      <c r="N30" s="54">
        <f>Tabella2[[#This Row],[New_cases_fit]]-Tabella2[[#This Row],[New_Recovered_fit]]-Tabella2[[#This Row],[New_Deaths_fit]]</f>
        <v>3465.5025914260837</v>
      </c>
      <c r="O30" s="10">
        <f>'dpc-covid19-ita-andamento-naz'!J24</f>
        <v>2941</v>
      </c>
      <c r="P30" s="48">
        <f>Tabella2[[#This Row],[Cum_recov]]-O29</f>
        <v>192</v>
      </c>
      <c r="Q30" s="60">
        <f>Tabella2[[#This Row],[New recovered]]*NOT(ISBLANK(Tabella2[[#This Row],[New recovered]]))</f>
        <v>192</v>
      </c>
      <c r="R30" s="50">
        <f>Kd*EXP(-EXP(-(Tabella2[[#This Row],[Day]]-t0d)/wd))</f>
        <v>3637.5235284773339</v>
      </c>
      <c r="S30" s="10">
        <f>Tabella2[[#This Row],[Cum_R_fit]]*EXP(-(Tabella2[[#This Row],[Day]]-t0d)/wd)/wd</f>
        <v>465.88652157172044</v>
      </c>
      <c r="T30" s="60">
        <f>Tabella2[[#This Row],[New_Recovered_fit]]*NOT(ISBLANK(Tabella2[[#This Row],[New recovered]]))</f>
        <v>465.88652157172044</v>
      </c>
      <c r="U30" s="10">
        <f>Tabella2[[#This Row],[New_Recovered_fit]]+CId</f>
        <v>1005.4583428345974</v>
      </c>
      <c r="V30" s="10">
        <f>MAX(Tabella2[[#This Row],[New_Recovered_fit]]-CId,0)</f>
        <v>0</v>
      </c>
      <c r="W30" s="10">
        <f>'dpc-covid19-ita-andamento-naz'!K24</f>
        <v>2503</v>
      </c>
      <c r="X30" s="26">
        <f>Tabella2[[#This Row],[Cum_deaths]]-W29</f>
        <v>345</v>
      </c>
      <c r="Y30" s="65">
        <f>Tabella2[[#This Row],[New deaths]]*NOT(ISBLANK(Tabella2[[#This Row],[New deaths]]))</f>
        <v>345</v>
      </c>
      <c r="Z30" s="50">
        <f>Kt*EXP(-EXP(-(Tabella2[[#This Row],[Day]]-t0t)/wt))</f>
        <v>2563.7602180180406</v>
      </c>
      <c r="AA30" s="10">
        <f>Tabella2[[#This Row],[Cum_D_fit]]*EXP(-(Tabella2[[#This Row],[Day]]-t0t)/wt)/wt</f>
        <v>469.30522084829374</v>
      </c>
      <c r="AB30" s="65">
        <f>Tabella2[[#This Row],[New_Deaths_fit]]*NOT(ISBLANK(Tabella2[[#This Row],[New deaths]]))</f>
        <v>469.30522084829374</v>
      </c>
      <c r="AC30" s="10">
        <f>Tabella2[[#This Row],[New_Deaths_fit]]+CIt</f>
        <v>611.93356435871056</v>
      </c>
      <c r="AD30" s="10">
        <f>MAX(Tabella2[[#This Row],[New_Deaths_fit]]-CIt,0)</f>
        <v>326.67687733787699</v>
      </c>
      <c r="AE30" s="1"/>
      <c r="AF30" s="89" t="s">
        <v>70</v>
      </c>
      <c r="AG30" s="90">
        <f>_xlfn.XLOOKUP(ROUND(t0d,0),Tabella2[Day],Tabella2[Date])</f>
        <v>43948</v>
      </c>
      <c r="AT30" s="80">
        <f>{32767;32767;0.000001;0;FALSE;FALSE;TRUE;1;1;1;0.0001;TRUE}</f>
        <v>32767</v>
      </c>
    </row>
    <row r="31" spans="2:46" x14ac:dyDescent="0.3">
      <c r="B31" s="9">
        <v>43908</v>
      </c>
      <c r="C31" s="4">
        <f t="shared" si="0"/>
        <v>23</v>
      </c>
      <c r="D31" s="10">
        <f>'dpc-covid19-ita-andamento-naz'!L25</f>
        <v>35713</v>
      </c>
      <c r="E31" s="30">
        <f>'dpc-covid19-ita-andamento-naz'!I25</f>
        <v>4207</v>
      </c>
      <c r="F31" s="56">
        <f>Tabella2[[#This Row],[New cases]]*NOT(ISBLANK(Tabella2[[#This Row],[New cases]]))</f>
        <v>4207</v>
      </c>
      <c r="G31" s="50">
        <f>Kn*EXP(-EXP(-(Tabella2[[#This Row],[Day]]-t0n)/wn))</f>
        <v>37988.723201363435</v>
      </c>
      <c r="H31" s="10">
        <f>Tabella2[[#This Row],[Cum_fit]]*EXP(-(Tabella2[[#This Row],[Day]]-t0n)/wn)/wn</f>
        <v>4643.9466442858147</v>
      </c>
      <c r="I31" s="56">
        <f>Tabella2[[#This Row],[New_cases_fit]]*NOT(ISBLANK(Tabella2[[#This Row],[New cases]]))</f>
        <v>4643.9466442858147</v>
      </c>
      <c r="J31" s="10">
        <f>Tabella2[[#This Row],[New_cases_fit]]+CIn</f>
        <v>5828.0015634736756</v>
      </c>
      <c r="K31" s="10">
        <f>MAX(Tabella2[[#This Row],[New_cases_fit]]-CIn,0)</f>
        <v>3459.8917250979539</v>
      </c>
      <c r="L31" s="54">
        <f>'dpc-covid19-ita-andamento-naz'!G25</f>
        <v>28710</v>
      </c>
      <c r="M31" s="54">
        <f>'dpc-covid19-ita-andamento-naz'!H25</f>
        <v>2648</v>
      </c>
      <c r="N31" s="54">
        <f>Tabella2[[#This Row],[New_cases_fit]]-Tabella2[[#This Row],[New_Recovered_fit]]-Tabella2[[#This Row],[New_Deaths_fit]]</f>
        <v>3614.5732127986757</v>
      </c>
      <c r="O31" s="10">
        <f>'dpc-covid19-ita-andamento-naz'!J25</f>
        <v>4025</v>
      </c>
      <c r="P31" s="48">
        <f>Tabella2[[#This Row],[Cum_recov]]-O30</f>
        <v>1084</v>
      </c>
      <c r="Q31" s="60">
        <f>Tabella2[[#This Row],[New recovered]]*NOT(ISBLANK(Tabella2[[#This Row],[New recovered]]))</f>
        <v>1084</v>
      </c>
      <c r="R31" s="50">
        <f>Kd*EXP(-EXP(-(Tabella2[[#This Row],[Day]]-t0d)/wd))</f>
        <v>4125.9131371915228</v>
      </c>
      <c r="S31" s="10">
        <f>Tabella2[[#This Row],[Cum_R_fit]]*EXP(-(Tabella2[[#This Row],[Day]]-t0d)/wd)/wd</f>
        <v>511.25643614436677</v>
      </c>
      <c r="T31" s="60">
        <f>Tabella2[[#This Row],[New_Recovered_fit]]*NOT(ISBLANK(Tabella2[[#This Row],[New recovered]]))</f>
        <v>511.25643614436677</v>
      </c>
      <c r="U31" s="10">
        <f>Tabella2[[#This Row],[New_Recovered_fit]]+CId</f>
        <v>1050.8282574072437</v>
      </c>
      <c r="V31" s="10">
        <f>MAX(Tabella2[[#This Row],[New_Recovered_fit]]-CId,0)</f>
        <v>0</v>
      </c>
      <c r="W31" s="10">
        <f>'dpc-covid19-ita-andamento-naz'!K25</f>
        <v>2978</v>
      </c>
      <c r="X31" s="26">
        <f>Tabella2[[#This Row],[Cum_deaths]]-W30</f>
        <v>475</v>
      </c>
      <c r="Y31" s="65">
        <f>Tabella2[[#This Row],[New deaths]]*NOT(ISBLANK(Tabella2[[#This Row],[New deaths]]))</f>
        <v>475</v>
      </c>
      <c r="Z31" s="50">
        <f>Kt*EXP(-EXP(-(Tabella2[[#This Row],[Day]]-t0t)/wt))</f>
        <v>3057.6282703423171</v>
      </c>
      <c r="AA31" s="10">
        <f>Tabella2[[#This Row],[Cum_D_fit]]*EXP(-(Tabella2[[#This Row],[Day]]-t0t)/wt)/wt</f>
        <v>518.1169953427725</v>
      </c>
      <c r="AB31" s="65">
        <f>Tabella2[[#This Row],[New_Deaths_fit]]*NOT(ISBLANK(Tabella2[[#This Row],[New deaths]]))</f>
        <v>518.1169953427725</v>
      </c>
      <c r="AC31" s="10">
        <f>Tabella2[[#This Row],[New_Deaths_fit]]+CIt</f>
        <v>660.7453388531892</v>
      </c>
      <c r="AD31" s="10">
        <f>MAX(Tabella2[[#This Row],[New_Deaths_fit]]-CIt,0)</f>
        <v>375.48865183235574</v>
      </c>
      <c r="AE31" s="1"/>
      <c r="AF31" s="23" t="s">
        <v>53</v>
      </c>
      <c r="AG31" s="69" t="s">
        <v>96</v>
      </c>
      <c r="AT31" s="80">
        <f>{0;0;1;100;0;FALSE;TRUE;0.075;0;0;FALSE;30}</f>
        <v>0</v>
      </c>
    </row>
    <row r="32" spans="2:46" x14ac:dyDescent="0.3">
      <c r="B32" s="9">
        <v>43909</v>
      </c>
      <c r="C32" s="4">
        <f t="shared" si="0"/>
        <v>24</v>
      </c>
      <c r="D32" s="10">
        <f>'dpc-covid19-ita-andamento-naz'!L26</f>
        <v>41035</v>
      </c>
      <c r="E32" s="30">
        <f>'dpc-covid19-ita-andamento-naz'!I26</f>
        <v>5322</v>
      </c>
      <c r="F32" s="56">
        <f>Tabella2[[#This Row],[New cases]]*NOT(ISBLANK(Tabella2[[#This Row],[New cases]]))</f>
        <v>5322</v>
      </c>
      <c r="G32" s="50">
        <f>Kn*EXP(-EXP(-(Tabella2[[#This Row],[Day]]-t0n)/wn))</f>
        <v>42741.846192360237</v>
      </c>
      <c r="H32" s="10">
        <f>Tabella2[[#This Row],[Cum_fit]]*EXP(-(Tabella2[[#This Row],[Day]]-t0n)/wn)/wn</f>
        <v>4857.0773383495443</v>
      </c>
      <c r="I32" s="56">
        <f>Tabella2[[#This Row],[New_cases_fit]]*NOT(ISBLANK(Tabella2[[#This Row],[New cases]]))</f>
        <v>4857.0773383495443</v>
      </c>
      <c r="J32" s="10">
        <f>Tabella2[[#This Row],[New_cases_fit]]+CIn</f>
        <v>6041.1322575374052</v>
      </c>
      <c r="K32" s="10">
        <f>MAX(Tabella2[[#This Row],[New_cases_fit]]-CIn,0)</f>
        <v>3673.0224191616835</v>
      </c>
      <c r="L32" s="54">
        <f>'dpc-covid19-ita-andamento-naz'!G26</f>
        <v>33190</v>
      </c>
      <c r="M32" s="54">
        <f>'dpc-covid19-ita-andamento-naz'!H26</f>
        <v>4480</v>
      </c>
      <c r="N32" s="54">
        <f>Tabella2[[#This Row],[New_cases_fit]]-Tabella2[[#This Row],[New_Recovered_fit]]-Tabella2[[#This Row],[New_Deaths_fit]]</f>
        <v>3733.7598867018014</v>
      </c>
      <c r="O32" s="10">
        <f>'dpc-covid19-ita-andamento-naz'!J26</f>
        <v>4440</v>
      </c>
      <c r="P32" s="48">
        <f>Tabella2[[#This Row],[Cum_recov]]-O31</f>
        <v>415</v>
      </c>
      <c r="Q32" s="60">
        <f>Tabella2[[#This Row],[New recovered]]*NOT(ISBLANK(Tabella2[[#This Row],[New recovered]]))</f>
        <v>415</v>
      </c>
      <c r="R32" s="50">
        <f>Kd*EXP(-EXP(-(Tabella2[[#This Row],[Day]]-t0d)/wd))</f>
        <v>4660.7448847297737</v>
      </c>
      <c r="S32" s="10">
        <f>Tabella2[[#This Row],[Cum_R_fit]]*EXP(-(Tabella2[[#This Row],[Day]]-t0d)/wd)/wd</f>
        <v>558.75112703665968</v>
      </c>
      <c r="T32" s="60">
        <f>Tabella2[[#This Row],[New_Recovered_fit]]*NOT(ISBLANK(Tabella2[[#This Row],[New recovered]]))</f>
        <v>558.75112703665968</v>
      </c>
      <c r="U32" s="10">
        <f>Tabella2[[#This Row],[New_Recovered_fit]]+CId</f>
        <v>1098.3229482995366</v>
      </c>
      <c r="V32" s="10">
        <f>MAX(Tabella2[[#This Row],[New_Recovered_fit]]-CId,0)</f>
        <v>19.179305773782744</v>
      </c>
      <c r="W32" s="10">
        <f>'dpc-covid19-ita-andamento-naz'!K26</f>
        <v>3405</v>
      </c>
      <c r="X32" s="26">
        <f>Tabella2[[#This Row],[Cum_deaths]]-W31</f>
        <v>427</v>
      </c>
      <c r="Y32" s="65">
        <f>Tabella2[[#This Row],[New deaths]]*NOT(ISBLANK(Tabella2[[#This Row],[New deaths]]))</f>
        <v>427</v>
      </c>
      <c r="Z32" s="50">
        <f>Kt*EXP(-EXP(-(Tabella2[[#This Row],[Day]]-t0t)/wt))</f>
        <v>3599.2055072270082</v>
      </c>
      <c r="AA32" s="10">
        <f>Tabella2[[#This Row],[Cum_D_fit]]*EXP(-(Tabella2[[#This Row],[Day]]-t0t)/wt)/wt</f>
        <v>564.56632461108359</v>
      </c>
      <c r="AB32" s="65">
        <f>Tabella2[[#This Row],[New_Deaths_fit]]*NOT(ISBLANK(Tabella2[[#This Row],[New deaths]]))</f>
        <v>564.56632461108359</v>
      </c>
      <c r="AC32" s="10">
        <f>Tabella2[[#This Row],[New_Deaths_fit]]+CIt</f>
        <v>707.1946681215004</v>
      </c>
      <c r="AD32" s="10">
        <f>MAX(Tabella2[[#This Row],[New_Deaths_fit]]-CIt,0)</f>
        <v>421.93798110066683</v>
      </c>
      <c r="AE32" s="1"/>
      <c r="AF32" s="70" t="s">
        <v>0</v>
      </c>
      <c r="AG32" s="97">
        <f>Kh</f>
        <v>27443.196525992516</v>
      </c>
      <c r="AT32" s="80"/>
    </row>
    <row r="33" spans="2:46" ht="16.2" thickBot="1" x14ac:dyDescent="0.4">
      <c r="B33" s="9">
        <v>43910</v>
      </c>
      <c r="C33" s="4">
        <f t="shared" si="0"/>
        <v>25</v>
      </c>
      <c r="D33" s="10">
        <f>'dpc-covid19-ita-andamento-naz'!L27</f>
        <v>47021</v>
      </c>
      <c r="E33" s="30">
        <f>'dpc-covid19-ita-andamento-naz'!I27</f>
        <v>5986</v>
      </c>
      <c r="F33" s="56">
        <f>Tabella2[[#This Row],[New cases]]*NOT(ISBLANK(Tabella2[[#This Row],[New cases]]))</f>
        <v>5986</v>
      </c>
      <c r="G33" s="50">
        <f>Kn*EXP(-EXP(-(Tabella2[[#This Row],[Day]]-t0n)/wn))</f>
        <v>47692.130231004034</v>
      </c>
      <c r="H33" s="10">
        <f>Tabella2[[#This Row],[Cum_fit]]*EXP(-(Tabella2[[#This Row],[Day]]-t0n)/wn)/wn</f>
        <v>5037.9943968491807</v>
      </c>
      <c r="I33" s="56">
        <f>Tabella2[[#This Row],[New_cases_fit]]*NOT(ISBLANK(Tabella2[[#This Row],[New cases]]))</f>
        <v>5037.9943968491807</v>
      </c>
      <c r="J33" s="10">
        <f>Tabella2[[#This Row],[New_cases_fit]]+CIn</f>
        <v>6222.0493160370415</v>
      </c>
      <c r="K33" s="10">
        <f>MAX(Tabella2[[#This Row],[New_cases_fit]]-CIn,0)</f>
        <v>3853.9394776613199</v>
      </c>
      <c r="L33" s="54">
        <f>'dpc-covid19-ita-andamento-naz'!G27</f>
        <v>37860</v>
      </c>
      <c r="M33" s="54">
        <f>'dpc-covid19-ita-andamento-naz'!H27</f>
        <v>4670</v>
      </c>
      <c r="N33" s="54">
        <f>Tabella2[[#This Row],[New_cases_fit]]-Tabella2[[#This Row],[New_Recovered_fit]]-Tabella2[[#This Row],[New_Deaths_fit]]</f>
        <v>3821.9817553969929</v>
      </c>
      <c r="O33" s="10">
        <f>'dpc-covid19-ita-andamento-naz'!J27</f>
        <v>5129</v>
      </c>
      <c r="P33" s="48">
        <f>Tabella2[[#This Row],[Cum_recov]]-O32</f>
        <v>689</v>
      </c>
      <c r="Q33" s="60">
        <f>Tabella2[[#This Row],[New recovered]]*NOT(ISBLANK(Tabella2[[#This Row],[New recovered]]))</f>
        <v>689</v>
      </c>
      <c r="R33" s="50">
        <f>Kd*EXP(-EXP(-(Tabella2[[#This Row],[Day]]-t0d)/wd))</f>
        <v>5244.0812101703596</v>
      </c>
      <c r="S33" s="10">
        <f>Tabella2[[#This Row],[Cum_R_fit]]*EXP(-(Tabella2[[#This Row],[Day]]-t0d)/wd)/wd</f>
        <v>608.24263914352139</v>
      </c>
      <c r="T33" s="60">
        <f>Tabella2[[#This Row],[New_Recovered_fit]]*NOT(ISBLANK(Tabella2[[#This Row],[New recovered]]))</f>
        <v>608.24263914352139</v>
      </c>
      <c r="U33" s="10">
        <f>Tabella2[[#This Row],[New_Recovered_fit]]+CId</f>
        <v>1147.8144604063982</v>
      </c>
      <c r="V33" s="10">
        <f>MAX(Tabella2[[#This Row],[New_Recovered_fit]]-CId,0)</f>
        <v>68.670817880644449</v>
      </c>
      <c r="W33" s="10">
        <f>'dpc-covid19-ita-andamento-naz'!K27</f>
        <v>4032</v>
      </c>
      <c r="X33" s="26">
        <f>Tabella2[[#This Row],[Cum_deaths]]-W32</f>
        <v>627</v>
      </c>
      <c r="Y33" s="65">
        <f>Tabella2[[#This Row],[New deaths]]*NOT(ISBLANK(Tabella2[[#This Row],[New deaths]]))</f>
        <v>627</v>
      </c>
      <c r="Z33" s="50">
        <f>Kt*EXP(-EXP(-(Tabella2[[#This Row],[Day]]-t0t)/wt))</f>
        <v>4185.6775038492224</v>
      </c>
      <c r="AA33" s="10">
        <f>Tabella2[[#This Row],[Cum_D_fit]]*EXP(-(Tabella2[[#This Row],[Day]]-t0t)/wt)/wt</f>
        <v>607.77000230866679</v>
      </c>
      <c r="AB33" s="65">
        <f>Tabella2[[#This Row],[New_Deaths_fit]]*NOT(ISBLANK(Tabella2[[#This Row],[New deaths]]))</f>
        <v>607.77000230866679</v>
      </c>
      <c r="AC33" s="10">
        <f>Tabella2[[#This Row],[New_Deaths_fit]]+CIt</f>
        <v>750.39834581908349</v>
      </c>
      <c r="AD33" s="10">
        <f>MAX(Tabella2[[#This Row],[New_Deaths_fit]]-CIt,0)</f>
        <v>465.14165879825003</v>
      </c>
      <c r="AE33" s="1"/>
      <c r="AF33" s="70" t="s">
        <v>86</v>
      </c>
      <c r="AG33" s="71">
        <f>t0h</f>
        <v>33.178414440120477</v>
      </c>
      <c r="AT33" s="81"/>
    </row>
    <row r="34" spans="2:46" x14ac:dyDescent="0.3">
      <c r="B34" s="9">
        <v>43911</v>
      </c>
      <c r="C34" s="4">
        <f t="shared" si="0"/>
        <v>26</v>
      </c>
      <c r="D34" s="10">
        <f>'dpc-covid19-ita-andamento-naz'!L28</f>
        <v>53578</v>
      </c>
      <c r="E34" s="30">
        <f>'dpc-covid19-ita-andamento-naz'!I28</f>
        <v>6557</v>
      </c>
      <c r="F34" s="56">
        <f>Tabella2[[#This Row],[New cases]]*NOT(ISBLANK(Tabella2[[#This Row],[New cases]]))</f>
        <v>6557</v>
      </c>
      <c r="G34" s="50">
        <f>Kn*EXP(-EXP(-(Tabella2[[#This Row],[Day]]-t0n)/wn))</f>
        <v>52806.682456220762</v>
      </c>
      <c r="H34" s="10">
        <f>Tabella2[[#This Row],[Cum_fit]]*EXP(-(Tabella2[[#This Row],[Day]]-t0n)/wn)/wn</f>
        <v>5185.4811567458501</v>
      </c>
      <c r="I34" s="56">
        <f>Tabella2[[#This Row],[New_cases_fit]]*NOT(ISBLANK(Tabella2[[#This Row],[New cases]]))</f>
        <v>5185.4811567458501</v>
      </c>
      <c r="J34" s="10">
        <f>Tabella2[[#This Row],[New_cases_fit]]+CIn</f>
        <v>6369.5360759337109</v>
      </c>
      <c r="K34" s="10">
        <f>MAX(Tabella2[[#This Row],[New_cases_fit]]-CIn,0)</f>
        <v>4001.4262375579892</v>
      </c>
      <c r="L34" s="54">
        <f>'dpc-covid19-ita-andamento-naz'!G28</f>
        <v>42681</v>
      </c>
      <c r="M34" s="54">
        <f>'dpc-covid19-ita-andamento-naz'!H28</f>
        <v>4821</v>
      </c>
      <c r="N34" s="54">
        <f>Tabella2[[#This Row],[New_cases_fit]]-Tabella2[[#This Row],[New_Recovered_fit]]-Tabella2[[#This Row],[New_Deaths_fit]]</f>
        <v>3878.9157699406937</v>
      </c>
      <c r="O34" s="10">
        <f>'dpc-covid19-ita-andamento-naz'!J28</f>
        <v>6072</v>
      </c>
      <c r="P34" s="48">
        <f>Tabella2[[#This Row],[Cum_recov]]-O33</f>
        <v>943</v>
      </c>
      <c r="Q34" s="60">
        <f>Tabella2[[#This Row],[New recovered]]*NOT(ISBLANK(Tabella2[[#This Row],[New recovered]]))</f>
        <v>943</v>
      </c>
      <c r="R34" s="50">
        <f>Kd*EXP(-EXP(-(Tabella2[[#This Row],[Day]]-t0d)/wd))</f>
        <v>5877.8469692408817</v>
      </c>
      <c r="S34" s="10">
        <f>Tabella2[[#This Row],[Cum_R_fit]]*EXP(-(Tabella2[[#This Row],[Day]]-t0d)/wd)/wd</f>
        <v>659.58398311269093</v>
      </c>
      <c r="T34" s="60">
        <f>Tabella2[[#This Row],[New_Recovered_fit]]*NOT(ISBLANK(Tabella2[[#This Row],[New recovered]]))</f>
        <v>659.58398311269093</v>
      </c>
      <c r="U34" s="10">
        <f>Tabella2[[#This Row],[New_Recovered_fit]]+CId</f>
        <v>1199.1558043755679</v>
      </c>
      <c r="V34" s="10">
        <f>MAX(Tabella2[[#This Row],[New_Recovered_fit]]-CId,0)</f>
        <v>120.01216184981399</v>
      </c>
      <c r="W34" s="10">
        <f>'dpc-covid19-ita-andamento-naz'!K28</f>
        <v>4825</v>
      </c>
      <c r="X34" s="26">
        <f>Tabella2[[#This Row],[Cum_deaths]]-W33</f>
        <v>793</v>
      </c>
      <c r="Y34" s="65">
        <f>Tabella2[[#This Row],[New deaths]]*NOT(ISBLANK(Tabella2[[#This Row],[New deaths]]))</f>
        <v>793</v>
      </c>
      <c r="Z34" s="50">
        <f>Kt*EXP(-EXP(-(Tabella2[[#This Row],[Day]]-t0t)/wt))</f>
        <v>4813.4130287373437</v>
      </c>
      <c r="AA34" s="10">
        <f>Tabella2[[#This Row],[Cum_D_fit]]*EXP(-(Tabella2[[#This Row],[Day]]-t0t)/wt)/wt</f>
        <v>646.98140369246482</v>
      </c>
      <c r="AB34" s="65">
        <f>Tabella2[[#This Row],[New_Deaths_fit]]*NOT(ISBLANK(Tabella2[[#This Row],[New deaths]]))</f>
        <v>646.98140369246482</v>
      </c>
      <c r="AC34" s="10">
        <f>Tabella2[[#This Row],[New_Deaths_fit]]+CIt</f>
        <v>789.60974720288164</v>
      </c>
      <c r="AD34" s="10">
        <f>MAX(Tabella2[[#This Row],[New_Deaths_fit]]-CIt,0)</f>
        <v>504.35306018204807</v>
      </c>
      <c r="AE34" s="1"/>
      <c r="AF34" s="70" t="s">
        <v>1</v>
      </c>
      <c r="AG34" s="71">
        <f>wh</f>
        <v>12.950550389758135</v>
      </c>
    </row>
    <row r="35" spans="2:46" x14ac:dyDescent="0.3">
      <c r="B35" s="9">
        <v>43912</v>
      </c>
      <c r="C35" s="4">
        <f t="shared" si="0"/>
        <v>27</v>
      </c>
      <c r="D35" s="10">
        <f>'dpc-covid19-ita-andamento-naz'!L29</f>
        <v>59138</v>
      </c>
      <c r="E35" s="30">
        <f>'dpc-covid19-ita-andamento-naz'!I29</f>
        <v>5560</v>
      </c>
      <c r="F35" s="56">
        <f>Tabella2[[#This Row],[New cases]]*NOT(ISBLANK(Tabella2[[#This Row],[New cases]]))</f>
        <v>5560</v>
      </c>
      <c r="G35" s="50">
        <f>Kn*EXP(-EXP(-(Tabella2[[#This Row],[Day]]-t0n)/wn))</f>
        <v>58051.80737300207</v>
      </c>
      <c r="H35" s="10">
        <f>Tabella2[[#This Row],[Cum_fit]]*EXP(-(Tabella2[[#This Row],[Day]]-t0n)/wn)/wn</f>
        <v>5299.1368984068476</v>
      </c>
      <c r="I35" s="56">
        <f>Tabella2[[#This Row],[New_cases_fit]]*NOT(ISBLANK(Tabella2[[#This Row],[New cases]]))</f>
        <v>5299.1368984068476</v>
      </c>
      <c r="J35" s="10">
        <f>Tabella2[[#This Row],[New_cases_fit]]+CIn</f>
        <v>6483.1918175947085</v>
      </c>
      <c r="K35" s="10">
        <f>MAX(Tabella2[[#This Row],[New_cases_fit]]-CIn,0)</f>
        <v>4115.0819792189868</v>
      </c>
      <c r="L35" s="54">
        <f>'dpc-covid19-ita-andamento-naz'!G29</f>
        <v>46638</v>
      </c>
      <c r="M35" s="54">
        <f>'dpc-covid19-ita-andamento-naz'!H29</f>
        <v>3957</v>
      </c>
      <c r="N35" s="54">
        <f>Tabella2[[#This Row],[New_cases_fit]]-Tabella2[[#This Row],[New_Recovered_fit]]-Tabella2[[#This Row],[New_Deaths_fit]]</f>
        <v>3904.9184226093826</v>
      </c>
      <c r="O35" s="10">
        <f>'dpc-covid19-ita-andamento-naz'!J29</f>
        <v>7024</v>
      </c>
      <c r="P35" s="48">
        <f>Tabella2[[#This Row],[Cum_recov]]-O34</f>
        <v>952</v>
      </c>
      <c r="Q35" s="60">
        <f>Tabella2[[#This Row],[New recovered]]*NOT(ISBLANK(Tabella2[[#This Row],[New recovered]]))</f>
        <v>952</v>
      </c>
      <c r="R35" s="50">
        <f>Kd*EXP(-EXP(-(Tabella2[[#This Row],[Day]]-t0d)/wd))</f>
        <v>6563.8111082734995</v>
      </c>
      <c r="S35" s="10">
        <f>Tabella2[[#This Row],[Cum_R_fit]]*EXP(-(Tabella2[[#This Row],[Day]]-t0d)/wd)/wd</f>
        <v>712.61059209876419</v>
      </c>
      <c r="T35" s="60">
        <f>Tabella2[[#This Row],[New_Recovered_fit]]*NOT(ISBLANK(Tabella2[[#This Row],[New recovered]]))</f>
        <v>712.61059209876419</v>
      </c>
      <c r="U35" s="10">
        <f>Tabella2[[#This Row],[New_Recovered_fit]]+CId</f>
        <v>1252.182413361641</v>
      </c>
      <c r="V35" s="10">
        <f>MAX(Tabella2[[#This Row],[New_Recovered_fit]]-CId,0)</f>
        <v>173.03877083588725</v>
      </c>
      <c r="W35" s="10">
        <f>'dpc-covid19-ita-andamento-naz'!K29</f>
        <v>5476</v>
      </c>
      <c r="X35" s="26">
        <f>Tabella2[[#This Row],[Cum_deaths]]-W34</f>
        <v>651</v>
      </c>
      <c r="Y35" s="65">
        <f>Tabella2[[#This Row],[New deaths]]*NOT(ISBLANK(Tabella2[[#This Row],[New deaths]]))</f>
        <v>651</v>
      </c>
      <c r="Z35" s="50">
        <f>Kt*EXP(-EXP(-(Tabella2[[#This Row],[Day]]-t0t)/wt))</f>
        <v>5478.1102000321353</v>
      </c>
      <c r="AA35" s="10">
        <f>Tabella2[[#This Row],[Cum_D_fit]]*EXP(-(Tabella2[[#This Row],[Day]]-t0t)/wt)/wt</f>
        <v>681.60788369870136</v>
      </c>
      <c r="AB35" s="65">
        <f>Tabella2[[#This Row],[New_Deaths_fit]]*NOT(ISBLANK(Tabella2[[#This Row],[New deaths]]))</f>
        <v>681.60788369870136</v>
      </c>
      <c r="AC35" s="10">
        <f>Tabella2[[#This Row],[New_Deaths_fit]]+CIt</f>
        <v>824.23622720911817</v>
      </c>
      <c r="AD35" s="10">
        <f>MAX(Tabella2[[#This Row],[New_Deaths_fit]]-CIt,0)</f>
        <v>538.97954018828455</v>
      </c>
      <c r="AF35" s="72" t="s">
        <v>2</v>
      </c>
      <c r="AG35" s="35">
        <f>AVERAGE(Tabella2[New deaths])</f>
        <v>417.51020408163265</v>
      </c>
      <c r="AJ35" s="1"/>
    </row>
    <row r="36" spans="2:46" x14ac:dyDescent="0.3">
      <c r="B36" s="22">
        <v>43913</v>
      </c>
      <c r="C36" s="4">
        <f t="shared" si="0"/>
        <v>28</v>
      </c>
      <c r="D36" s="10">
        <f>'dpc-covid19-ita-andamento-naz'!L30</f>
        <v>63927</v>
      </c>
      <c r="E36" s="30">
        <f>'dpc-covid19-ita-andamento-naz'!I30</f>
        <v>4789</v>
      </c>
      <c r="F36" s="56">
        <f>Tabella2[[#This Row],[New cases]]*NOT(ISBLANK(Tabella2[[#This Row],[New cases]]))</f>
        <v>4789</v>
      </c>
      <c r="G36" s="50">
        <f>Kn*EXP(-EXP(-(Tabella2[[#This Row],[Day]]-t0n)/wn))</f>
        <v>63393.782970125125</v>
      </c>
      <c r="H36" s="10">
        <f>Tabella2[[#This Row],[Cum_fit]]*EXP(-(Tabella2[[#This Row],[Day]]-t0n)/wn)/wn</f>
        <v>5379.2939872692614</v>
      </c>
      <c r="I36" s="56">
        <f>Tabella2[[#This Row],[New_cases_fit]]*NOT(ISBLANK(Tabella2[[#This Row],[New cases]]))</f>
        <v>5379.2939872692614</v>
      </c>
      <c r="J36" s="10">
        <f>Tabella2[[#This Row],[New_cases_fit]]+CIn</f>
        <v>6563.3489064571222</v>
      </c>
      <c r="K36" s="10">
        <f>MAX(Tabella2[[#This Row],[New_cases_fit]]-CIn,0)</f>
        <v>4195.2390680814005</v>
      </c>
      <c r="L36" s="54">
        <f>'dpc-covid19-ita-andamento-naz'!G30</f>
        <v>50418</v>
      </c>
      <c r="M36" s="54">
        <f>'dpc-covid19-ita-andamento-naz'!H30</f>
        <v>3780</v>
      </c>
      <c r="N36" s="54">
        <f>Tabella2[[#This Row],[New_cases_fit]]-Tabella2[[#This Row],[New_Recovered_fit]]-Tabella2[[#This Row],[New_Deaths_fit]]</f>
        <v>3900.9338783298767</v>
      </c>
      <c r="O36" s="10">
        <f>'dpc-covid19-ita-andamento-naz'!J30</f>
        <v>7432</v>
      </c>
      <c r="P36" s="48">
        <f>Tabella2[[#This Row],[Cum_recov]]-O35</f>
        <v>408</v>
      </c>
      <c r="Q36" s="60">
        <f>Tabella2[[#This Row],[New recovered]]*NOT(ISBLANK(Tabella2[[#This Row],[New recovered]]))</f>
        <v>408</v>
      </c>
      <c r="R36" s="50">
        <f>Kd*EXP(-EXP(-(Tabella2[[#This Row],[Day]]-t0d)/wd))</f>
        <v>7303.5699101892878</v>
      </c>
      <c r="S36" s="10">
        <f>Tabella2[[#This Row],[Cum_R_fit]]*EXP(-(Tabella2[[#This Row],[Day]]-t0d)/wd)/wd</f>
        <v>767.14200319179656</v>
      </c>
      <c r="T36" s="60">
        <f>Tabella2[[#This Row],[New_Recovered_fit]]*NOT(ISBLANK(Tabella2[[#This Row],[New recovered]]))</f>
        <v>767.14200319179656</v>
      </c>
      <c r="U36" s="10">
        <f>Tabella2[[#This Row],[New_Recovered_fit]]+CId</f>
        <v>1306.7138244546736</v>
      </c>
      <c r="V36" s="10">
        <f>MAX(Tabella2[[#This Row],[New_Recovered_fit]]-CId,0)</f>
        <v>227.57018192891962</v>
      </c>
      <c r="W36" s="10">
        <f>'dpc-covid19-ita-andamento-naz'!K30</f>
        <v>6077</v>
      </c>
      <c r="X36" s="26">
        <f>Tabella2[[#This Row],[Cum_deaths]]-W35</f>
        <v>601</v>
      </c>
      <c r="Y36" s="65">
        <f>Tabella2[[#This Row],[New deaths]]*NOT(ISBLANK(Tabella2[[#This Row],[New deaths]]))</f>
        <v>601</v>
      </c>
      <c r="Z36" s="50">
        <f>Kt*EXP(-EXP(-(Tabella2[[#This Row],[Day]]-t0t)/wt))</f>
        <v>6174.9549249675711</v>
      </c>
      <c r="AA36" s="10">
        <f>Tabella2[[#This Row],[Cum_D_fit]]*EXP(-(Tabella2[[#This Row],[Day]]-t0t)/wt)/wt</f>
        <v>711.21810574758774</v>
      </c>
      <c r="AB36" s="65">
        <f>Tabella2[[#This Row],[New_Deaths_fit]]*NOT(ISBLANK(Tabella2[[#This Row],[New deaths]]))</f>
        <v>711.21810574758774</v>
      </c>
      <c r="AC36" s="10">
        <f>Tabella2[[#This Row],[New_Deaths_fit]]+CIt</f>
        <v>853.84644925800444</v>
      </c>
      <c r="AD36" s="10">
        <f>MAX(Tabella2[[#This Row],[New_Deaths_fit]]-CIt,0)</f>
        <v>568.58976223717104</v>
      </c>
      <c r="AF36" s="72" t="s">
        <v>3</v>
      </c>
      <c r="AG36" s="35">
        <f>COUNT(Tabella2[New deaths])-COUNT(AG32:AG34)</f>
        <v>46</v>
      </c>
    </row>
    <row r="37" spans="2:46" x14ac:dyDescent="0.3">
      <c r="B37" s="9">
        <v>43914</v>
      </c>
      <c r="C37" s="4">
        <f t="shared" si="0"/>
        <v>29</v>
      </c>
      <c r="D37" s="10">
        <f>'dpc-covid19-ita-andamento-naz'!L31</f>
        <v>69176</v>
      </c>
      <c r="E37" s="30">
        <f>'dpc-covid19-ita-andamento-naz'!I31</f>
        <v>5249</v>
      </c>
      <c r="F37" s="56">
        <f>Tabella2[[#This Row],[New cases]]*NOT(ISBLANK(Tabella2[[#This Row],[New cases]]))</f>
        <v>5249</v>
      </c>
      <c r="G37" s="50">
        <f>Kn*EXP(-EXP(-(Tabella2[[#This Row],[Day]]-t0n)/wn))</f>
        <v>68799.545691244086</v>
      </c>
      <c r="H37" s="10">
        <f>Tabella2[[#This Row],[Cum_fit]]*EXP(-(Tabella2[[#This Row],[Day]]-t0n)/wn)/wn</f>
        <v>5426.9197428674006</v>
      </c>
      <c r="I37" s="56">
        <f>Tabella2[[#This Row],[New_cases_fit]]*NOT(ISBLANK(Tabella2[[#This Row],[New cases]]))</f>
        <v>5426.9197428674006</v>
      </c>
      <c r="J37" s="10">
        <f>Tabella2[[#This Row],[New_cases_fit]]+CIn</f>
        <v>6610.9746620552614</v>
      </c>
      <c r="K37" s="10">
        <f>MAX(Tabella2[[#This Row],[New_cases_fit]]-CIn,0)</f>
        <v>4242.8648236795398</v>
      </c>
      <c r="L37" s="54">
        <f>'dpc-covid19-ita-andamento-naz'!G31</f>
        <v>54030</v>
      </c>
      <c r="M37" s="54">
        <f>'dpc-covid19-ita-andamento-naz'!H31</f>
        <v>3612</v>
      </c>
      <c r="N37" s="54">
        <f>Tabella2[[#This Row],[New_cases_fit]]-Tabella2[[#This Row],[New_Recovered_fit]]-Tabella2[[#This Row],[New_Deaths_fit]]</f>
        <v>3868.3954765766775</v>
      </c>
      <c r="O37" s="10">
        <f>'dpc-covid19-ita-andamento-naz'!J31</f>
        <v>8326</v>
      </c>
      <c r="P37" s="48">
        <f>Tabella2[[#This Row],[Cum_recov]]-O36</f>
        <v>894</v>
      </c>
      <c r="Q37" s="60">
        <f>Tabella2[[#This Row],[New recovered]]*NOT(ISBLANK(Tabella2[[#This Row],[New recovered]]))</f>
        <v>894</v>
      </c>
      <c r="R37" s="50">
        <f>Kd*EXP(-EXP(-(Tabella2[[#This Row],[Day]]-t0d)/wd))</f>
        <v>8098.5320191003802</v>
      </c>
      <c r="S37" s="10">
        <f>Tabella2[[#This Row],[Cum_R_fit]]*EXP(-(Tabella2[[#This Row],[Day]]-t0d)/wd)/wd</f>
        <v>822.98372692697615</v>
      </c>
      <c r="T37" s="60">
        <f>Tabella2[[#This Row],[New_Recovered_fit]]*NOT(ISBLANK(Tabella2[[#This Row],[New recovered]]))</f>
        <v>822.98372692697615</v>
      </c>
      <c r="U37" s="10">
        <f>Tabella2[[#This Row],[New_Recovered_fit]]+CId</f>
        <v>1362.5555481898532</v>
      </c>
      <c r="V37" s="10">
        <f>MAX(Tabella2[[#This Row],[New_Recovered_fit]]-CId,0)</f>
        <v>283.41190566409921</v>
      </c>
      <c r="W37" s="10">
        <f>'dpc-covid19-ita-andamento-naz'!K31</f>
        <v>6820</v>
      </c>
      <c r="X37" s="26">
        <f>Tabella2[[#This Row],[Cum_deaths]]-W36</f>
        <v>743</v>
      </c>
      <c r="Y37" s="65">
        <f>Tabella2[[#This Row],[New deaths]]*NOT(ISBLANK(Tabella2[[#This Row],[New deaths]]))</f>
        <v>743</v>
      </c>
      <c r="Z37" s="50">
        <f>Kt*EXP(-EXP(-(Tabella2[[#This Row],[Day]]-t0t)/wt))</f>
        <v>6898.7821293261377</v>
      </c>
      <c r="AA37" s="10">
        <f>Tabella2[[#This Row],[Cum_D_fit]]*EXP(-(Tabella2[[#This Row],[Day]]-t0t)/wt)/wt</f>
        <v>735.54053936374669</v>
      </c>
      <c r="AB37" s="65">
        <f>Tabella2[[#This Row],[New_Deaths_fit]]*NOT(ISBLANK(Tabella2[[#This Row],[New deaths]]))</f>
        <v>735.54053936374669</v>
      </c>
      <c r="AC37" s="10">
        <f>Tabella2[[#This Row],[New_Deaths_fit]]+CIt</f>
        <v>878.1688828741635</v>
      </c>
      <c r="AD37" s="10">
        <f>MAX(Tabella2[[#This Row],[New_Deaths_fit]]-CIt,0)</f>
        <v>592.91219585332988</v>
      </c>
      <c r="AF37" s="72" t="s">
        <v>4</v>
      </c>
      <c r="AG37" s="73" cm="1">
        <f t="array" ref="AG37">SQRT(SUM((Tabella2[Colonna5]-Tabella2[Colonna6])^2)/dft)</f>
        <v>70.857298106758762</v>
      </c>
    </row>
    <row r="38" spans="2:46" ht="16.2" x14ac:dyDescent="0.3">
      <c r="B38" s="9">
        <v>43915</v>
      </c>
      <c r="C38" s="4">
        <f t="shared" si="0"/>
        <v>30</v>
      </c>
      <c r="D38" s="10">
        <f>'dpc-covid19-ita-andamento-naz'!L32</f>
        <v>74386</v>
      </c>
      <c r="E38" s="30">
        <f>'dpc-covid19-ita-andamento-naz'!I32</f>
        <v>5210</v>
      </c>
      <c r="F38" s="56">
        <f>Tabella2[[#This Row],[New cases]]*NOT(ISBLANK(Tabella2[[#This Row],[New cases]]))</f>
        <v>5210</v>
      </c>
      <c r="G38" s="50">
        <f>Kn*EXP(-EXP(-(Tabella2[[#This Row],[Day]]-t0n)/wn))</f>
        <v>74237.272739251086</v>
      </c>
      <c r="H38" s="10">
        <f>Tabella2[[#This Row],[Cum_fit]]*EXP(-(Tabella2[[#This Row],[Day]]-t0n)/wn)/wn</f>
        <v>5443.5103715552286</v>
      </c>
      <c r="I38" s="56">
        <f>Tabella2[[#This Row],[New_cases_fit]]*NOT(ISBLANK(Tabella2[[#This Row],[New cases]]))</f>
        <v>5443.5103715552286</v>
      </c>
      <c r="J38" s="10">
        <f>Tabella2[[#This Row],[New_cases_fit]]+CIn</f>
        <v>6627.5652907430895</v>
      </c>
      <c r="K38" s="10">
        <f>MAX(Tabella2[[#This Row],[New_cases_fit]]-CIn,0)</f>
        <v>4259.4554523673678</v>
      </c>
      <c r="L38" s="54">
        <f>'dpc-covid19-ita-andamento-naz'!G32</f>
        <v>57521</v>
      </c>
      <c r="M38" s="54">
        <f>'dpc-covid19-ita-andamento-naz'!H32</f>
        <v>3491</v>
      </c>
      <c r="N38" s="54">
        <f>Tabella2[[#This Row],[New_cases_fit]]-Tabella2[[#This Row],[New_Recovered_fit]]-Tabella2[[#This Row],[New_Deaths_fit]]</f>
        <v>3809.1263496134629</v>
      </c>
      <c r="O38" s="10">
        <f>'dpc-covid19-ita-andamento-naz'!J32</f>
        <v>9362</v>
      </c>
      <c r="P38" s="48">
        <f>Tabella2[[#This Row],[Cum_recov]]-O37</f>
        <v>1036</v>
      </c>
      <c r="Q38" s="60">
        <f>Tabella2[[#This Row],[New recovered]]*NOT(ISBLANK(Tabella2[[#This Row],[New recovered]]))</f>
        <v>1036</v>
      </c>
      <c r="R38" s="50">
        <f>Kd*EXP(-EXP(-(Tabella2[[#This Row],[Day]]-t0d)/wd))</f>
        <v>8949.9054124453323</v>
      </c>
      <c r="S38" s="10">
        <f>Tabella2[[#This Row],[Cum_R_fit]]*EXP(-(Tabella2[[#This Row],[Day]]-t0d)/wd)/wd</f>
        <v>879.92926630634213</v>
      </c>
      <c r="T38" s="60">
        <f>Tabella2[[#This Row],[New_Recovered_fit]]*NOT(ISBLANK(Tabella2[[#This Row],[New recovered]]))</f>
        <v>879.92926630634213</v>
      </c>
      <c r="U38" s="10">
        <f>Tabella2[[#This Row],[New_Recovered_fit]]+CId</f>
        <v>1419.5010875692192</v>
      </c>
      <c r="V38" s="10">
        <f>MAX(Tabella2[[#This Row],[New_Recovered_fit]]-CId,0)</f>
        <v>340.35744504346519</v>
      </c>
      <c r="W38" s="10">
        <f>'dpc-covid19-ita-andamento-naz'!K32</f>
        <v>7503</v>
      </c>
      <c r="X38" s="26">
        <f>Tabella2[[#This Row],[Cum_deaths]]-W37</f>
        <v>683</v>
      </c>
      <c r="Y38" s="65">
        <f>Tabella2[[#This Row],[New deaths]]*NOT(ISBLANK(Tabella2[[#This Row],[New deaths]]))</f>
        <v>683</v>
      </c>
      <c r="Z38" s="50">
        <f>Kt*EXP(-EXP(-(Tabella2[[#This Row],[Day]]-t0t)/wt))</f>
        <v>7644.2317377260533</v>
      </c>
      <c r="AA38" s="10">
        <f>Tabella2[[#This Row],[Cum_D_fit]]*EXP(-(Tabella2[[#This Row],[Day]]-t0t)/wt)/wt</f>
        <v>754.45475563542323</v>
      </c>
      <c r="AB38" s="65">
        <f>Tabella2[[#This Row],[New_Deaths_fit]]*NOT(ISBLANK(Tabella2[[#This Row],[New deaths]]))</f>
        <v>754.45475563542323</v>
      </c>
      <c r="AC38" s="10">
        <f>Tabella2[[#This Row],[New_Deaths_fit]]+CIt</f>
        <v>897.08309914583992</v>
      </c>
      <c r="AD38" s="10">
        <f>MAX(Tabella2[[#This Row],[New_Deaths_fit]]-CIt,0)</f>
        <v>611.82641212500653</v>
      </c>
      <c r="AF38" s="72" t="s">
        <v>87</v>
      </c>
      <c r="AG38" s="74" cm="1">
        <f t="array" ref="AG38">1-SUM((Tabella2[Colonna5]-Tabella2[Colonna6])^2)/SUM((Tabella2[Colonna5]-Mean_of_yt)^2)</f>
        <v>0.97222019115045633</v>
      </c>
    </row>
    <row r="39" spans="2:46" x14ac:dyDescent="0.3">
      <c r="B39" s="9">
        <v>43916</v>
      </c>
      <c r="C39" s="4">
        <f t="shared" si="0"/>
        <v>31</v>
      </c>
      <c r="D39" s="10">
        <f>'dpc-covid19-ita-andamento-naz'!L33</f>
        <v>80539</v>
      </c>
      <c r="E39" s="30">
        <f>'dpc-covid19-ita-andamento-naz'!I33</f>
        <v>6153</v>
      </c>
      <c r="F39" s="56">
        <f>Tabella2[[#This Row],[New cases]]*NOT(ISBLANK(Tabella2[[#This Row],[New cases]]))</f>
        <v>6153</v>
      </c>
      <c r="G39" s="50">
        <f>Kn*EXP(-EXP(-(Tabella2[[#This Row],[Day]]-t0n)/wn))</f>
        <v>79676.856985222621</v>
      </c>
      <c r="H39" s="10">
        <f>Tabella2[[#This Row],[Cum_fit]]*EXP(-(Tabella2[[#This Row],[Day]]-t0n)/wn)/wn</f>
        <v>5430.9831761005362</v>
      </c>
      <c r="I39" s="56">
        <f>Tabella2[[#This Row],[New_cases_fit]]*NOT(ISBLANK(Tabella2[[#This Row],[New cases]]))</f>
        <v>5430.9831761005362</v>
      </c>
      <c r="J39" s="10">
        <f>Tabella2[[#This Row],[New_cases_fit]]+CIn</f>
        <v>6615.038095288397</v>
      </c>
      <c r="K39" s="10">
        <f>MAX(Tabella2[[#This Row],[New_cases_fit]]-CIn,0)</f>
        <v>4246.9282569126754</v>
      </c>
      <c r="L39" s="54">
        <f>'dpc-covid19-ita-andamento-naz'!G33</f>
        <v>62013</v>
      </c>
      <c r="M39" s="54">
        <f>'dpc-covid19-ita-andamento-naz'!H33</f>
        <v>4492</v>
      </c>
      <c r="N39" s="54">
        <f>Tabella2[[#This Row],[New_cases_fit]]-Tabella2[[#This Row],[New_Recovered_fit]]-Tabella2[[#This Row],[New_Deaths_fit]]</f>
        <v>3725.2436179972733</v>
      </c>
      <c r="O39" s="10">
        <f>'dpc-covid19-ita-andamento-naz'!J33</f>
        <v>10361</v>
      </c>
      <c r="P39" s="48">
        <f>Tabella2[[#This Row],[Cum_recov]]-O38</f>
        <v>999</v>
      </c>
      <c r="Q39" s="60">
        <f>Tabella2[[#This Row],[New recovered]]*NOT(ISBLANK(Tabella2[[#This Row],[New recovered]]))</f>
        <v>999</v>
      </c>
      <c r="R39" s="50">
        <f>Kd*EXP(-EXP(-(Tabella2[[#This Row],[Day]]-t0d)/wd))</f>
        <v>9858.6864504676596</v>
      </c>
      <c r="S39" s="10">
        <f>Tabella2[[#This Row],[Cum_R_fit]]*EXP(-(Tabella2[[#This Row],[Day]]-t0d)/wd)/wd</f>
        <v>937.76224586508806</v>
      </c>
      <c r="T39" s="60">
        <f>Tabella2[[#This Row],[New_Recovered_fit]]*NOT(ISBLANK(Tabella2[[#This Row],[New recovered]]))</f>
        <v>937.76224586508806</v>
      </c>
      <c r="U39" s="10">
        <f>Tabella2[[#This Row],[New_Recovered_fit]]+CId</f>
        <v>1477.334067127965</v>
      </c>
      <c r="V39" s="10">
        <f>MAX(Tabella2[[#This Row],[New_Recovered_fit]]-CId,0)</f>
        <v>398.19042460221112</v>
      </c>
      <c r="W39" s="10">
        <f>'dpc-covid19-ita-andamento-naz'!K33</f>
        <v>8165</v>
      </c>
      <c r="X39" s="26">
        <f>Tabella2[[#This Row],[Cum_deaths]]-W38</f>
        <v>662</v>
      </c>
      <c r="Y39" s="65">
        <f>Tabella2[[#This Row],[New deaths]]*NOT(ISBLANK(Tabella2[[#This Row],[New deaths]]))</f>
        <v>662</v>
      </c>
      <c r="Z39" s="50">
        <f>Kt*EXP(-EXP(-(Tabella2[[#This Row],[Day]]-t0t)/wt))</f>
        <v>8405.8930932789026</v>
      </c>
      <c r="AA39" s="10">
        <f>Tabella2[[#This Row],[Cum_D_fit]]*EXP(-(Tabella2[[#This Row],[Day]]-t0t)/wt)/wt</f>
        <v>767.97731223817448</v>
      </c>
      <c r="AB39" s="65">
        <f>Tabella2[[#This Row],[New_Deaths_fit]]*NOT(ISBLANK(Tabella2[[#This Row],[New deaths]]))</f>
        <v>767.97731223817448</v>
      </c>
      <c r="AC39" s="10">
        <f>Tabella2[[#This Row],[New_Deaths_fit]]+CIt</f>
        <v>910.60565574859129</v>
      </c>
      <c r="AD39" s="10">
        <f>MAX(Tabella2[[#This Row],[New_Deaths_fit]]-CIt,0)</f>
        <v>625.34896872775766</v>
      </c>
      <c r="AF39" s="72" t="s">
        <v>6</v>
      </c>
      <c r="AG39" s="74">
        <f>TINV(0.05,dft)</f>
        <v>2.0128955989194299</v>
      </c>
    </row>
    <row r="40" spans="2:46" x14ac:dyDescent="0.3">
      <c r="B40" s="9">
        <v>43917</v>
      </c>
      <c r="C40" s="4">
        <f t="shared" si="0"/>
        <v>32</v>
      </c>
      <c r="D40" s="10">
        <f>'dpc-covid19-ita-andamento-naz'!L34</f>
        <v>86498</v>
      </c>
      <c r="E40" s="30">
        <f>'dpc-covid19-ita-andamento-naz'!I34</f>
        <v>5959</v>
      </c>
      <c r="F40" s="56">
        <f>Tabella2[[#This Row],[New cases]]*NOT(ISBLANK(Tabella2[[#This Row],[New cases]]))</f>
        <v>5959</v>
      </c>
      <c r="G40" s="50">
        <f>Kn*EXP(-EXP(-(Tabella2[[#This Row],[Day]]-t0n)/wn))</f>
        <v>85090.275346612354</v>
      </c>
      <c r="H40" s="10">
        <f>Tabella2[[#This Row],[Cum_fit]]*EXP(-(Tabella2[[#This Row],[Day]]-t0n)/wn)/wn</f>
        <v>5391.5720061783841</v>
      </c>
      <c r="I40" s="56">
        <f>Tabella2[[#This Row],[New_cases_fit]]*NOT(ISBLANK(Tabella2[[#This Row],[New cases]]))</f>
        <v>5391.5720061783841</v>
      </c>
      <c r="J40" s="10">
        <f>Tabella2[[#This Row],[New_cases_fit]]+CIn</f>
        <v>6575.6269253662449</v>
      </c>
      <c r="K40" s="10">
        <f>MAX(Tabella2[[#This Row],[New_cases_fit]]-CIn,0)</f>
        <v>4207.5170869905232</v>
      </c>
      <c r="L40" s="54">
        <f>'dpc-covid19-ita-andamento-naz'!G34</f>
        <v>66414</v>
      </c>
      <c r="M40" s="54">
        <f>'dpc-covid19-ita-andamento-naz'!H34</f>
        <v>4401</v>
      </c>
      <c r="N40" s="54">
        <f>Tabella2[[#This Row],[New_cases_fit]]-Tabella2[[#This Row],[New_Recovered_fit]]-Tabella2[[#This Row],[New_Deaths_fit]]</f>
        <v>3619.0693954129133</v>
      </c>
      <c r="O40" s="10">
        <f>'dpc-covid19-ita-andamento-naz'!J34</f>
        <v>10950</v>
      </c>
      <c r="P40" s="48">
        <f>Tabella2[[#This Row],[Cum_recov]]-O39</f>
        <v>589</v>
      </c>
      <c r="Q40" s="60">
        <f>Tabella2[[#This Row],[New recovered]]*NOT(ISBLANK(Tabella2[[#This Row],[New recovered]]))</f>
        <v>589</v>
      </c>
      <c r="R40" s="50">
        <f>Kd*EXP(-EXP(-(Tabella2[[#This Row],[Day]]-t0d)/wd))</f>
        <v>10825.651093354003</v>
      </c>
      <c r="S40" s="10">
        <f>Tabella2[[#This Row],[Cum_R_fit]]*EXP(-(Tabella2[[#This Row],[Day]]-t0d)/wd)/wd</f>
        <v>996.258611423552</v>
      </c>
      <c r="T40" s="60">
        <f>Tabella2[[#This Row],[New_Recovered_fit]]*NOT(ISBLANK(Tabella2[[#This Row],[New recovered]]))</f>
        <v>996.258611423552</v>
      </c>
      <c r="U40" s="10">
        <f>Tabella2[[#This Row],[New_Recovered_fit]]+CId</f>
        <v>1535.830432686429</v>
      </c>
      <c r="V40" s="10">
        <f>MAX(Tabella2[[#This Row],[New_Recovered_fit]]-CId,0)</f>
        <v>456.68679016067506</v>
      </c>
      <c r="W40" s="10">
        <f>'dpc-covid19-ita-andamento-naz'!K34</f>
        <v>9134</v>
      </c>
      <c r="X40" s="26">
        <f>Tabella2[[#This Row],[Cum_deaths]]-W39</f>
        <v>969</v>
      </c>
      <c r="Y40" s="65">
        <f>Tabella2[[#This Row],[New deaths]]*NOT(ISBLANK(Tabella2[[#This Row],[New deaths]]))</f>
        <v>969</v>
      </c>
      <c r="Z40" s="50">
        <f>Kt*EXP(-EXP(-(Tabella2[[#This Row],[Day]]-t0t)/wt))</f>
        <v>9178.4332998261943</v>
      </c>
      <c r="AA40" s="10">
        <f>Tabella2[[#This Row],[Cum_D_fit]]*EXP(-(Tabella2[[#This Row],[Day]]-t0t)/wt)/wt</f>
        <v>776.24399934191888</v>
      </c>
      <c r="AB40" s="65">
        <f>Tabella2[[#This Row],[New_Deaths_fit]]*NOT(ISBLANK(Tabella2[[#This Row],[New deaths]]))</f>
        <v>776.24399934191888</v>
      </c>
      <c r="AC40" s="10">
        <f>Tabella2[[#This Row],[New_Deaths_fit]]+CIt</f>
        <v>918.87234285233558</v>
      </c>
      <c r="AD40" s="10">
        <f>MAX(Tabella2[[#This Row],[New_Deaths_fit]]-CIt,0)</f>
        <v>633.61565583150218</v>
      </c>
      <c r="AF40" s="72" t="s">
        <v>7</v>
      </c>
      <c r="AG40" s="35">
        <f>Critical_tt*SE_of_yt</f>
        <v>142.62834351041676</v>
      </c>
    </row>
    <row r="41" spans="2:46" x14ac:dyDescent="0.3">
      <c r="B41" s="9">
        <v>43918</v>
      </c>
      <c r="C41" s="4">
        <f t="shared" si="0"/>
        <v>33</v>
      </c>
      <c r="D41" s="10">
        <f>'dpc-covid19-ita-andamento-naz'!L35</f>
        <v>92472</v>
      </c>
      <c r="E41" s="30">
        <f>'dpc-covid19-ita-andamento-naz'!I35</f>
        <v>5974</v>
      </c>
      <c r="F41" s="56">
        <f>Tabella2[[#This Row],[New cases]]*NOT(ISBLANK(Tabella2[[#This Row],[New cases]]))</f>
        <v>5974</v>
      </c>
      <c r="G41" s="50">
        <f>Kn*EXP(-EXP(-(Tabella2[[#This Row],[Day]]-t0n)/wn))</f>
        <v>90451.855833976413</v>
      </c>
      <c r="H41" s="10">
        <f>Tabella2[[#This Row],[Cum_fit]]*EXP(-(Tabella2[[#This Row],[Day]]-t0n)/wn)/wn</f>
        <v>5327.7296631617346</v>
      </c>
      <c r="I41" s="56">
        <f>Tabella2[[#This Row],[New_cases_fit]]*NOT(ISBLANK(Tabella2[[#This Row],[New cases]]))</f>
        <v>5327.7296631617346</v>
      </c>
      <c r="J41" s="10">
        <f>Tabella2[[#This Row],[New_cases_fit]]+CIn</f>
        <v>6511.7845823495954</v>
      </c>
      <c r="K41" s="10">
        <f>MAX(Tabella2[[#This Row],[New_cases_fit]]-CIn,0)</f>
        <v>4143.6747439738738</v>
      </c>
      <c r="L41" s="54">
        <f>'dpc-covid19-ita-andamento-naz'!G35</f>
        <v>70065</v>
      </c>
      <c r="M41" s="54">
        <f>'dpc-covid19-ita-andamento-naz'!H35</f>
        <v>3651</v>
      </c>
      <c r="N41" s="54">
        <f>Tabella2[[#This Row],[New_cases_fit]]-Tabella2[[#This Row],[New_Recovered_fit]]-Tabella2[[#This Row],[New_Deaths_fit]]</f>
        <v>3493.0507355444229</v>
      </c>
      <c r="O41" s="10">
        <f>'dpc-covid19-ita-andamento-naz'!J35</f>
        <v>12384</v>
      </c>
      <c r="P41" s="48">
        <f>Tabella2[[#This Row],[Cum_recov]]-O40</f>
        <v>1434</v>
      </c>
      <c r="Q41" s="60">
        <f>Tabella2[[#This Row],[New recovered]]*NOT(ISBLANK(Tabella2[[#This Row],[New recovered]]))</f>
        <v>1434</v>
      </c>
      <c r="R41" s="50">
        <f>Kd*EXP(-EXP(-(Tabella2[[#This Row],[Day]]-t0d)/wd))</f>
        <v>11851.348337428435</v>
      </c>
      <c r="S41" s="10">
        <f>Tabella2[[#This Row],[Cum_R_fit]]*EXP(-(Tabella2[[#This Row],[Day]]-t0d)/wd)/wd</f>
        <v>1055.1888621869543</v>
      </c>
      <c r="T41" s="60">
        <f>Tabella2[[#This Row],[New_Recovered_fit]]*NOT(ISBLANK(Tabella2[[#This Row],[New recovered]]))</f>
        <v>1055.1888621869543</v>
      </c>
      <c r="U41" s="10">
        <f>Tabella2[[#This Row],[New_Recovered_fit]]+CId</f>
        <v>1594.7606834498313</v>
      </c>
      <c r="V41" s="10">
        <f>MAX(Tabella2[[#This Row],[New_Recovered_fit]]-CId,0)</f>
        <v>515.6170409240774</v>
      </c>
      <c r="W41" s="10">
        <f>'dpc-covid19-ita-andamento-naz'!K35</f>
        <v>10023</v>
      </c>
      <c r="X41" s="26">
        <f>Tabella2[[#This Row],[Cum_deaths]]-W40</f>
        <v>889</v>
      </c>
      <c r="Y41" s="65">
        <f>Tabella2[[#This Row],[New deaths]]*NOT(ISBLANK(Tabella2[[#This Row],[New deaths]]))</f>
        <v>889</v>
      </c>
      <c r="Z41" s="50">
        <f>Kt*EXP(-EXP(-(Tabella2[[#This Row],[Day]]-t0t)/wt))</f>
        <v>9956.7066739943511</v>
      </c>
      <c r="AA41" s="10">
        <f>Tabella2[[#This Row],[Cum_D_fit]]*EXP(-(Tabella2[[#This Row],[Day]]-t0t)/wt)/wt</f>
        <v>779.49006543035796</v>
      </c>
      <c r="AB41" s="65">
        <f>Tabella2[[#This Row],[New_Deaths_fit]]*NOT(ISBLANK(Tabella2[[#This Row],[New deaths]]))</f>
        <v>779.49006543035796</v>
      </c>
      <c r="AC41" s="10">
        <f>Tabella2[[#This Row],[New_Deaths_fit]]+CIt</f>
        <v>922.11840894077477</v>
      </c>
      <c r="AD41" s="10">
        <f>MAX(Tabella2[[#This Row],[New_Deaths_fit]]-CIt,0)</f>
        <v>636.86172191994115</v>
      </c>
      <c r="AF41" s="34" t="s">
        <v>69</v>
      </c>
      <c r="AG41" s="35">
        <f>Kt/(EXP(1)*wt)</f>
        <v>779.56438128872014</v>
      </c>
    </row>
    <row r="42" spans="2:46" x14ac:dyDescent="0.3">
      <c r="B42" s="9">
        <v>43919</v>
      </c>
      <c r="C42" s="4">
        <f t="shared" si="0"/>
        <v>34</v>
      </c>
      <c r="D42" s="10">
        <f>'dpc-covid19-ita-andamento-naz'!L36</f>
        <v>97689</v>
      </c>
      <c r="E42" s="30">
        <f>'dpc-covid19-ita-andamento-naz'!I36</f>
        <v>5217</v>
      </c>
      <c r="F42" s="56">
        <f>Tabella2[[#This Row],[New cases]]*NOT(ISBLANK(Tabella2[[#This Row],[New cases]]))</f>
        <v>5217</v>
      </c>
      <c r="G42" s="50">
        <f>Kn*EXP(-EXP(-(Tabella2[[#This Row],[Day]]-t0n)/wn))</f>
        <v>95738.451586957133</v>
      </c>
      <c r="H42" s="10">
        <f>Tabella2[[#This Row],[Cum_fit]]*EXP(-(Tabella2[[#This Row],[Day]]-t0n)/wn)/wn</f>
        <v>5242.0398086824134</v>
      </c>
      <c r="I42" s="56">
        <f>Tabella2[[#This Row],[New_cases_fit]]*NOT(ISBLANK(Tabella2[[#This Row],[New cases]]))</f>
        <v>5242.0398086824134</v>
      </c>
      <c r="J42" s="10">
        <f>Tabella2[[#This Row],[New_cases_fit]]+CIn</f>
        <v>6426.0947278702743</v>
      </c>
      <c r="K42" s="10">
        <f>MAX(Tabella2[[#This Row],[New_cases_fit]]-CIn,0)</f>
        <v>4057.9848894945526</v>
      </c>
      <c r="L42" s="54">
        <f>'dpc-covid19-ita-andamento-naz'!G36</f>
        <v>73880</v>
      </c>
      <c r="M42" s="54">
        <f>'dpc-covid19-ita-andamento-naz'!H36</f>
        <v>3815</v>
      </c>
      <c r="N42" s="54">
        <f>Tabella2[[#This Row],[New_cases_fit]]-Tabella2[[#This Row],[New_Recovered_fit]]-Tabella2[[#This Row],[New_Deaths_fit]]</f>
        <v>3349.6897227123759</v>
      </c>
      <c r="O42" s="10">
        <f>'dpc-covid19-ita-andamento-naz'!J36</f>
        <v>13030</v>
      </c>
      <c r="P42" s="48">
        <f>Tabella2[[#This Row],[Cum_recov]]-O41</f>
        <v>646</v>
      </c>
      <c r="Q42" s="60">
        <f>Tabella2[[#This Row],[New recovered]]*NOT(ISBLANK(Tabella2[[#This Row],[New recovered]]))</f>
        <v>646</v>
      </c>
      <c r="R42" s="50">
        <f>Kd*EXP(-EXP(-(Tabella2[[#This Row],[Day]]-t0d)/wd))</f>
        <v>12936.095884310156</v>
      </c>
      <c r="S42" s="10">
        <f>Tabella2[[#This Row],[Cum_R_fit]]*EXP(-(Tabella2[[#This Row],[Day]]-t0d)/wd)/wd</f>
        <v>1114.3202786754844</v>
      </c>
      <c r="T42" s="60">
        <f>Tabella2[[#This Row],[New_Recovered_fit]]*NOT(ISBLANK(Tabella2[[#This Row],[New recovered]]))</f>
        <v>1114.3202786754844</v>
      </c>
      <c r="U42" s="10">
        <f>Tabella2[[#This Row],[New_Recovered_fit]]+CId</f>
        <v>1653.8920999383613</v>
      </c>
      <c r="V42" s="10">
        <f>MAX(Tabella2[[#This Row],[New_Recovered_fit]]-CId,0)</f>
        <v>574.74845741260742</v>
      </c>
      <c r="W42" s="10">
        <f>'dpc-covid19-ita-andamento-naz'!K36</f>
        <v>10779</v>
      </c>
      <c r="X42" s="26">
        <f>Tabella2[[#This Row],[Cum_deaths]]-W41</f>
        <v>756</v>
      </c>
      <c r="Y42" s="65">
        <f>Tabella2[[#This Row],[New deaths]]*NOT(ISBLANK(Tabella2[[#This Row],[New deaths]]))</f>
        <v>756</v>
      </c>
      <c r="Z42" s="50">
        <f>Kt*EXP(-EXP(-(Tabella2[[#This Row],[Day]]-t0t)/wt))</f>
        <v>10735.844000920955</v>
      </c>
      <c r="AA42" s="10">
        <f>Tabella2[[#This Row],[Cum_D_fit]]*EXP(-(Tabella2[[#This Row],[Day]]-t0t)/wt)/wt</f>
        <v>778.02980729455305</v>
      </c>
      <c r="AB42" s="65">
        <f>Tabella2[[#This Row],[New_Deaths_fit]]*NOT(ISBLANK(Tabella2[[#This Row],[New deaths]]))</f>
        <v>778.02980729455305</v>
      </c>
      <c r="AC42" s="10">
        <f>Tabella2[[#This Row],[New_Deaths_fit]]+CIt</f>
        <v>920.65815080496986</v>
      </c>
      <c r="AD42" s="10">
        <f>MAX(Tabella2[[#This Row],[New_Deaths_fit]]-CIt,0)</f>
        <v>635.40146378413624</v>
      </c>
      <c r="AF42" s="34" t="s">
        <v>70</v>
      </c>
      <c r="AG42" s="76">
        <f>_xlfn.XLOOKUP(ROUND(t0t,0),Tabella2[Day],Tabella2[Date])</f>
        <v>43918</v>
      </c>
    </row>
    <row r="43" spans="2:46" x14ac:dyDescent="0.3">
      <c r="B43" s="9">
        <v>43920</v>
      </c>
      <c r="C43" s="4">
        <f t="shared" si="0"/>
        <v>35</v>
      </c>
      <c r="D43" s="10">
        <f>'dpc-covid19-ita-andamento-naz'!L37</f>
        <v>101739</v>
      </c>
      <c r="E43" s="30">
        <f>'dpc-covid19-ita-andamento-naz'!I37</f>
        <v>4050</v>
      </c>
      <c r="F43" s="56">
        <f>Tabella2[[#This Row],[New cases]]*NOT(ISBLANK(Tabella2[[#This Row],[New cases]]))</f>
        <v>4050</v>
      </c>
      <c r="G43" s="50">
        <f>Kn*EXP(-EXP(-(Tabella2[[#This Row],[Day]]-t0n)/wn))</f>
        <v>100929.53224542168</v>
      </c>
      <c r="H43" s="10">
        <f>Tabella2[[#This Row],[Cum_fit]]*EXP(-(Tabella2[[#This Row],[Day]]-t0n)/wn)/wn</f>
        <v>5137.1399045945191</v>
      </c>
      <c r="I43" s="56">
        <f>Tabella2[[#This Row],[New_cases_fit]]*NOT(ISBLANK(Tabella2[[#This Row],[New cases]]))</f>
        <v>5137.1399045945191</v>
      </c>
      <c r="J43" s="10">
        <f>Tabella2[[#This Row],[New_cases_fit]]+CIn</f>
        <v>6321.1948237823799</v>
      </c>
      <c r="K43" s="10">
        <f>MAX(Tabella2[[#This Row],[New_cases_fit]]-CIn,0)</f>
        <v>3953.0849854066582</v>
      </c>
      <c r="L43" s="54">
        <f>'dpc-covid19-ita-andamento-naz'!G37</f>
        <v>75528</v>
      </c>
      <c r="M43" s="54">
        <f>'dpc-covid19-ita-andamento-naz'!H37</f>
        <v>1648</v>
      </c>
      <c r="N43" s="54">
        <f>Tabella2[[#This Row],[New_cases_fit]]-Tabella2[[#This Row],[New_Recovered_fit]]-Tabella2[[#This Row],[New_Deaths_fit]]</f>
        <v>3191.4841582857148</v>
      </c>
      <c r="O43" s="10">
        <f>'dpc-covid19-ita-andamento-naz'!J37</f>
        <v>14620</v>
      </c>
      <c r="P43" s="48">
        <f>Tabella2[[#This Row],[Cum_recov]]-O42</f>
        <v>1590</v>
      </c>
      <c r="Q43" s="60">
        <f>Tabella2[[#This Row],[New recovered]]*NOT(ISBLANK(Tabella2[[#This Row],[New recovered]]))</f>
        <v>1590</v>
      </c>
      <c r="R43" s="50">
        <f>Kd*EXP(-EXP(-(Tabella2[[#This Row],[Day]]-t0d)/wd))</f>
        <v>14079.978021621182</v>
      </c>
      <c r="S43" s="10">
        <f>Tabella2[[#This Row],[Cum_R_fit]]*EXP(-(Tabella2[[#This Row],[Day]]-t0d)/wd)/wd</f>
        <v>1173.4191124626152</v>
      </c>
      <c r="T43" s="60">
        <f>Tabella2[[#This Row],[New_Recovered_fit]]*NOT(ISBLANK(Tabella2[[#This Row],[New recovered]]))</f>
        <v>1173.4191124626152</v>
      </c>
      <c r="U43" s="10">
        <f>Tabella2[[#This Row],[New_Recovered_fit]]+CId</f>
        <v>1712.9909337254921</v>
      </c>
      <c r="V43" s="10">
        <f>MAX(Tabella2[[#This Row],[New_Recovered_fit]]-CId,0)</f>
        <v>633.84729119973827</v>
      </c>
      <c r="W43" s="10">
        <f>'dpc-covid19-ita-andamento-naz'!K37</f>
        <v>11591</v>
      </c>
      <c r="X43" s="26">
        <f>Tabella2[[#This Row],[Cum_deaths]]-W42</f>
        <v>812</v>
      </c>
      <c r="Y43" s="65">
        <f>Tabella2[[#This Row],[New deaths]]*NOT(ISBLANK(Tabella2[[#This Row],[New deaths]]))</f>
        <v>812</v>
      </c>
      <c r="Z43" s="50">
        <f>Kt*EXP(-EXP(-(Tabella2[[#This Row],[Day]]-t0t)/wt))</f>
        <v>11511.321536236797</v>
      </c>
      <c r="AA43" s="10">
        <f>Tabella2[[#This Row],[Cum_D_fit]]*EXP(-(Tabella2[[#This Row],[Day]]-t0t)/wt)/wt</f>
        <v>772.23663384618942</v>
      </c>
      <c r="AB43" s="65">
        <f>Tabella2[[#This Row],[New_Deaths_fit]]*NOT(ISBLANK(Tabella2[[#This Row],[New deaths]]))</f>
        <v>772.23663384618942</v>
      </c>
      <c r="AC43" s="10">
        <f>Tabella2[[#This Row],[New_Deaths_fit]]+CIt</f>
        <v>914.86497735660623</v>
      </c>
      <c r="AD43" s="10">
        <f>MAX(Tabella2[[#This Row],[New_Deaths_fit]]-CIt,0)</f>
        <v>629.60829033577261</v>
      </c>
    </row>
    <row r="44" spans="2:46" x14ac:dyDescent="0.3">
      <c r="B44" s="9">
        <v>43921</v>
      </c>
      <c r="C44" s="4">
        <f t="shared" si="0"/>
        <v>36</v>
      </c>
      <c r="D44" s="10">
        <f>'dpc-covid19-ita-andamento-naz'!L38</f>
        <v>105792</v>
      </c>
      <c r="E44" s="30">
        <f>'dpc-covid19-ita-andamento-naz'!I38</f>
        <v>4053</v>
      </c>
      <c r="F44" s="56">
        <f>Tabella2[[#This Row],[New cases]]*NOT(ISBLANK(Tabella2[[#This Row],[New cases]]))</f>
        <v>4053</v>
      </c>
      <c r="G44" s="50">
        <f>Kn*EXP(-EXP(-(Tabella2[[#This Row],[Day]]-t0n)/wn))</f>
        <v>106007.20408872546</v>
      </c>
      <c r="H44" s="10">
        <f>Tabella2[[#This Row],[Cum_fit]]*EXP(-(Tabella2[[#This Row],[Day]]-t0n)/wn)/wn</f>
        <v>5015.6558603730027</v>
      </c>
      <c r="I44" s="56">
        <f>Tabella2[[#This Row],[New_cases_fit]]*NOT(ISBLANK(Tabella2[[#This Row],[New cases]]))</f>
        <v>5015.6558603730027</v>
      </c>
      <c r="J44" s="10">
        <f>Tabella2[[#This Row],[New_cases_fit]]+CIn</f>
        <v>6199.7107795608636</v>
      </c>
      <c r="K44" s="10">
        <f>MAX(Tabella2[[#This Row],[New_cases_fit]]-CIn,0)</f>
        <v>3831.6009411851419</v>
      </c>
      <c r="L44" s="54">
        <f>'dpc-covid19-ita-andamento-naz'!G38</f>
        <v>77635</v>
      </c>
      <c r="M44" s="54">
        <f>'dpc-covid19-ita-andamento-naz'!H38</f>
        <v>2107</v>
      </c>
      <c r="N44" s="54">
        <f>Tabella2[[#This Row],[New_cases_fit]]-Tabella2[[#This Row],[New_Recovered_fit]]-Tabella2[[#This Row],[New_Deaths_fit]]</f>
        <v>3020.8787212525172</v>
      </c>
      <c r="O44" s="10">
        <f>'dpc-covid19-ita-andamento-naz'!J38</f>
        <v>15729</v>
      </c>
      <c r="P44" s="48">
        <f>Tabella2[[#This Row],[Cum_recov]]-O43</f>
        <v>1109</v>
      </c>
      <c r="Q44" s="60">
        <f>Tabella2[[#This Row],[New recovered]]*NOT(ISBLANK(Tabella2[[#This Row],[New recovered]]))</f>
        <v>1109</v>
      </c>
      <c r="R44" s="50">
        <f>Kd*EXP(-EXP(-(Tabella2[[#This Row],[Day]]-t0d)/wd))</f>
        <v>15282.845661288422</v>
      </c>
      <c r="S44" s="10">
        <f>Tabella2[[#This Row],[Cum_R_fit]]*EXP(-(Tabella2[[#This Row],[Day]]-t0d)/wd)/wd</f>
        <v>1232.2527067385474</v>
      </c>
      <c r="T44" s="60">
        <f>Tabella2[[#This Row],[New_Recovered_fit]]*NOT(ISBLANK(Tabella2[[#This Row],[New recovered]]))</f>
        <v>1232.2527067385474</v>
      </c>
      <c r="U44" s="10">
        <f>Tabella2[[#This Row],[New_Recovered_fit]]+CId</f>
        <v>1771.8245280014244</v>
      </c>
      <c r="V44" s="10">
        <f>MAX(Tabella2[[#This Row],[New_Recovered_fit]]-CId,0)</f>
        <v>692.68088547567049</v>
      </c>
      <c r="W44" s="10">
        <f>'dpc-covid19-ita-andamento-naz'!K38</f>
        <v>12428</v>
      </c>
      <c r="X44" s="26">
        <f>Tabella2[[#This Row],[Cum_deaths]]-W43</f>
        <v>837</v>
      </c>
      <c r="Y44" s="65">
        <f>Tabella2[[#This Row],[New deaths]]*NOT(ISBLANK(Tabella2[[#This Row],[New deaths]]))</f>
        <v>837</v>
      </c>
      <c r="Z44" s="50">
        <f>Kt*EXP(-EXP(-(Tabella2[[#This Row],[Day]]-t0t)/wt))</f>
        <v>12279.010665423908</v>
      </c>
      <c r="AA44" s="10">
        <f>Tabella2[[#This Row],[Cum_D_fit]]*EXP(-(Tabella2[[#This Row],[Day]]-t0t)/wt)/wt</f>
        <v>762.52443238193848</v>
      </c>
      <c r="AB44" s="65">
        <f>Tabella2[[#This Row],[New_Deaths_fit]]*NOT(ISBLANK(Tabella2[[#This Row],[New deaths]]))</f>
        <v>762.52443238193848</v>
      </c>
      <c r="AC44" s="10">
        <f>Tabella2[[#This Row],[New_Deaths_fit]]+CIt</f>
        <v>905.15277589235529</v>
      </c>
      <c r="AD44" s="10">
        <f>MAX(Tabella2[[#This Row],[New_Deaths_fit]]-CIt,0)</f>
        <v>619.89608887152167</v>
      </c>
    </row>
    <row r="45" spans="2:46" x14ac:dyDescent="0.3">
      <c r="B45" s="9">
        <v>43922</v>
      </c>
      <c r="C45" s="4">
        <f t="shared" si="0"/>
        <v>37</v>
      </c>
      <c r="D45" s="10">
        <f>'dpc-covid19-ita-andamento-naz'!L39</f>
        <v>110574</v>
      </c>
      <c r="E45" s="30">
        <f>'dpc-covid19-ita-andamento-naz'!I39</f>
        <v>4782</v>
      </c>
      <c r="F45" s="56">
        <f>Tabella2[[#This Row],[New cases]]*NOT(ISBLANK(Tabella2[[#This Row],[New cases]]))</f>
        <v>4782</v>
      </c>
      <c r="G45" s="50">
        <f>Kn*EXP(-EXP(-(Tabella2[[#This Row],[Day]]-t0n)/wn))</f>
        <v>110956.17070038547</v>
      </c>
      <c r="H45" s="10">
        <f>Tabella2[[#This Row],[Cum_fit]]*EXP(-(Tabella2[[#This Row],[Day]]-t0n)/wn)/wn</f>
        <v>4880.1483898601018</v>
      </c>
      <c r="I45" s="56">
        <f>Tabella2[[#This Row],[New_cases_fit]]*NOT(ISBLANK(Tabella2[[#This Row],[New cases]]))</f>
        <v>4880.1483898601018</v>
      </c>
      <c r="J45" s="10">
        <f>Tabella2[[#This Row],[New_cases_fit]]+CIn</f>
        <v>6064.2033090479626</v>
      </c>
      <c r="K45" s="10">
        <f>MAX(Tabella2[[#This Row],[New_cases_fit]]-CIn,0)</f>
        <v>3696.093470672241</v>
      </c>
      <c r="L45" s="54">
        <f>'dpc-covid19-ita-andamento-naz'!G39</f>
        <v>80572</v>
      </c>
      <c r="M45" s="54">
        <f>'dpc-covid19-ita-andamento-naz'!H39</f>
        <v>2937</v>
      </c>
      <c r="N45" s="54">
        <f>Tabella2[[#This Row],[New_cases_fit]]-Tabella2[[#This Row],[New_Recovered_fit]]-Tabella2[[#This Row],[New_Deaths_fit]]</f>
        <v>2840.2260673749824</v>
      </c>
      <c r="O45" s="10">
        <f>'dpc-covid19-ita-andamento-naz'!J39</f>
        <v>16847</v>
      </c>
      <c r="P45" s="48">
        <f>Tabella2[[#This Row],[Cum_recov]]-O44</f>
        <v>1118</v>
      </c>
      <c r="Q45" s="60">
        <f>Tabella2[[#This Row],[New recovered]]*NOT(ISBLANK(Tabella2[[#This Row],[New recovered]]))</f>
        <v>1118</v>
      </c>
      <c r="R45" s="50">
        <f>Kd*EXP(-EXP(-(Tabella2[[#This Row],[Day]]-t0d)/wd))</f>
        <v>16544.318452197669</v>
      </c>
      <c r="S45" s="10">
        <f>Tabella2[[#This Row],[Cum_R_fit]]*EXP(-(Tabella2[[#This Row],[Day]]-t0d)/wd)/wd</f>
        <v>1290.5915201663477</v>
      </c>
      <c r="T45" s="60">
        <f>Tabella2[[#This Row],[New_Recovered_fit]]*NOT(ISBLANK(Tabella2[[#This Row],[New recovered]]))</f>
        <v>1290.5915201663477</v>
      </c>
      <c r="U45" s="10">
        <f>Tabella2[[#This Row],[New_Recovered_fit]]+CId</f>
        <v>1830.1633414292246</v>
      </c>
      <c r="V45" s="10">
        <f>MAX(Tabella2[[#This Row],[New_Recovered_fit]]-CId,0)</f>
        <v>751.01969890347073</v>
      </c>
      <c r="W45" s="10">
        <f>'dpc-covid19-ita-andamento-naz'!K39</f>
        <v>13155</v>
      </c>
      <c r="X45" s="26">
        <f>Tabella2[[#This Row],[Cum_deaths]]-W44</f>
        <v>727</v>
      </c>
      <c r="Y45" s="65">
        <f>Tabella2[[#This Row],[New deaths]]*NOT(ISBLANK(Tabella2[[#This Row],[New deaths]]))</f>
        <v>727</v>
      </c>
      <c r="Z45" s="50">
        <f>Kt*EXP(-EXP(-(Tabella2[[#This Row],[Day]]-t0t)/wt))</f>
        <v>13035.209826297079</v>
      </c>
      <c r="AA45" s="10">
        <f>Tabella2[[#This Row],[Cum_D_fit]]*EXP(-(Tabella2[[#This Row],[Day]]-t0t)/wt)/wt</f>
        <v>749.3308023187717</v>
      </c>
      <c r="AB45" s="65">
        <f>Tabella2[[#This Row],[New_Deaths_fit]]*NOT(ISBLANK(Tabella2[[#This Row],[New deaths]]))</f>
        <v>749.3308023187717</v>
      </c>
      <c r="AC45" s="10">
        <f>Tabella2[[#This Row],[New_Deaths_fit]]+CIt</f>
        <v>891.9591458291884</v>
      </c>
      <c r="AD45" s="10">
        <f>MAX(Tabella2[[#This Row],[New_Deaths_fit]]-CIt,0)</f>
        <v>606.702458808355</v>
      </c>
    </row>
    <row r="46" spans="2:46" x14ac:dyDescent="0.3">
      <c r="B46" s="9">
        <v>43923</v>
      </c>
      <c r="C46" s="4">
        <f t="shared" si="0"/>
        <v>38</v>
      </c>
      <c r="D46" s="10">
        <f>'dpc-covid19-ita-andamento-naz'!L40</f>
        <v>115242</v>
      </c>
      <c r="E46" s="30">
        <f>'dpc-covid19-ita-andamento-naz'!I40</f>
        <v>4668</v>
      </c>
      <c r="F46" s="56">
        <f>Tabella2[[#This Row],[New cases]]*NOT(ISBLANK(Tabella2[[#This Row],[New cases]]))</f>
        <v>4668</v>
      </c>
      <c r="G46" s="50">
        <f>Kn*EXP(-EXP(-(Tabella2[[#This Row],[Day]]-t0n)/wn))</f>
        <v>115763.64565169488</v>
      </c>
      <c r="H46" s="10">
        <f>Tabella2[[#This Row],[Cum_fit]]*EXP(-(Tabella2[[#This Row],[Day]]-t0n)/wn)/wn</f>
        <v>4733.0705750495772</v>
      </c>
      <c r="I46" s="56">
        <f>Tabella2[[#This Row],[New_cases_fit]]*NOT(ISBLANK(Tabella2[[#This Row],[New cases]]))</f>
        <v>4733.0705750495772</v>
      </c>
      <c r="J46" s="10">
        <f>Tabella2[[#This Row],[New_cases_fit]]+CIn</f>
        <v>5917.125494237438</v>
      </c>
      <c r="K46" s="10">
        <f>MAX(Tabella2[[#This Row],[New_cases_fit]]-CIn,0)</f>
        <v>3549.0156558617164</v>
      </c>
      <c r="L46" s="54">
        <f>'dpc-covid19-ita-andamento-naz'!G40</f>
        <v>83049</v>
      </c>
      <c r="M46" s="54">
        <f>'dpc-covid19-ita-andamento-naz'!H40</f>
        <v>2477</v>
      </c>
      <c r="N46" s="54">
        <f>Tabella2[[#This Row],[New_cases_fit]]-Tabella2[[#This Row],[New_Recovered_fit]]-Tabella2[[#This Row],[New_Deaths_fit]]</f>
        <v>2651.7570546611823</v>
      </c>
      <c r="O46" s="10">
        <f>'dpc-covid19-ita-andamento-naz'!J40</f>
        <v>18278</v>
      </c>
      <c r="P46" s="48">
        <f>Tabella2[[#This Row],[Cum_recov]]-O45</f>
        <v>1431</v>
      </c>
      <c r="Q46" s="60">
        <f>Tabella2[[#This Row],[New recovered]]*NOT(ISBLANK(Tabella2[[#This Row],[New recovered]]))</f>
        <v>1431</v>
      </c>
      <c r="R46" s="50">
        <f>Kd*EXP(-EXP(-(Tabella2[[#This Row],[Day]]-t0d)/wd))</f>
        <v>17863.788858273234</v>
      </c>
      <c r="S46" s="10">
        <f>Tabella2[[#This Row],[Cum_R_fit]]*EXP(-(Tabella2[[#This Row],[Day]]-t0d)/wd)/wd</f>
        <v>1348.2110302321601</v>
      </c>
      <c r="T46" s="60">
        <f>Tabella2[[#This Row],[New_Recovered_fit]]*NOT(ISBLANK(Tabella2[[#This Row],[New recovered]]))</f>
        <v>1348.2110302321601</v>
      </c>
      <c r="U46" s="10">
        <f>Tabella2[[#This Row],[New_Recovered_fit]]+CId</f>
        <v>1887.782851495037</v>
      </c>
      <c r="V46" s="10">
        <f>MAX(Tabella2[[#This Row],[New_Recovered_fit]]-CId,0)</f>
        <v>808.63920896928312</v>
      </c>
      <c r="W46" s="10">
        <f>'dpc-covid19-ita-andamento-naz'!K40</f>
        <v>13915</v>
      </c>
      <c r="X46" s="26">
        <f>Tabella2[[#This Row],[Cum_deaths]]-W45</f>
        <v>760</v>
      </c>
      <c r="Y46" s="65">
        <f>Tabella2[[#This Row],[New deaths]]*NOT(ISBLANK(Tabella2[[#This Row],[New deaths]]))</f>
        <v>760</v>
      </c>
      <c r="Z46" s="50">
        <f>Kt*EXP(-EXP(-(Tabella2[[#This Row],[Day]]-t0t)/wt))</f>
        <v>13776.660746633459</v>
      </c>
      <c r="AA46" s="10">
        <f>Tabella2[[#This Row],[Cum_D_fit]]*EXP(-(Tabella2[[#This Row],[Day]]-t0t)/wt)/wt</f>
        <v>733.10249015623492</v>
      </c>
      <c r="AB46" s="65">
        <f>Tabella2[[#This Row],[New_Deaths_fit]]*NOT(ISBLANK(Tabella2[[#This Row],[New deaths]]))</f>
        <v>733.10249015623492</v>
      </c>
      <c r="AC46" s="10">
        <f>Tabella2[[#This Row],[New_Deaths_fit]]+CIt</f>
        <v>875.73083366665173</v>
      </c>
      <c r="AD46" s="10">
        <f>MAX(Tabella2[[#This Row],[New_Deaths_fit]]-CIt,0)</f>
        <v>590.47414664581811</v>
      </c>
    </row>
    <row r="47" spans="2:46" x14ac:dyDescent="0.3">
      <c r="B47" s="9">
        <v>43924</v>
      </c>
      <c r="C47" s="4">
        <f t="shared" si="0"/>
        <v>39</v>
      </c>
      <c r="D47" s="10">
        <f>'dpc-covid19-ita-andamento-naz'!L41</f>
        <v>119827</v>
      </c>
      <c r="E47" s="30">
        <f>'dpc-covid19-ita-andamento-naz'!I41</f>
        <v>4585</v>
      </c>
      <c r="F47" s="56">
        <f>Tabella2[[#This Row],[New cases]]*NOT(ISBLANK(Tabella2[[#This Row],[New cases]]))</f>
        <v>4585</v>
      </c>
      <c r="G47" s="50">
        <f>Kn*EXP(-EXP(-(Tabella2[[#This Row],[Day]]-t0n)/wn))</f>
        <v>120419.22800794897</v>
      </c>
      <c r="H47" s="10">
        <f>Tabella2[[#This Row],[Cum_fit]]*EXP(-(Tabella2[[#This Row],[Day]]-t0n)/wn)/wn</f>
        <v>4576.7357832233738</v>
      </c>
      <c r="I47" s="56">
        <f>Tabella2[[#This Row],[New_cases_fit]]*NOT(ISBLANK(Tabella2[[#This Row],[New cases]]))</f>
        <v>4576.7357832233738</v>
      </c>
      <c r="J47" s="10">
        <f>Tabella2[[#This Row],[New_cases_fit]]+CIn</f>
        <v>5760.7907024112346</v>
      </c>
      <c r="K47" s="10">
        <f>MAX(Tabella2[[#This Row],[New_cases_fit]]-CIn,0)</f>
        <v>3392.680864035513</v>
      </c>
      <c r="L47" s="54">
        <f>'dpc-covid19-ita-andamento-naz'!G41</f>
        <v>85388</v>
      </c>
      <c r="M47" s="54">
        <f>'dpc-covid19-ita-andamento-naz'!H41</f>
        <v>2339</v>
      </c>
      <c r="N47" s="54">
        <f>Tabella2[[#This Row],[New_cases_fit]]-Tabella2[[#This Row],[New_Recovered_fit]]-Tabella2[[#This Row],[New_Deaths_fit]]</f>
        <v>2457.5591189515935</v>
      </c>
      <c r="O47" s="10">
        <f>'dpc-covid19-ita-andamento-naz'!J41</f>
        <v>19758</v>
      </c>
      <c r="P47" s="48">
        <f>Tabella2[[#This Row],[Cum_recov]]-O46</f>
        <v>1480</v>
      </c>
      <c r="Q47" s="60">
        <f>Tabella2[[#This Row],[New recovered]]*NOT(ISBLANK(Tabella2[[#This Row],[New recovered]]))</f>
        <v>1480</v>
      </c>
      <c r="R47" s="50">
        <f>Kd*EXP(-EXP(-(Tabella2[[#This Row],[Day]]-t0d)/wd))</f>
        <v>19240.42807119749</v>
      </c>
      <c r="S47" s="10">
        <f>Tabella2[[#This Row],[Cum_R_fit]]*EXP(-(Tabella2[[#This Row],[Day]]-t0d)/wd)/wd</f>
        <v>1404.8934961864347</v>
      </c>
      <c r="T47" s="60">
        <f>Tabella2[[#This Row],[New_Recovered_fit]]*NOT(ISBLANK(Tabella2[[#This Row],[New recovered]]))</f>
        <v>1404.8934961864347</v>
      </c>
      <c r="U47" s="10">
        <f>Tabella2[[#This Row],[New_Recovered_fit]]+CId</f>
        <v>1944.4653174493117</v>
      </c>
      <c r="V47" s="10">
        <f>MAX(Tabella2[[#This Row],[New_Recovered_fit]]-CId,0)</f>
        <v>865.32167492355779</v>
      </c>
      <c r="W47" s="10">
        <f>'dpc-covid19-ita-andamento-naz'!K41</f>
        <v>14681</v>
      </c>
      <c r="X47" s="26">
        <f>Tabella2[[#This Row],[Cum_deaths]]-W46</f>
        <v>766</v>
      </c>
      <c r="Y47" s="65">
        <f>Tabella2[[#This Row],[New deaths]]*NOT(ISBLANK(Tabella2[[#This Row],[New deaths]]))</f>
        <v>766</v>
      </c>
      <c r="Z47" s="50">
        <f>Kt*EXP(-EXP(-(Tabella2[[#This Row],[Day]]-t0t)/wt))</f>
        <v>14500.551283581302</v>
      </c>
      <c r="AA47" s="10">
        <f>Tabella2[[#This Row],[Cum_D_fit]]*EXP(-(Tabella2[[#This Row],[Day]]-t0t)/wt)/wt</f>
        <v>714.28316808534566</v>
      </c>
      <c r="AB47" s="65">
        <f>Tabella2[[#This Row],[New_Deaths_fit]]*NOT(ISBLANK(Tabella2[[#This Row],[New deaths]]))</f>
        <v>714.28316808534566</v>
      </c>
      <c r="AC47" s="10">
        <f>Tabella2[[#This Row],[New_Deaths_fit]]+CIt</f>
        <v>856.91151159576248</v>
      </c>
      <c r="AD47" s="10">
        <f>MAX(Tabella2[[#This Row],[New_Deaths_fit]]-CIt,0)</f>
        <v>571.65482457492885</v>
      </c>
    </row>
    <row r="48" spans="2:46" x14ac:dyDescent="0.3">
      <c r="B48" s="9">
        <v>43925</v>
      </c>
      <c r="C48" s="4">
        <f t="shared" si="0"/>
        <v>40</v>
      </c>
      <c r="D48" s="10">
        <f>'dpc-covid19-ita-andamento-naz'!L42</f>
        <v>124632</v>
      </c>
      <c r="E48" s="30">
        <f>'dpc-covid19-ita-andamento-naz'!I42</f>
        <v>4805</v>
      </c>
      <c r="F48" s="56">
        <f>Tabella2[[#This Row],[New cases]]*NOT(ISBLANK(Tabella2[[#This Row],[New cases]]))</f>
        <v>4805</v>
      </c>
      <c r="G48" s="50">
        <f>Kn*EXP(-EXP(-(Tabella2[[#This Row],[Day]]-t0n)/wn))</f>
        <v>124914.75048702143</v>
      </c>
      <c r="H48" s="10">
        <f>Tabella2[[#This Row],[Cum_fit]]*EXP(-(Tabella2[[#This Row],[Day]]-t0n)/wn)/wn</f>
        <v>4413.2948630595956</v>
      </c>
      <c r="I48" s="56">
        <f>Tabella2[[#This Row],[New_cases_fit]]*NOT(ISBLANK(Tabella2[[#This Row],[New cases]]))</f>
        <v>4413.2948630595956</v>
      </c>
      <c r="J48" s="10">
        <f>Tabella2[[#This Row],[New_cases_fit]]+CIn</f>
        <v>5597.3497822474565</v>
      </c>
      <c r="K48" s="10">
        <f>MAX(Tabella2[[#This Row],[New_cases_fit]]-CIn,0)</f>
        <v>3229.2399438717348</v>
      </c>
      <c r="L48" s="54">
        <f>'dpc-covid19-ita-andamento-naz'!G42</f>
        <v>88274</v>
      </c>
      <c r="M48" s="54">
        <f>'dpc-covid19-ita-andamento-naz'!H42</f>
        <v>2886</v>
      </c>
      <c r="N48" s="54">
        <f>Tabella2[[#This Row],[New_cases_fit]]-Tabella2[[#This Row],[New_Recovered_fit]]-Tabella2[[#This Row],[New_Deaths_fit]]</f>
        <v>2259.5617482256757</v>
      </c>
      <c r="O48" s="10">
        <f>'dpc-covid19-ita-andamento-naz'!J42</f>
        <v>20996</v>
      </c>
      <c r="P48" s="48">
        <f>Tabella2[[#This Row],[Cum_recov]]-O47</f>
        <v>1238</v>
      </c>
      <c r="Q48" s="60">
        <f>Tabella2[[#This Row],[New recovered]]*NOT(ISBLANK(Tabella2[[#This Row],[New recovered]]))</f>
        <v>1238</v>
      </c>
      <c r="R48" s="50">
        <f>Kd*EXP(-EXP(-(Tabella2[[#This Row],[Day]]-t0d)/wd))</f>
        <v>20673.193609054561</v>
      </c>
      <c r="S48" s="10">
        <f>Tabella2[[#This Row],[Cum_R_fit]]*EXP(-(Tabella2[[#This Row],[Day]]-t0d)/wd)/wd</f>
        <v>1460.4295656191953</v>
      </c>
      <c r="T48" s="60">
        <f>Tabella2[[#This Row],[New_Recovered_fit]]*NOT(ISBLANK(Tabella2[[#This Row],[New recovered]]))</f>
        <v>1460.4295656191953</v>
      </c>
      <c r="U48" s="10">
        <f>Tabella2[[#This Row],[New_Recovered_fit]]+CId</f>
        <v>2000.0013868820722</v>
      </c>
      <c r="V48" s="10">
        <f>MAX(Tabella2[[#This Row],[New_Recovered_fit]]-CId,0)</f>
        <v>920.85774435631834</v>
      </c>
      <c r="W48" s="10">
        <f>'dpc-covid19-ita-andamento-naz'!K42</f>
        <v>15362</v>
      </c>
      <c r="X48" s="26">
        <f>Tabella2[[#This Row],[Cum_deaths]]-W47</f>
        <v>681</v>
      </c>
      <c r="Y48" s="65">
        <f>Tabella2[[#This Row],[New deaths]]*NOT(ISBLANK(Tabella2[[#This Row],[New deaths]]))</f>
        <v>681</v>
      </c>
      <c r="Z48" s="50">
        <f>Kt*EXP(-EXP(-(Tabella2[[#This Row],[Day]]-t0t)/wt))</f>
        <v>15204.507215717409</v>
      </c>
      <c r="AA48" s="10">
        <f>Tabella2[[#This Row],[Cum_D_fit]]*EXP(-(Tabella2[[#This Row],[Day]]-t0t)/wt)/wt</f>
        <v>693.30354921472474</v>
      </c>
      <c r="AB48" s="65">
        <f>Tabella2[[#This Row],[New_Deaths_fit]]*NOT(ISBLANK(Tabella2[[#This Row],[New deaths]]))</f>
        <v>693.30354921472474</v>
      </c>
      <c r="AC48" s="10">
        <f>Tabella2[[#This Row],[New_Deaths_fit]]+CIt</f>
        <v>835.93189272514155</v>
      </c>
      <c r="AD48" s="10">
        <f>MAX(Tabella2[[#This Row],[New_Deaths_fit]]-CIt,0)</f>
        <v>550.67520570430793</v>
      </c>
    </row>
    <row r="49" spans="2:30" x14ac:dyDescent="0.3">
      <c r="B49" s="9">
        <v>43926</v>
      </c>
      <c r="C49" s="4">
        <f t="shared" si="0"/>
        <v>41</v>
      </c>
      <c r="D49" s="10">
        <f>'dpc-covid19-ita-andamento-naz'!L43</f>
        <v>128948</v>
      </c>
      <c r="E49" s="30">
        <f>'dpc-covid19-ita-andamento-naz'!I43</f>
        <v>4316</v>
      </c>
      <c r="F49" s="56">
        <f>Tabella2[[#This Row],[New cases]]*NOT(ISBLANK(Tabella2[[#This Row],[New cases]]))</f>
        <v>4316</v>
      </c>
      <c r="G49" s="50">
        <f>Kn*EXP(-EXP(-(Tabella2[[#This Row],[Day]]-t0n)/wn))</f>
        <v>129244.10896075536</v>
      </c>
      <c r="H49" s="10">
        <f>Tabella2[[#This Row],[Cum_fit]]*EXP(-(Tabella2[[#This Row],[Day]]-t0n)/wn)/wn</f>
        <v>4244.7214313242521</v>
      </c>
      <c r="I49" s="56">
        <f>Tabella2[[#This Row],[New_cases_fit]]*NOT(ISBLANK(Tabella2[[#This Row],[New cases]]))</f>
        <v>4244.7214313242521</v>
      </c>
      <c r="J49" s="10">
        <f>Tabella2[[#This Row],[New_cases_fit]]+CIn</f>
        <v>5428.7763505121129</v>
      </c>
      <c r="K49" s="10">
        <f>MAX(Tabella2[[#This Row],[New_cases_fit]]-CIn,0)</f>
        <v>3060.6665121363912</v>
      </c>
      <c r="L49" s="54">
        <f>'dpc-covid19-ita-andamento-naz'!G43</f>
        <v>91246</v>
      </c>
      <c r="M49" s="54">
        <f>'dpc-covid19-ita-andamento-naz'!H43</f>
        <v>2972</v>
      </c>
      <c r="N49" s="54">
        <f>Tabella2[[#This Row],[New_cases_fit]]-Tabella2[[#This Row],[New_Recovered_fit]]-Tabella2[[#This Row],[New_Deaths_fit]]</f>
        <v>2059.5279958493779</v>
      </c>
      <c r="O49" s="10">
        <f>'dpc-covid19-ita-andamento-naz'!J43</f>
        <v>21815</v>
      </c>
      <c r="P49" s="48">
        <f>Tabella2[[#This Row],[Cum_recov]]-O48</f>
        <v>819</v>
      </c>
      <c r="Q49" s="60">
        <f>Tabella2[[#This Row],[New recovered]]*NOT(ISBLANK(Tabella2[[#This Row],[New recovered]]))</f>
        <v>819</v>
      </c>
      <c r="R49" s="50">
        <f>Kd*EXP(-EXP(-(Tabella2[[#This Row],[Day]]-t0d)/wd))</f>
        <v>22160.838438182087</v>
      </c>
      <c r="S49" s="10">
        <f>Tabella2[[#This Row],[Cum_R_fit]]*EXP(-(Tabella2[[#This Row],[Day]]-t0d)/wd)/wd</f>
        <v>1514.6197126099355</v>
      </c>
      <c r="T49" s="60">
        <f>Tabella2[[#This Row],[New_Recovered_fit]]*NOT(ISBLANK(Tabella2[[#This Row],[New recovered]]))</f>
        <v>1514.6197126099355</v>
      </c>
      <c r="U49" s="10">
        <f>Tabella2[[#This Row],[New_Recovered_fit]]+CId</f>
        <v>2054.1915338728122</v>
      </c>
      <c r="V49" s="10">
        <f>MAX(Tabella2[[#This Row],[New_Recovered_fit]]-CId,0)</f>
        <v>975.04789134705857</v>
      </c>
      <c r="W49" s="10">
        <f>'dpc-covid19-ita-andamento-naz'!K43</f>
        <v>15887</v>
      </c>
      <c r="X49" s="26">
        <f>Tabella2[[#This Row],[Cum_deaths]]-W48</f>
        <v>525</v>
      </c>
      <c r="Y49" s="65">
        <f>Tabella2[[#This Row],[New deaths]]*NOT(ISBLANK(Tabella2[[#This Row],[New deaths]]))</f>
        <v>525</v>
      </c>
      <c r="Z49" s="50">
        <f>Kt*EXP(-EXP(-(Tabella2[[#This Row],[Day]]-t0t)/wt))</f>
        <v>15886.575273662003</v>
      </c>
      <c r="AA49" s="10">
        <f>Tabella2[[#This Row],[Cum_D_fit]]*EXP(-(Tabella2[[#This Row],[Day]]-t0t)/wt)/wt</f>
        <v>670.57372286493876</v>
      </c>
      <c r="AB49" s="65">
        <f>Tabella2[[#This Row],[New_Deaths_fit]]*NOT(ISBLANK(Tabella2[[#This Row],[New deaths]]))</f>
        <v>670.57372286493876</v>
      </c>
      <c r="AC49" s="10">
        <f>Tabella2[[#This Row],[New_Deaths_fit]]+CIt</f>
        <v>813.20206637535557</v>
      </c>
      <c r="AD49" s="10">
        <f>MAX(Tabella2[[#This Row],[New_Deaths_fit]]-CIt,0)</f>
        <v>527.94537935452195</v>
      </c>
    </row>
    <row r="50" spans="2:30" x14ac:dyDescent="0.3">
      <c r="B50" s="9">
        <v>43927</v>
      </c>
      <c r="C50" s="4">
        <f t="shared" si="0"/>
        <v>42</v>
      </c>
      <c r="D50" s="10">
        <f>'dpc-covid19-ita-andamento-naz'!L44</f>
        <v>132547</v>
      </c>
      <c r="E50" s="30">
        <f>'dpc-covid19-ita-andamento-naz'!I44</f>
        <v>3599</v>
      </c>
      <c r="F50" s="56">
        <f>Tabella2[[#This Row],[New cases]]*NOT(ISBLANK(Tabella2[[#This Row],[New cases]]))</f>
        <v>3599</v>
      </c>
      <c r="G50" s="50">
        <f>Kn*EXP(-EXP(-(Tabella2[[#This Row],[Day]]-t0n)/wn))</f>
        <v>133403.08077984152</v>
      </c>
      <c r="H50" s="10">
        <f>Tabella2[[#This Row],[Cum_fit]]*EXP(-(Tabella2[[#This Row],[Day]]-t0n)/wn)/wn</f>
        <v>4072.8040309470907</v>
      </c>
      <c r="I50" s="56">
        <f>Tabella2[[#This Row],[New_cases_fit]]*NOT(ISBLANK(Tabella2[[#This Row],[New cases]]))</f>
        <v>4072.8040309470907</v>
      </c>
      <c r="J50" s="10">
        <f>Tabella2[[#This Row],[New_cases_fit]]+CIn</f>
        <v>5256.8589501349516</v>
      </c>
      <c r="K50" s="10">
        <f>MAX(Tabella2[[#This Row],[New_cases_fit]]-CIn,0)</f>
        <v>2888.7491117592299</v>
      </c>
      <c r="L50" s="54">
        <f>'dpc-covid19-ita-andamento-naz'!G44</f>
        <v>93187</v>
      </c>
      <c r="M50" s="54">
        <f>'dpc-covid19-ita-andamento-naz'!H44</f>
        <v>1941</v>
      </c>
      <c r="N50" s="54">
        <f>Tabella2[[#This Row],[New_cases_fit]]-Tabella2[[#This Row],[New_Recovered_fit]]-Tabella2[[#This Row],[New_Deaths_fit]]</f>
        <v>1859.0510123896238</v>
      </c>
      <c r="O50" s="10">
        <f>'dpc-covid19-ita-andamento-naz'!J44</f>
        <v>22837</v>
      </c>
      <c r="P50" s="48">
        <f>Tabella2[[#This Row],[Cum_recov]]-O49</f>
        <v>1022</v>
      </c>
      <c r="Q50" s="60">
        <f>Tabella2[[#This Row],[New recovered]]*NOT(ISBLANK(Tabella2[[#This Row],[New recovered]]))</f>
        <v>1022</v>
      </c>
      <c r="R50" s="50">
        <f>Kd*EXP(-EXP(-(Tabella2[[#This Row],[Day]]-t0d)/wd))</f>
        <v>23701.921445351676</v>
      </c>
      <c r="S50" s="10">
        <f>Tabella2[[#This Row],[Cum_R_fit]]*EXP(-(Tabella2[[#This Row],[Day]]-t0d)/wd)/wd</f>
        <v>1567.2754991563213</v>
      </c>
      <c r="T50" s="60">
        <f>Tabella2[[#This Row],[New_Recovered_fit]]*NOT(ISBLANK(Tabella2[[#This Row],[New recovered]]))</f>
        <v>1567.2754991563213</v>
      </c>
      <c r="U50" s="10">
        <f>Tabella2[[#This Row],[New_Recovered_fit]]+CId</f>
        <v>2106.8473204191982</v>
      </c>
      <c r="V50" s="10">
        <f>MAX(Tabella2[[#This Row],[New_Recovered_fit]]-CId,0)</f>
        <v>1027.7036778934444</v>
      </c>
      <c r="W50" s="10">
        <f>'dpc-covid19-ita-andamento-naz'!K44</f>
        <v>16523</v>
      </c>
      <c r="X50" s="26">
        <f>Tabella2[[#This Row],[Cum_deaths]]-W49</f>
        <v>636</v>
      </c>
      <c r="Y50" s="65">
        <f>Tabella2[[#This Row],[New deaths]]*NOT(ISBLANK(Tabella2[[#This Row],[New deaths]]))</f>
        <v>636</v>
      </c>
      <c r="Z50" s="50">
        <f>Kt*EXP(-EXP(-(Tabella2[[#This Row],[Day]]-t0t)/wt))</f>
        <v>16545.199538882207</v>
      </c>
      <c r="AA50" s="10">
        <f>Tabella2[[#This Row],[Cum_D_fit]]*EXP(-(Tabella2[[#This Row],[Day]]-t0t)/wt)/wt</f>
        <v>646.4775194011454</v>
      </c>
      <c r="AB50" s="65">
        <f>Tabella2[[#This Row],[New_Deaths_fit]]*NOT(ISBLANK(Tabella2[[#This Row],[New deaths]]))</f>
        <v>646.4775194011454</v>
      </c>
      <c r="AC50" s="10">
        <f>Tabella2[[#This Row],[New_Deaths_fit]]+CIt</f>
        <v>789.1058629115621</v>
      </c>
      <c r="AD50" s="10">
        <f>MAX(Tabella2[[#This Row],[New_Deaths_fit]]-CIt,0)</f>
        <v>503.84917589072865</v>
      </c>
    </row>
    <row r="51" spans="2:30" x14ac:dyDescent="0.3">
      <c r="B51" s="9">
        <v>43928</v>
      </c>
      <c r="C51" s="4">
        <f t="shared" si="0"/>
        <v>43</v>
      </c>
      <c r="D51" s="10">
        <f>'dpc-covid19-ita-andamento-naz'!L45</f>
        <v>135586</v>
      </c>
      <c r="E51" s="30">
        <f>'dpc-covid19-ita-andamento-naz'!I45</f>
        <v>3039</v>
      </c>
      <c r="F51" s="56">
        <f>Tabella2[[#This Row],[New cases]]*NOT(ISBLANK(Tabella2[[#This Row],[New cases]]))</f>
        <v>3039</v>
      </c>
      <c r="G51" s="50">
        <f>Kn*EXP(-EXP(-(Tabella2[[#This Row],[Day]]-t0n)/wn))</f>
        <v>137389.13819477771</v>
      </c>
      <c r="H51" s="10">
        <f>Tabella2[[#This Row],[Cum_fit]]*EXP(-(Tabella2[[#This Row],[Day]]-t0n)/wn)/wn</f>
        <v>3899.1439721506463</v>
      </c>
      <c r="I51" s="56">
        <f>Tabella2[[#This Row],[New_cases_fit]]*NOT(ISBLANK(Tabella2[[#This Row],[New cases]]))</f>
        <v>3899.1439721506463</v>
      </c>
      <c r="J51" s="10">
        <f>Tabella2[[#This Row],[New_cases_fit]]+CIn</f>
        <v>5083.1988913385067</v>
      </c>
      <c r="K51" s="10">
        <f>MAX(Tabella2[[#This Row],[New_cases_fit]]-CIn,0)</f>
        <v>2715.0890529627859</v>
      </c>
      <c r="L51" s="54">
        <f>'dpc-covid19-ita-andamento-naz'!G45</f>
        <v>94067</v>
      </c>
      <c r="M51" s="54">
        <f>'dpc-covid19-ita-andamento-naz'!H45</f>
        <v>880</v>
      </c>
      <c r="N51" s="54">
        <f>Tabella2[[#This Row],[New_cases_fit]]-Tabella2[[#This Row],[New_Recovered_fit]]-Tabella2[[#This Row],[New_Deaths_fit]]</f>
        <v>1659.5546470089298</v>
      </c>
      <c r="O51" s="10">
        <f>'dpc-covid19-ita-andamento-naz'!J45</f>
        <v>24392</v>
      </c>
      <c r="P51" s="48">
        <f>Tabella2[[#This Row],[Cum_recov]]-O50</f>
        <v>1555</v>
      </c>
      <c r="Q51" s="60">
        <f>Tabella2[[#This Row],[New recovered]]*NOT(ISBLANK(Tabella2[[#This Row],[New recovered]]))</f>
        <v>1555</v>
      </c>
      <c r="R51" s="50">
        <f>Kd*EXP(-EXP(-(Tabella2[[#This Row],[Day]]-t0d)/wd))</f>
        <v>25294.81908090198</v>
      </c>
      <c r="S51" s="10">
        <f>Tabella2[[#This Row],[Cum_R_fit]]*EXP(-(Tabella2[[#This Row],[Day]]-t0d)/wd)/wd</f>
        <v>1618.2206551443589</v>
      </c>
      <c r="T51" s="60">
        <f>Tabella2[[#This Row],[New_Recovered_fit]]*NOT(ISBLANK(Tabella2[[#This Row],[New recovered]]))</f>
        <v>1618.2206551443589</v>
      </c>
      <c r="U51" s="10">
        <f>Tabella2[[#This Row],[New_Recovered_fit]]+CId</f>
        <v>2157.7924764072359</v>
      </c>
      <c r="V51" s="10">
        <f>MAX(Tabella2[[#This Row],[New_Recovered_fit]]-CId,0)</f>
        <v>1078.648833881482</v>
      </c>
      <c r="W51" s="10">
        <f>'dpc-covid19-ita-andamento-naz'!K45</f>
        <v>17127</v>
      </c>
      <c r="X51" s="26">
        <f>Tabella2[[#This Row],[Cum_deaths]]-W50</f>
        <v>604</v>
      </c>
      <c r="Y51" s="65">
        <f>Tabella2[[#This Row],[New deaths]]*NOT(ISBLANK(Tabella2[[#This Row],[New deaths]]))</f>
        <v>604</v>
      </c>
      <c r="Z51" s="50">
        <f>Kt*EXP(-EXP(-(Tabella2[[#This Row],[Day]]-t0t)/wt))</f>
        <v>17179.193125504724</v>
      </c>
      <c r="AA51" s="10">
        <f>Tabella2[[#This Row],[Cum_D_fit]]*EXP(-(Tabella2[[#This Row],[Day]]-t0t)/wt)/wt</f>
        <v>621.3686699973573</v>
      </c>
      <c r="AB51" s="65">
        <f>Tabella2[[#This Row],[New_Deaths_fit]]*NOT(ISBLANK(Tabella2[[#This Row],[New deaths]]))</f>
        <v>621.3686699973573</v>
      </c>
      <c r="AC51" s="10">
        <f>Tabella2[[#This Row],[New_Deaths_fit]]+CIt</f>
        <v>763.997013507774</v>
      </c>
      <c r="AD51" s="10">
        <f>MAX(Tabella2[[#This Row],[New_Deaths_fit]]-CIt,0)</f>
        <v>478.74032648694055</v>
      </c>
    </row>
    <row r="52" spans="2:30" x14ac:dyDescent="0.3">
      <c r="B52" s="9">
        <v>43929</v>
      </c>
      <c r="C52" s="4">
        <f t="shared" si="0"/>
        <v>44</v>
      </c>
      <c r="D52" s="10">
        <f>'dpc-covid19-ita-andamento-naz'!L46</f>
        <v>139422</v>
      </c>
      <c r="E52" s="30">
        <f>'dpc-covid19-ita-andamento-naz'!I46</f>
        <v>3836</v>
      </c>
      <c r="F52" s="56">
        <f>Tabella2[[#This Row],[New cases]]*NOT(ISBLANK(Tabella2[[#This Row],[New cases]]))</f>
        <v>3836</v>
      </c>
      <c r="G52" s="50">
        <f>Kn*EXP(-EXP(-(Tabella2[[#This Row],[Day]]-t0n)/wn))</f>
        <v>141201.26199120883</v>
      </c>
      <c r="H52" s="10">
        <f>Tabella2[[#This Row],[Cum_fit]]*EXP(-(Tabella2[[#This Row],[Day]]-t0n)/wn)/wn</f>
        <v>3725.1577421452093</v>
      </c>
      <c r="I52" s="56">
        <f>Tabella2[[#This Row],[New_cases_fit]]*NOT(ISBLANK(Tabella2[[#This Row],[New cases]]))</f>
        <v>3725.1577421452093</v>
      </c>
      <c r="J52" s="10">
        <f>Tabella2[[#This Row],[New_cases_fit]]+CIn</f>
        <v>4909.2126613330702</v>
      </c>
      <c r="K52" s="10">
        <f>MAX(Tabella2[[#This Row],[New_cases_fit]]-CIn,0)</f>
        <v>2541.1028229573485</v>
      </c>
      <c r="L52" s="54">
        <f>'dpc-covid19-ita-andamento-naz'!G46</f>
        <v>95262</v>
      </c>
      <c r="M52" s="54">
        <f>'dpc-covid19-ita-andamento-naz'!H46</f>
        <v>1195</v>
      </c>
      <c r="N52" s="54">
        <f>Tabella2[[#This Row],[New_cases_fit]]-Tabella2[[#This Row],[New_Recovered_fit]]-Tabella2[[#This Row],[New_Deaths_fit]]</f>
        <v>1462.2972601717752</v>
      </c>
      <c r="O52" s="10">
        <f>'dpc-covid19-ita-andamento-naz'!J46</f>
        <v>26491</v>
      </c>
      <c r="P52" s="48">
        <f>Tabella2[[#This Row],[Cum_recov]]-O51</f>
        <v>2099</v>
      </c>
      <c r="Q52" s="60">
        <f>Tabella2[[#This Row],[New recovered]]*NOT(ISBLANK(Tabella2[[#This Row],[New recovered]]))</f>
        <v>2099</v>
      </c>
      <c r="R52" s="50">
        <f>Kd*EXP(-EXP(-(Tabella2[[#This Row],[Day]]-t0d)/wd))</f>
        <v>26937.737990382542</v>
      </c>
      <c r="S52" s="10">
        <f>Tabella2[[#This Row],[Cum_R_fit]]*EXP(-(Tabella2[[#This Row],[Day]]-t0d)/wd)/wd</f>
        <v>1667.2919754192176</v>
      </c>
      <c r="T52" s="60">
        <f>Tabella2[[#This Row],[New_Recovered_fit]]*NOT(ISBLANK(Tabella2[[#This Row],[New recovered]]))</f>
        <v>1667.2919754192176</v>
      </c>
      <c r="U52" s="10">
        <f>Tabella2[[#This Row],[New_Recovered_fit]]+CId</f>
        <v>2206.8637966820943</v>
      </c>
      <c r="V52" s="10">
        <f>MAX(Tabella2[[#This Row],[New_Recovered_fit]]-CId,0)</f>
        <v>1127.7201541563406</v>
      </c>
      <c r="W52" s="10">
        <f>'dpc-covid19-ita-andamento-naz'!K46</f>
        <v>17669</v>
      </c>
      <c r="X52" s="26">
        <f>Tabella2[[#This Row],[Cum_deaths]]-W51</f>
        <v>542</v>
      </c>
      <c r="Y52" s="65">
        <f>Tabella2[[#This Row],[New deaths]]*NOT(ISBLANK(Tabella2[[#This Row],[New deaths]]))</f>
        <v>542</v>
      </c>
      <c r="Z52" s="50">
        <f>Kt*EXP(-EXP(-(Tabella2[[#This Row],[Day]]-t0t)/wt))</f>
        <v>17787.706813521057</v>
      </c>
      <c r="AA52" s="10">
        <f>Tabella2[[#This Row],[Cum_D_fit]]*EXP(-(Tabella2[[#This Row],[Day]]-t0t)/wt)/wt</f>
        <v>595.56850655421658</v>
      </c>
      <c r="AB52" s="65">
        <f>Tabella2[[#This Row],[New_Deaths_fit]]*NOT(ISBLANK(Tabella2[[#This Row],[New deaths]]))</f>
        <v>595.56850655421658</v>
      </c>
      <c r="AC52" s="10">
        <f>Tabella2[[#This Row],[New_Deaths_fit]]+CIt</f>
        <v>738.19685006463328</v>
      </c>
      <c r="AD52" s="10">
        <f>MAX(Tabella2[[#This Row],[New_Deaths_fit]]-CIt,0)</f>
        <v>452.94016304379983</v>
      </c>
    </row>
    <row r="53" spans="2:30" x14ac:dyDescent="0.3">
      <c r="B53" s="9">
        <v>43930</v>
      </c>
      <c r="C53" s="4">
        <f t="shared" si="0"/>
        <v>45</v>
      </c>
      <c r="D53" s="10">
        <f>'dpc-covid19-ita-andamento-naz'!L47</f>
        <v>143626</v>
      </c>
      <c r="E53" s="30">
        <f>'dpc-covid19-ita-andamento-naz'!I47</f>
        <v>4204</v>
      </c>
      <c r="F53" s="56">
        <f>Tabella2[[#This Row],[New cases]]*NOT(ISBLANK(Tabella2[[#This Row],[New cases]]))</f>
        <v>4204</v>
      </c>
      <c r="G53" s="50">
        <f>Kn*EXP(-EXP(-(Tabella2[[#This Row],[Day]]-t0n)/wn))</f>
        <v>144839.75939236872</v>
      </c>
      <c r="H53" s="10">
        <f>Tabella2[[#This Row],[Cum_fit]]*EXP(-(Tabella2[[#This Row],[Day]]-t0n)/wn)/wn</f>
        <v>3552.0829701551588</v>
      </c>
      <c r="I53" s="56">
        <f>Tabella2[[#This Row],[New_cases_fit]]*NOT(ISBLANK(Tabella2[[#This Row],[New cases]]))</f>
        <v>3552.0829701551588</v>
      </c>
      <c r="J53" s="10">
        <f>Tabella2[[#This Row],[New_cases_fit]]+CIn</f>
        <v>4736.1378893430192</v>
      </c>
      <c r="K53" s="10">
        <f>MAX(Tabella2[[#This Row],[New_cases_fit]]-CIn,0)</f>
        <v>2368.0280509672984</v>
      </c>
      <c r="L53" s="54">
        <f>'dpc-covid19-ita-andamento-naz'!G47</f>
        <v>96877</v>
      </c>
      <c r="M53" s="54">
        <f>'dpc-covid19-ita-andamento-naz'!H47</f>
        <v>1615</v>
      </c>
      <c r="N53" s="54">
        <f>Tabella2[[#This Row],[New_cases_fit]]-Tabella2[[#This Row],[New_Recovered_fit]]-Tabella2[[#This Row],[New_Deaths_fit]]</f>
        <v>1268.3779896858541</v>
      </c>
      <c r="O53" s="10">
        <f>'dpc-covid19-ita-andamento-naz'!J47</f>
        <v>28470</v>
      </c>
      <c r="P53" s="48">
        <f>Tabella2[[#This Row],[Cum_recov]]-O52</f>
        <v>1979</v>
      </c>
      <c r="Q53" s="60">
        <f>Tabella2[[#This Row],[New recovered]]*NOT(ISBLANK(Tabella2[[#This Row],[New recovered]]))</f>
        <v>1979</v>
      </c>
      <c r="R53" s="50">
        <f>Kd*EXP(-EXP(-(Tabella2[[#This Row],[Day]]-t0d)/wd))</f>
        <v>28628.728452349293</v>
      </c>
      <c r="S53" s="10">
        <f>Tabella2[[#This Row],[Cum_R_fit]]*EXP(-(Tabella2[[#This Row],[Day]]-t0d)/wd)/wd</f>
        <v>1714.3400355078033</v>
      </c>
      <c r="T53" s="60">
        <f>Tabella2[[#This Row],[New_Recovered_fit]]*NOT(ISBLANK(Tabella2[[#This Row],[New recovered]]))</f>
        <v>1714.3400355078033</v>
      </c>
      <c r="U53" s="10">
        <f>Tabella2[[#This Row],[New_Recovered_fit]]+CId</f>
        <v>2253.9118567706801</v>
      </c>
      <c r="V53" s="10">
        <f>MAX(Tabella2[[#This Row],[New_Recovered_fit]]-CId,0)</f>
        <v>1174.7682142449264</v>
      </c>
      <c r="W53" s="10">
        <f>'dpc-covid19-ita-andamento-naz'!K47</f>
        <v>18279</v>
      </c>
      <c r="X53" s="26">
        <f>Tabella2[[#This Row],[Cum_deaths]]-W52</f>
        <v>610</v>
      </c>
      <c r="Y53" s="65">
        <f>Tabella2[[#This Row],[New deaths]]*NOT(ISBLANK(Tabella2[[#This Row],[New deaths]]))</f>
        <v>610</v>
      </c>
      <c r="Z53" s="50">
        <f>Kt*EXP(-EXP(-(Tabella2[[#This Row],[Day]]-t0t)/wt))</f>
        <v>18370.19604468971</v>
      </c>
      <c r="AA53" s="10">
        <f>Tabella2[[#This Row],[Cum_D_fit]]*EXP(-(Tabella2[[#This Row],[Day]]-t0t)/wt)/wt</f>
        <v>569.36494496150124</v>
      </c>
      <c r="AB53" s="65">
        <f>Tabella2[[#This Row],[New_Deaths_fit]]*NOT(ISBLANK(Tabella2[[#This Row],[New deaths]]))</f>
        <v>569.36494496150124</v>
      </c>
      <c r="AC53" s="10">
        <f>Tabella2[[#This Row],[New_Deaths_fit]]+CIt</f>
        <v>711.99328847191805</v>
      </c>
      <c r="AD53" s="10">
        <f>MAX(Tabella2[[#This Row],[New_Deaths_fit]]-CIt,0)</f>
        <v>426.73660145108448</v>
      </c>
    </row>
    <row r="54" spans="2:30" x14ac:dyDescent="0.3">
      <c r="B54" s="9">
        <v>43931</v>
      </c>
      <c r="C54" s="4">
        <f t="shared" si="0"/>
        <v>46</v>
      </c>
      <c r="D54" s="10">
        <f>'dpc-covid19-ita-andamento-naz'!L48</f>
        <v>147577</v>
      </c>
      <c r="E54" s="30">
        <f>'dpc-covid19-ita-andamento-naz'!I48</f>
        <v>3951</v>
      </c>
      <c r="F54" s="56">
        <f>Tabella2[[#This Row],[New cases]]*NOT(ISBLANK(Tabella2[[#This Row],[New cases]]))</f>
        <v>3951</v>
      </c>
      <c r="G54" s="50">
        <f>Kn*EXP(-EXP(-(Tabella2[[#This Row],[Day]]-t0n)/wn))</f>
        <v>148306.08932541375</v>
      </c>
      <c r="H54" s="10">
        <f>Tabella2[[#This Row],[Cum_fit]]*EXP(-(Tabella2[[#This Row],[Day]]-t0n)/wn)/wn</f>
        <v>3380.9870507698779</v>
      </c>
      <c r="I54" s="56">
        <f>Tabella2[[#This Row],[New_cases_fit]]*NOT(ISBLANK(Tabella2[[#This Row],[New cases]]))</f>
        <v>3380.9870507698779</v>
      </c>
      <c r="J54" s="10">
        <f>Tabella2[[#This Row],[New_cases_fit]]+CIn</f>
        <v>4565.0419699577387</v>
      </c>
      <c r="K54" s="10">
        <f>MAX(Tabella2[[#This Row],[New_cases_fit]]-CIn,0)</f>
        <v>2196.9321315820171</v>
      </c>
      <c r="L54" s="54">
        <f>'dpc-covid19-ita-andamento-naz'!G48</f>
        <v>98273</v>
      </c>
      <c r="M54" s="54">
        <f>'dpc-covid19-ita-andamento-naz'!H48</f>
        <v>1396</v>
      </c>
      <c r="N54" s="54">
        <f>Tabella2[[#This Row],[New_cases_fit]]-Tabella2[[#This Row],[New_Recovered_fit]]-Tabella2[[#This Row],[New_Deaths_fit]]</f>
        <v>1078.7448147277105</v>
      </c>
      <c r="O54" s="10">
        <f>'dpc-covid19-ita-andamento-naz'!J48</f>
        <v>30455</v>
      </c>
      <c r="P54" s="48">
        <f>Tabella2[[#This Row],[Cum_recov]]-O53</f>
        <v>1985</v>
      </c>
      <c r="Q54" s="60">
        <f>Tabella2[[#This Row],[New recovered]]*NOT(ISBLANK(Tabella2[[#This Row],[New recovered]]))</f>
        <v>1985</v>
      </c>
      <c r="R54" s="50">
        <f>Kd*EXP(-EXP(-(Tabella2[[#This Row],[Day]]-t0d)/wd))</f>
        <v>30365.698442860434</v>
      </c>
      <c r="S54" s="10">
        <f>Tabella2[[#This Row],[Cum_R_fit]]*EXP(-(Tabella2[[#This Row],[Day]]-t0d)/wd)/wd</f>
        <v>1759.2297302018012</v>
      </c>
      <c r="T54" s="60">
        <f>Tabella2[[#This Row],[New_Recovered_fit]]*NOT(ISBLANK(Tabella2[[#This Row],[New recovered]]))</f>
        <v>1759.2297302018012</v>
      </c>
      <c r="U54" s="10">
        <f>Tabella2[[#This Row],[New_Recovered_fit]]+CId</f>
        <v>2298.8015514646781</v>
      </c>
      <c r="V54" s="10">
        <f>MAX(Tabella2[[#This Row],[New_Recovered_fit]]-CId,0)</f>
        <v>1219.6579089389243</v>
      </c>
      <c r="W54" s="10">
        <f>'dpc-covid19-ita-andamento-naz'!K48</f>
        <v>18849</v>
      </c>
      <c r="X54" s="26">
        <f>Tabella2[[#This Row],[Cum_deaths]]-W53</f>
        <v>570</v>
      </c>
      <c r="Y54" s="65">
        <f>Tabella2[[#This Row],[New deaths]]*NOT(ISBLANK(Tabella2[[#This Row],[New deaths]]))</f>
        <v>570</v>
      </c>
      <c r="Z54" s="50">
        <f>Kt*EXP(-EXP(-(Tabella2[[#This Row],[Day]]-t0t)/wt))</f>
        <v>18926.387440217117</v>
      </c>
      <c r="AA54" s="10">
        <f>Tabella2[[#This Row],[Cum_D_fit]]*EXP(-(Tabella2[[#This Row],[Day]]-t0t)/wt)/wt</f>
        <v>543.01250584036609</v>
      </c>
      <c r="AB54" s="65">
        <f>Tabella2[[#This Row],[New_Deaths_fit]]*NOT(ISBLANK(Tabella2[[#This Row],[New deaths]]))</f>
        <v>543.01250584036609</v>
      </c>
      <c r="AC54" s="10">
        <f>Tabella2[[#This Row],[New_Deaths_fit]]+CIt</f>
        <v>685.6408493507829</v>
      </c>
      <c r="AD54" s="10">
        <f>MAX(Tabella2[[#This Row],[New_Deaths_fit]]-CIt,0)</f>
        <v>400.38416232994933</v>
      </c>
    </row>
    <row r="55" spans="2:30" x14ac:dyDescent="0.3">
      <c r="B55" s="9">
        <v>43932</v>
      </c>
      <c r="C55" s="4">
        <f t="shared" si="0"/>
        <v>47</v>
      </c>
      <c r="D55" s="10">
        <f>'dpc-covid19-ita-andamento-naz'!L49</f>
        <v>152271</v>
      </c>
      <c r="E55" s="30">
        <f>'dpc-covid19-ita-andamento-naz'!I49</f>
        <v>4694</v>
      </c>
      <c r="F55" s="56">
        <f>Tabella2[[#This Row],[New cases]]*NOT(ISBLANK(Tabella2[[#This Row],[New cases]]))</f>
        <v>4694</v>
      </c>
      <c r="G55" s="50">
        <f>Kn*EXP(-EXP(-(Tabella2[[#This Row],[Day]]-t0n)/wn))</f>
        <v>151602.69731214168</v>
      </c>
      <c r="H55" s="10">
        <f>Tabella2[[#This Row],[Cum_fit]]*EXP(-(Tabella2[[#This Row],[Day]]-t0n)/wn)/wn</f>
        <v>3212.7776502856364</v>
      </c>
      <c r="I55" s="56">
        <f>Tabella2[[#This Row],[New_cases_fit]]*NOT(ISBLANK(Tabella2[[#This Row],[New cases]]))</f>
        <v>3212.7776502856364</v>
      </c>
      <c r="J55" s="10">
        <f>Tabella2[[#This Row],[New_cases_fit]]+CIn</f>
        <v>4396.8325694734967</v>
      </c>
      <c r="K55" s="10">
        <f>MAX(Tabella2[[#This Row],[New_cases_fit]]-CIn,0)</f>
        <v>2028.7227310977757</v>
      </c>
      <c r="L55" s="54">
        <f>'dpc-covid19-ita-andamento-naz'!G49</f>
        <v>100269</v>
      </c>
      <c r="M55" s="54">
        <f>'dpc-covid19-ita-andamento-naz'!H49</f>
        <v>1996</v>
      </c>
      <c r="N55" s="54">
        <f>Tabella2[[#This Row],[New_cases_fit]]-Tabella2[[#This Row],[New_Recovered_fit]]-Tabella2[[#This Row],[New_Deaths_fit]]</f>
        <v>894.2038623354955</v>
      </c>
      <c r="O55" s="10">
        <f>'dpc-covid19-ita-andamento-naz'!J49</f>
        <v>32534</v>
      </c>
      <c r="P55" s="48">
        <f>Tabella2[[#This Row],[Cum_recov]]-O54</f>
        <v>2079</v>
      </c>
      <c r="Q55" s="60">
        <f>Tabella2[[#This Row],[New recovered]]*NOT(ISBLANK(Tabella2[[#This Row],[New recovered]]))</f>
        <v>2079</v>
      </c>
      <c r="R55" s="50">
        <f>Kd*EXP(-EXP(-(Tabella2[[#This Row],[Day]]-t0d)/wd))</f>
        <v>32146.428152613498</v>
      </c>
      <c r="S55" s="10">
        <f>Tabella2[[#This Row],[Cum_R_fit]]*EXP(-(Tabella2[[#This Row],[Day]]-t0d)/wd)/wd</f>
        <v>1801.8406415159473</v>
      </c>
      <c r="T55" s="60">
        <f>Tabella2[[#This Row],[New_Recovered_fit]]*NOT(ISBLANK(Tabella2[[#This Row],[New recovered]]))</f>
        <v>1801.8406415159473</v>
      </c>
      <c r="U55" s="10">
        <f>Tabella2[[#This Row],[New_Recovered_fit]]+CId</f>
        <v>2341.4124627788242</v>
      </c>
      <c r="V55" s="10">
        <f>MAX(Tabella2[[#This Row],[New_Recovered_fit]]-CId,0)</f>
        <v>1262.2688202530703</v>
      </c>
      <c r="W55" s="10">
        <f>'dpc-covid19-ita-andamento-naz'!K49</f>
        <v>19468</v>
      </c>
      <c r="X55" s="26">
        <f>Tabella2[[#This Row],[Cum_deaths]]-W54</f>
        <v>619</v>
      </c>
      <c r="Y55" s="65">
        <f>Tabella2[[#This Row],[New deaths]]*NOT(ISBLANK(Tabella2[[#This Row],[New deaths]]))</f>
        <v>619</v>
      </c>
      <c r="Z55" s="50">
        <f>Kt*EXP(-EXP(-(Tabella2[[#This Row],[Day]]-t0t)/wt))</f>
        <v>19456.245762645667</v>
      </c>
      <c r="AA55" s="10">
        <f>Tabella2[[#This Row],[Cum_D_fit]]*EXP(-(Tabella2[[#This Row],[Day]]-t0t)/wt)/wt</f>
        <v>516.7331464341936</v>
      </c>
      <c r="AB55" s="65">
        <f>Tabella2[[#This Row],[New_Deaths_fit]]*NOT(ISBLANK(Tabella2[[#This Row],[New deaths]]))</f>
        <v>516.7331464341936</v>
      </c>
      <c r="AC55" s="10">
        <f>Tabella2[[#This Row],[New_Deaths_fit]]+CIt</f>
        <v>659.36148994461041</v>
      </c>
      <c r="AD55" s="10">
        <f>MAX(Tabella2[[#This Row],[New_Deaths_fit]]-CIt,0)</f>
        <v>374.10480292377684</v>
      </c>
    </row>
    <row r="56" spans="2:30" x14ac:dyDescent="0.3">
      <c r="B56" s="9">
        <v>43933</v>
      </c>
      <c r="C56" s="4">
        <f t="shared" si="0"/>
        <v>48</v>
      </c>
      <c r="D56" s="10">
        <f>'dpc-covid19-ita-andamento-naz'!L50</f>
        <v>156363</v>
      </c>
      <c r="E56" s="30">
        <f>'dpc-covid19-ita-andamento-naz'!I50</f>
        <v>4092</v>
      </c>
      <c r="F56" s="56">
        <f>Tabella2[[#This Row],[New cases]]*NOT(ISBLANK(Tabella2[[#This Row],[New cases]]))</f>
        <v>4092</v>
      </c>
      <c r="G56" s="50">
        <f>Kn*EXP(-EXP(-(Tabella2[[#This Row],[Day]]-t0n)/wn))</f>
        <v>154732.86152968468</v>
      </c>
      <c r="H56" s="10">
        <f>Tabella2[[#This Row],[Cum_fit]]*EXP(-(Tabella2[[#This Row],[Day]]-t0n)/wn)/wn</f>
        <v>3048.2144408472295</v>
      </c>
      <c r="I56" s="56">
        <f>Tabella2[[#This Row],[New_cases_fit]]*NOT(ISBLANK(Tabella2[[#This Row],[New cases]]))</f>
        <v>3048.2144408472295</v>
      </c>
      <c r="J56" s="10">
        <f>Tabella2[[#This Row],[New_cases_fit]]+CIn</f>
        <v>4232.2693600350904</v>
      </c>
      <c r="K56" s="10">
        <f>MAX(Tabella2[[#This Row],[New_cases_fit]]-CIn,0)</f>
        <v>1864.1595216593689</v>
      </c>
      <c r="L56" s="54">
        <f>'dpc-covid19-ita-andamento-naz'!G50</f>
        <v>102253</v>
      </c>
      <c r="M56" s="54">
        <f>'dpc-covid19-ita-andamento-naz'!H50</f>
        <v>1984</v>
      </c>
      <c r="N56" s="54">
        <f>Tabella2[[#This Row],[New_cases_fit]]-Tabella2[[#This Row],[New_Recovered_fit]]-Tabella2[[#This Row],[New_Deaths_fit]]</f>
        <v>715.42949447064962</v>
      </c>
      <c r="O56" s="10">
        <f>'dpc-covid19-ita-andamento-naz'!J50</f>
        <v>34211</v>
      </c>
      <c r="P56" s="48">
        <f>Tabella2[[#This Row],[Cum_recov]]-O55</f>
        <v>1677</v>
      </c>
      <c r="Q56" s="60">
        <f>Tabella2[[#This Row],[New recovered]]*NOT(ISBLANK(Tabella2[[#This Row],[New recovered]]))</f>
        <v>1677</v>
      </c>
      <c r="R56" s="50">
        <f>Kd*EXP(-EXP(-(Tabella2[[#This Row],[Day]]-t0d)/wd))</f>
        <v>33968.584790182693</v>
      </c>
      <c r="S56" s="10">
        <f>Tabella2[[#This Row],[Cum_R_fit]]*EXP(-(Tabella2[[#This Row],[Day]]-t0d)/wd)/wd</f>
        <v>1842.067244484115</v>
      </c>
      <c r="T56" s="60">
        <f>Tabella2[[#This Row],[New_Recovered_fit]]*NOT(ISBLANK(Tabella2[[#This Row],[New recovered]]))</f>
        <v>1842.067244484115</v>
      </c>
      <c r="U56" s="10">
        <f>Tabella2[[#This Row],[New_Recovered_fit]]+CId</f>
        <v>2381.6390657469919</v>
      </c>
      <c r="V56" s="10">
        <f>MAX(Tabella2[[#This Row],[New_Recovered_fit]]-CId,0)</f>
        <v>1302.4954232212381</v>
      </c>
      <c r="W56" s="10">
        <f>'dpc-covid19-ita-andamento-naz'!K50</f>
        <v>19899</v>
      </c>
      <c r="X56" s="26">
        <f>Tabella2[[#This Row],[Cum_deaths]]-W55</f>
        <v>431</v>
      </c>
      <c r="Y56" s="65">
        <f>Tabella2[[#This Row],[New deaths]]*NOT(ISBLANK(Tabella2[[#This Row],[New deaths]]))</f>
        <v>431</v>
      </c>
      <c r="Z56" s="50">
        <f>Kt*EXP(-EXP(-(Tabella2[[#This Row],[Day]]-t0t)/wt))</f>
        <v>19959.942030039896</v>
      </c>
      <c r="AA56" s="10">
        <f>Tabella2[[#This Row],[Cum_D_fit]]*EXP(-(Tabella2[[#This Row],[Day]]-t0t)/wt)/wt</f>
        <v>490.71770189246485</v>
      </c>
      <c r="AB56" s="65">
        <f>Tabella2[[#This Row],[New_Deaths_fit]]*NOT(ISBLANK(Tabella2[[#This Row],[New deaths]]))</f>
        <v>490.71770189246485</v>
      </c>
      <c r="AC56" s="10">
        <f>Tabella2[[#This Row],[New_Deaths_fit]]+CIt</f>
        <v>633.3460454028816</v>
      </c>
      <c r="AD56" s="10">
        <f>MAX(Tabella2[[#This Row],[New_Deaths_fit]]-CIt,0)</f>
        <v>348.08935838204809</v>
      </c>
    </row>
    <row r="57" spans="2:30" x14ac:dyDescent="0.3">
      <c r="B57" s="9">
        <v>43934</v>
      </c>
      <c r="C57" s="4">
        <f t="shared" si="0"/>
        <v>49</v>
      </c>
      <c r="D57" s="10">
        <f>'dpc-covid19-ita-andamento-naz'!L51</f>
        <v>159516</v>
      </c>
      <c r="E57" s="30">
        <f>'dpc-covid19-ita-andamento-naz'!I51</f>
        <v>3153</v>
      </c>
      <c r="F57" s="56">
        <f>Tabella2[[#This Row],[New cases]]*NOT(ISBLANK(Tabella2[[#This Row],[New cases]]))</f>
        <v>3153</v>
      </c>
      <c r="G57" s="50">
        <f>Kn*EXP(-EXP(-(Tabella2[[#This Row],[Day]]-t0n)/wn))</f>
        <v>157700.55098915059</v>
      </c>
      <c r="H57" s="10">
        <f>Tabella2[[#This Row],[Cum_fit]]*EXP(-(Tabella2[[#This Row],[Day]]-t0n)/wn)/wn</f>
        <v>2887.9215209857275</v>
      </c>
      <c r="I57" s="56">
        <f>Tabella2[[#This Row],[New_cases_fit]]*NOT(ISBLANK(Tabella2[[#This Row],[New cases]]))</f>
        <v>2887.9215209857275</v>
      </c>
      <c r="J57" s="10">
        <f>Tabella2[[#This Row],[New_cases_fit]]+CIn</f>
        <v>4071.9764401735883</v>
      </c>
      <c r="K57" s="10">
        <f>MAX(Tabella2[[#This Row],[New_cases_fit]]-CIn,0)</f>
        <v>1703.8666017978669</v>
      </c>
      <c r="L57" s="54">
        <f>'dpc-covid19-ita-andamento-naz'!G51</f>
        <v>103616</v>
      </c>
      <c r="M57" s="54">
        <f>'dpc-covid19-ita-andamento-naz'!H51</f>
        <v>1363</v>
      </c>
      <c r="N57" s="54">
        <f>Tabella2[[#This Row],[New_cases_fit]]-Tabella2[[#This Row],[New_Recovered_fit]]-Tabella2[[#This Row],[New_Deaths_fit]]</f>
        <v>542.97479907228126</v>
      </c>
      <c r="O57" s="10">
        <f>'dpc-covid19-ita-andamento-naz'!J51</f>
        <v>35435</v>
      </c>
      <c r="P57" s="48">
        <f>Tabella2[[#This Row],[Cum_recov]]-O56</f>
        <v>1224</v>
      </c>
      <c r="Q57" s="60">
        <f>Tabella2[[#This Row],[New recovered]]*NOT(ISBLANK(Tabella2[[#This Row],[New recovered]]))</f>
        <v>1224</v>
      </c>
      <c r="R57" s="50">
        <f>Kd*EXP(-EXP(-(Tabella2[[#This Row],[Day]]-t0d)/wd))</f>
        <v>35829.737514103632</v>
      </c>
      <c r="S57" s="10">
        <f>Tabella2[[#This Row],[Cum_R_fit]]*EXP(-(Tabella2[[#This Row],[Day]]-t0d)/wd)/wd</f>
        <v>1879.8189608483726</v>
      </c>
      <c r="T57" s="60">
        <f>Tabella2[[#This Row],[New_Recovered_fit]]*NOT(ISBLANK(Tabella2[[#This Row],[New recovered]]))</f>
        <v>1879.8189608483726</v>
      </c>
      <c r="U57" s="10">
        <f>Tabella2[[#This Row],[New_Recovered_fit]]+CId</f>
        <v>2419.3907821112498</v>
      </c>
      <c r="V57" s="10">
        <f>MAX(Tabella2[[#This Row],[New_Recovered_fit]]-CId,0)</f>
        <v>1340.2471395854957</v>
      </c>
      <c r="W57" s="10">
        <f>'dpc-covid19-ita-andamento-naz'!K51</f>
        <v>20465</v>
      </c>
      <c r="X57" s="26">
        <f>Tabella2[[#This Row],[Cum_deaths]]-W56</f>
        <v>566</v>
      </c>
      <c r="Y57" s="65">
        <f>Tabella2[[#This Row],[New deaths]]*NOT(ISBLANK(Tabella2[[#This Row],[New deaths]]))</f>
        <v>566</v>
      </c>
      <c r="Z57" s="50">
        <f>Kt*EXP(-EXP(-(Tabella2[[#This Row],[Day]]-t0t)/wt))</f>
        <v>20437.823302145818</v>
      </c>
      <c r="AA57" s="10">
        <f>Tabella2[[#This Row],[Cum_D_fit]]*EXP(-(Tabella2[[#This Row],[Day]]-t0t)/wt)/wt</f>
        <v>465.12776106507363</v>
      </c>
      <c r="AB57" s="65">
        <f>Tabella2[[#This Row],[New_Deaths_fit]]*NOT(ISBLANK(Tabella2[[#This Row],[New deaths]]))</f>
        <v>465.12776106507363</v>
      </c>
      <c r="AC57" s="10">
        <f>Tabella2[[#This Row],[New_Deaths_fit]]+CIt</f>
        <v>607.75610457549033</v>
      </c>
      <c r="AD57" s="10">
        <f>MAX(Tabella2[[#This Row],[New_Deaths_fit]]-CIt,0)</f>
        <v>322.49941755465687</v>
      </c>
    </row>
    <row r="58" spans="2:30" x14ac:dyDescent="0.3">
      <c r="B58" s="9">
        <v>43935</v>
      </c>
      <c r="C58" s="4">
        <f t="shared" si="0"/>
        <v>50</v>
      </c>
      <c r="E58" s="30"/>
      <c r="F58" s="56">
        <f>Tabella2[[#This Row],[New cases]]*NOT(ISBLANK(Tabella2[[#This Row],[New cases]]))</f>
        <v>0</v>
      </c>
      <c r="G58" s="50">
        <f>Kn*EXP(-EXP(-(Tabella2[[#This Row],[Day]]-t0n)/wn))</f>
        <v>160510.29629183281</v>
      </c>
      <c r="H58" s="10">
        <f>Tabella2[[#This Row],[Cum_fit]]*EXP(-(Tabella2[[#This Row],[Day]]-t0n)/wn)/wn</f>
        <v>2732.4000855014697</v>
      </c>
      <c r="I58" s="56">
        <f>Tabella2[[#This Row],[New_cases_fit]]*NOT(ISBLANK(Tabella2[[#This Row],[New cases]]))</f>
        <v>0</v>
      </c>
      <c r="L58" s="55"/>
      <c r="M58" s="54"/>
      <c r="N58" s="54">
        <f>Tabella2[[#This Row],[New_cases_fit]]-Tabella2[[#This Row],[New_Recovered_fit]]-Tabella2[[#This Row],[New_Deaths_fit]]</f>
        <v>377.28218448459364</v>
      </c>
      <c r="P58" s="48"/>
      <c r="Q58" s="60">
        <f>Tabella2[[#This Row],[New recovered]]*NOT(ISBLANK(Tabella2[[#This Row],[New recovered]]))</f>
        <v>0</v>
      </c>
      <c r="R58" s="50">
        <f>Kd*EXP(-EXP(-(Tabella2[[#This Row],[Day]]-t0d)/wd))</f>
        <v>37727.372347260163</v>
      </c>
      <c r="S58" s="10">
        <f>Tabella2[[#This Row],[Cum_R_fit]]*EXP(-(Tabella2[[#This Row],[Day]]-t0d)/wd)/wd</f>
        <v>1915.020071944263</v>
      </c>
      <c r="T58" s="60">
        <f>Tabella2[[#This Row],[New_Recovered_fit]]*NOT(ISBLANK(Tabella2[[#This Row],[New recovered]]))</f>
        <v>0</v>
      </c>
      <c r="X58" s="26"/>
      <c r="Y58" s="65">
        <f>Tabella2[[#This Row],[New deaths]]*NOT(ISBLANK(Tabella2[[#This Row],[New deaths]]))</f>
        <v>0</v>
      </c>
      <c r="Z58" s="50">
        <f>Kt*EXP(-EXP(-(Tabella2[[#This Row],[Day]]-t0t)/wt))</f>
        <v>20890.384496934177</v>
      </c>
      <c r="AA58" s="10">
        <f>Tabella2[[#This Row],[Cum_D_fit]]*EXP(-(Tabella2[[#This Row],[Day]]-t0t)/wt)/wt</f>
        <v>440.09782907261302</v>
      </c>
      <c r="AB58" s="65">
        <f>Tabella2[[#This Row],[New_Deaths_fit]]*NOT(ISBLANK(Tabella2[[#This Row],[New deaths]]))</f>
        <v>0</v>
      </c>
    </row>
    <row r="59" spans="2:30" x14ac:dyDescent="0.3">
      <c r="B59" s="9">
        <v>43936</v>
      </c>
      <c r="C59" s="4">
        <f t="shared" si="0"/>
        <v>51</v>
      </c>
      <c r="E59" s="30"/>
      <c r="F59" s="56">
        <f>Tabella2[[#This Row],[New cases]]*NOT(ISBLANK(Tabella2[[#This Row],[New cases]]))</f>
        <v>0</v>
      </c>
      <c r="G59" s="50">
        <f>Kn*EXP(-EXP(-(Tabella2[[#This Row],[Day]]-t0n)/wn))</f>
        <v>163167.07303313405</v>
      </c>
      <c r="H59" s="10">
        <f>Tabella2[[#This Row],[Cum_fit]]*EXP(-(Tabella2[[#This Row],[Day]]-t0n)/wn)/wn</f>
        <v>2582.0410008444023</v>
      </c>
      <c r="I59" s="56">
        <f>Tabella2[[#This Row],[New_cases_fit]]*NOT(ISBLANK(Tabella2[[#This Row],[New cases]]))</f>
        <v>0</v>
      </c>
      <c r="L59" s="55"/>
      <c r="M59" s="54"/>
      <c r="N59" s="54">
        <f>Tabella2[[#This Row],[New_cases_fit]]-Tabella2[[#This Row],[New_Recovered_fit]]-Tabella2[[#This Row],[New_Deaths_fit]]</f>
        <v>218.69384290451831</v>
      </c>
      <c r="P59" s="48"/>
      <c r="Q59" s="60">
        <f>Tabella2[[#This Row],[New recovered]]*NOT(ISBLANK(Tabella2[[#This Row],[New recovered]]))</f>
        <v>0</v>
      </c>
      <c r="R59" s="50">
        <f>Kd*EXP(-EXP(-(Tabella2[[#This Row],[Day]]-t0d)/wd))</f>
        <v>39658.906938817883</v>
      </c>
      <c r="S59" s="10">
        <f>Tabella2[[#This Row],[Cum_R_fit]]*EXP(-(Tabella2[[#This Row],[Day]]-t0d)/wd)/wd</f>
        <v>1947.6095030065785</v>
      </c>
      <c r="T59" s="60">
        <f>Tabella2[[#This Row],[New_Recovered_fit]]*NOT(ISBLANK(Tabella2[[#This Row],[New recovered]]))</f>
        <v>0</v>
      </c>
      <c r="X59" s="26"/>
      <c r="Y59" s="65">
        <f>Tabella2[[#This Row],[New deaths]]*NOT(ISBLANK(Tabella2[[#This Row],[New deaths]]))</f>
        <v>0</v>
      </c>
      <c r="Z59" s="50">
        <f>Kt*EXP(-EXP(-(Tabella2[[#This Row],[Day]]-t0t)/wt))</f>
        <v>21318.242461350426</v>
      </c>
      <c r="AA59" s="10">
        <f>Tabella2[[#This Row],[Cum_D_fit]]*EXP(-(Tabella2[[#This Row],[Day]]-t0t)/wt)/wt</f>
        <v>415.73765493330552</v>
      </c>
      <c r="AB59" s="65">
        <f>Tabella2[[#This Row],[New_Deaths_fit]]*NOT(ISBLANK(Tabella2[[#This Row],[New deaths]]))</f>
        <v>0</v>
      </c>
    </row>
    <row r="60" spans="2:30" x14ac:dyDescent="0.3">
      <c r="B60" s="9">
        <v>43937</v>
      </c>
      <c r="C60" s="4">
        <f t="shared" si="0"/>
        <v>52</v>
      </c>
      <c r="E60" s="30"/>
      <c r="F60" s="56">
        <f>Tabella2[[#This Row],[New cases]]*NOT(ISBLANK(Tabella2[[#This Row],[New cases]]))</f>
        <v>0</v>
      </c>
      <c r="G60" s="50">
        <f>Kn*EXP(-EXP(-(Tabella2[[#This Row],[Day]]-t0n)/wn))</f>
        <v>165676.19762217428</v>
      </c>
      <c r="H60" s="10">
        <f>Tabella2[[#This Row],[Cum_fit]]*EXP(-(Tabella2[[#This Row],[Day]]-t0n)/wn)/wn</f>
        <v>2437.1370235086715</v>
      </c>
      <c r="I60" s="56">
        <f>Tabella2[[#This Row],[New_cases_fit]]*NOT(ISBLANK(Tabella2[[#This Row],[New cases]]))</f>
        <v>0</v>
      </c>
      <c r="L60" s="55"/>
      <c r="M60" s="54"/>
      <c r="N60" s="54">
        <f>Tabella2[[#This Row],[New_cases_fit]]-Tabella2[[#This Row],[New_Recovered_fit]]-Tabella2[[#This Row],[New_Deaths_fit]]</f>
        <v>67.461905270856846</v>
      </c>
      <c r="P60" s="48"/>
      <c r="Q60" s="60">
        <f>Tabella2[[#This Row],[New recovered]]*NOT(ISBLANK(Tabella2[[#This Row],[New recovered]]))</f>
        <v>0</v>
      </c>
      <c r="R60" s="50">
        <f>Kd*EXP(-EXP(-(Tabella2[[#This Row],[Day]]-t0d)/wd))</f>
        <v>41621.705051505742</v>
      </c>
      <c r="S60" s="10">
        <f>Tabella2[[#This Row],[Cum_R_fit]]*EXP(-(Tabella2[[#This Row],[Day]]-t0d)/wd)/wd</f>
        <v>1977.5404917361514</v>
      </c>
      <c r="T60" s="60">
        <f>Tabella2[[#This Row],[New_Recovered_fit]]*NOT(ISBLANK(Tabella2[[#This Row],[New recovered]]))</f>
        <v>0</v>
      </c>
      <c r="X60" s="26"/>
      <c r="Y60" s="65">
        <f>Tabella2[[#This Row],[New deaths]]*NOT(ISBLANK(Tabella2[[#This Row],[New deaths]]))</f>
        <v>0</v>
      </c>
      <c r="Z60" s="50">
        <f>Kt*EXP(-EXP(-(Tabella2[[#This Row],[Day]]-t0t)/wt))</f>
        <v>21722.112410559021</v>
      </c>
      <c r="AA60" s="10">
        <f>Tabella2[[#This Row],[Cum_D_fit]]*EXP(-(Tabella2[[#This Row],[Day]]-t0t)/wt)/wt</f>
        <v>392.13462650166332</v>
      </c>
      <c r="AB60" s="65">
        <f>Tabella2[[#This Row],[New_Deaths_fit]]*NOT(ISBLANK(Tabella2[[#This Row],[New deaths]]))</f>
        <v>0</v>
      </c>
    </row>
    <row r="61" spans="2:30" x14ac:dyDescent="0.3">
      <c r="B61" s="9">
        <v>43938</v>
      </c>
      <c r="C61" s="4">
        <f t="shared" si="0"/>
        <v>53</v>
      </c>
      <c r="E61" s="30"/>
      <c r="F61" s="56">
        <f>Tabella2[[#This Row],[New cases]]*NOT(ISBLANK(Tabella2[[#This Row],[New cases]]))</f>
        <v>0</v>
      </c>
      <c r="G61" s="50">
        <f>Kn*EXP(-EXP(-(Tabella2[[#This Row],[Day]]-t0n)/wn))</f>
        <v>168043.23505832758</v>
      </c>
      <c r="H61" s="10">
        <f>Tabella2[[#This Row],[Cum_fit]]*EXP(-(Tabella2[[#This Row],[Day]]-t0n)/wn)/wn</f>
        <v>2297.8944685383267</v>
      </c>
      <c r="I61" s="56">
        <f>Tabella2[[#This Row],[New_cases_fit]]*NOT(ISBLANK(Tabella2[[#This Row],[New cases]]))</f>
        <v>0</v>
      </c>
      <c r="L61" s="55"/>
      <c r="M61" s="54"/>
      <c r="N61" s="54">
        <f>Tabella2[[#This Row],[New_cases_fit]]-Tabella2[[#This Row],[New_Recovered_fit]]-Tabella2[[#This Row],[New_Deaths_fit]]</f>
        <v>-76.241842158270288</v>
      </c>
      <c r="P61" s="48"/>
      <c r="Q61" s="60">
        <f>Tabella2[[#This Row],[New recovered]]*NOT(ISBLANK(Tabella2[[#This Row],[New recovered]]))</f>
        <v>0</v>
      </c>
      <c r="R61" s="50">
        <f>Kd*EXP(-EXP(-(Tabella2[[#This Row],[Day]]-t0d)/wd))</f>
        <v>43613.090665078642</v>
      </c>
      <c r="S61" s="10">
        <f>Tabella2[[#This Row],[Cum_R_fit]]*EXP(-(Tabella2[[#This Row],[Day]]-t0d)/wd)/wd</f>
        <v>2004.7801543058672</v>
      </c>
      <c r="T61" s="60">
        <f>Tabella2[[#This Row],[New_Recovered_fit]]*NOT(ISBLANK(Tabella2[[#This Row],[New recovered]]))</f>
        <v>0</v>
      </c>
      <c r="X61" s="26"/>
      <c r="Y61" s="65">
        <f>Tabella2[[#This Row],[New deaths]]*NOT(ISBLANK(Tabella2[[#This Row],[New deaths]]))</f>
        <v>0</v>
      </c>
      <c r="Z61" s="50">
        <f>Kt*EXP(-EXP(-(Tabella2[[#This Row],[Day]]-t0t)/wt))</f>
        <v>22102.786763159158</v>
      </c>
      <c r="AA61" s="10">
        <f>Tabella2[[#This Row],[Cum_D_fit]]*EXP(-(Tabella2[[#This Row],[Day]]-t0t)/wt)/wt</f>
        <v>369.35615639072978</v>
      </c>
      <c r="AB61" s="65">
        <f>Tabella2[[#This Row],[New_Deaths_fit]]*NOT(ISBLANK(Tabella2[[#This Row],[New deaths]]))</f>
        <v>0</v>
      </c>
    </row>
    <row r="62" spans="2:30" x14ac:dyDescent="0.3">
      <c r="B62" s="9">
        <v>43939</v>
      </c>
      <c r="C62" s="4">
        <f t="shared" si="0"/>
        <v>54</v>
      </c>
      <c r="E62" s="30"/>
      <c r="F62" s="56">
        <f>Tabella2[[#This Row],[New cases]]*NOT(ISBLANK(Tabella2[[#This Row],[New cases]]))</f>
        <v>0</v>
      </c>
      <c r="G62" s="50">
        <f>Kn*EXP(-EXP(-(Tabella2[[#This Row],[Day]]-t0n)/wn))</f>
        <v>170273.91804310755</v>
      </c>
      <c r="H62" s="10">
        <f>Tabella2[[#This Row],[Cum_fit]]*EXP(-(Tabella2[[#This Row],[Day]]-t0n)/wn)/wn</f>
        <v>2164.4441935958857</v>
      </c>
      <c r="I62" s="56">
        <f>Tabella2[[#This Row],[New_cases_fit]]*NOT(ISBLANK(Tabella2[[#This Row],[New cases]]))</f>
        <v>0</v>
      </c>
      <c r="L62" s="55"/>
      <c r="M62" s="54"/>
      <c r="N62" s="54">
        <f>Tabella2[[#This Row],[New_cases_fit]]-Tabella2[[#This Row],[New_Recovered_fit]]-Tabella2[[#This Row],[New_Deaths_fit]]</f>
        <v>-212.31676966090049</v>
      </c>
      <c r="P62" s="48"/>
      <c r="Q62" s="60">
        <f>Tabella2[[#This Row],[New recovered]]*NOT(ISBLANK(Tabella2[[#This Row],[New recovered]]))</f>
        <v>0</v>
      </c>
      <c r="R62" s="50">
        <f>Kd*EXP(-EXP(-(Tabella2[[#This Row],[Day]]-t0d)/wd))</f>
        <v>45630.36160003546</v>
      </c>
      <c r="S62" s="10">
        <f>Tabella2[[#This Row],[Cum_R_fit]]*EXP(-(Tabella2[[#This Row],[Day]]-t0d)/wd)/wd</f>
        <v>2029.308962071723</v>
      </c>
      <c r="T62" s="60">
        <f>Tabella2[[#This Row],[New_Recovered_fit]]*NOT(ISBLANK(Tabella2[[#This Row],[New recovered]]))</f>
        <v>0</v>
      </c>
      <c r="X62" s="26"/>
      <c r="Y62" s="65">
        <f>Tabella2[[#This Row],[New deaths]]*NOT(ISBLANK(Tabella2[[#This Row],[New deaths]]))</f>
        <v>0</v>
      </c>
      <c r="Z62" s="50">
        <f>Kt*EXP(-EXP(-(Tabella2[[#This Row],[Day]]-t0t)/wt))</f>
        <v>22461.116333073842</v>
      </c>
      <c r="AA62" s="10">
        <f>Tabella2[[#This Row],[Cum_D_fit]]*EXP(-(Tabella2[[#This Row],[Day]]-t0t)/wt)/wt</f>
        <v>347.45200118506318</v>
      </c>
      <c r="AB62" s="65">
        <f>Tabella2[[#This Row],[New_Deaths_fit]]*NOT(ISBLANK(Tabella2[[#This Row],[New deaths]]))</f>
        <v>0</v>
      </c>
    </row>
    <row r="63" spans="2:30" x14ac:dyDescent="0.3">
      <c r="B63" s="9">
        <v>43940</v>
      </c>
      <c r="C63" s="4">
        <f t="shared" si="0"/>
        <v>55</v>
      </c>
      <c r="E63" s="30"/>
      <c r="F63" s="56">
        <f>Tabella2[[#This Row],[New cases]]*NOT(ISBLANK(Tabella2[[#This Row],[New cases]]))</f>
        <v>0</v>
      </c>
      <c r="G63" s="50">
        <f>Kn*EXP(-EXP(-(Tabella2[[#This Row],[Day]]-t0n)/wn))</f>
        <v>172374.0766960984</v>
      </c>
      <c r="H63" s="10">
        <f>Tabella2[[#This Row],[Cum_fit]]*EXP(-(Tabella2[[#This Row],[Day]]-t0n)/wn)/wn</f>
        <v>2036.8518120564111</v>
      </c>
      <c r="I63" s="56">
        <f>Tabella2[[#This Row],[New_cases_fit]]*NOT(ISBLANK(Tabella2[[#This Row],[New cases]]))</f>
        <v>0</v>
      </c>
      <c r="L63" s="55"/>
      <c r="M63" s="54"/>
      <c r="N63" s="54">
        <f>Tabella2[[#This Row],[New_cases_fit]]-Tabella2[[#This Row],[New_Recovered_fit]]-Tabella2[[#This Row],[New_Deaths_fit]]</f>
        <v>-340.72480215749044</v>
      </c>
      <c r="P63" s="48"/>
      <c r="Q63" s="60">
        <f>Tabella2[[#This Row],[New recovered]]*NOT(ISBLANK(Tabella2[[#This Row],[New recovered]]))</f>
        <v>0</v>
      </c>
      <c r="R63" s="50">
        <f>Kd*EXP(-EXP(-(Tabella2[[#This Row],[Day]]-t0d)/wd))</f>
        <v>47670.802578883755</v>
      </c>
      <c r="S63" s="10">
        <f>Tabella2[[#This Row],[Cum_R_fit]]*EXP(-(Tabella2[[#This Row],[Day]]-t0d)/wd)/wd</f>
        <v>2051.1201421224105</v>
      </c>
      <c r="T63" s="60">
        <f>Tabella2[[#This Row],[New_Recovered_fit]]*NOT(ISBLANK(Tabella2[[#This Row],[New recovered]]))</f>
        <v>0</v>
      </c>
      <c r="X63" s="26"/>
      <c r="Y63" s="65">
        <f>Tabella2[[#This Row],[New deaths]]*NOT(ISBLANK(Tabella2[[#This Row],[New deaths]]))</f>
        <v>0</v>
      </c>
      <c r="Z63" s="50">
        <f>Kt*EXP(-EXP(-(Tabella2[[#This Row],[Day]]-t0t)/wt))</f>
        <v>22797.993789270407</v>
      </c>
      <c r="AA63" s="10">
        <f>Tabella2[[#This Row],[Cum_D_fit]]*EXP(-(Tabella2[[#This Row],[Day]]-t0t)/wt)/wt</f>
        <v>326.45647209149104</v>
      </c>
      <c r="AB63" s="65">
        <f>Tabella2[[#This Row],[New_Deaths_fit]]*NOT(ISBLANK(Tabella2[[#This Row],[New deaths]]))</f>
        <v>0</v>
      </c>
    </row>
    <row r="64" spans="2:30" x14ac:dyDescent="0.3">
      <c r="B64" s="9">
        <v>43941</v>
      </c>
      <c r="C64" s="4">
        <f t="shared" si="0"/>
        <v>56</v>
      </c>
      <c r="E64" s="30"/>
      <c r="F64" s="56">
        <f>Tabella2[[#This Row],[New cases]]*NOT(ISBLANK(Tabella2[[#This Row],[New cases]]))</f>
        <v>0</v>
      </c>
      <c r="G64" s="50">
        <f>Kn*EXP(-EXP(-(Tabella2[[#This Row],[Day]]-t0n)/wn))</f>
        <v>174349.57807718255</v>
      </c>
      <c r="H64" s="10">
        <f>Tabella2[[#This Row],[Cum_fit]]*EXP(-(Tabella2[[#This Row],[Day]]-t0n)/wn)/wn</f>
        <v>1915.1270873170238</v>
      </c>
      <c r="I64" s="56">
        <f>Tabella2[[#This Row],[New_cases_fit]]*NOT(ISBLANK(Tabella2[[#This Row],[New cases]]))</f>
        <v>0</v>
      </c>
      <c r="L64" s="55"/>
      <c r="M64" s="54"/>
      <c r="N64" s="54">
        <f>Tabella2[[#This Row],[New_cases_fit]]-Tabella2[[#This Row],[New_Recovered_fit]]-Tabella2[[#This Row],[New_Deaths_fit]]</f>
        <v>-461.4824355090455</v>
      </c>
      <c r="P64" s="48"/>
      <c r="Q64" s="60">
        <f>Tabella2[[#This Row],[New recovered]]*NOT(ISBLANK(Tabella2[[#This Row],[New recovered]]))</f>
        <v>0</v>
      </c>
      <c r="R64" s="50">
        <f>Kd*EXP(-EXP(-(Tabella2[[#This Row],[Day]]-t0d)/wd))</f>
        <v>49731.697655229145</v>
      </c>
      <c r="S64" s="10">
        <f>Tabella2[[#This Row],[Cum_R_fit]]*EXP(-(Tabella2[[#This Row],[Day]]-t0d)/wd)/wd</f>
        <v>2070.2190144789765</v>
      </c>
      <c r="T64" s="60">
        <f>Tabella2[[#This Row],[New_Recovered_fit]]*NOT(ISBLANK(Tabella2[[#This Row],[New recovered]]))</f>
        <v>0</v>
      </c>
      <c r="X64" s="26"/>
      <c r="Y64" s="65">
        <f>Tabella2[[#This Row],[New deaths]]*NOT(ISBLANK(Tabella2[[#This Row],[New deaths]]))</f>
        <v>0</v>
      </c>
      <c r="Z64" s="50">
        <f>Kt*EXP(-EXP(-(Tabella2[[#This Row],[Day]]-t0t)/wt))</f>
        <v>23114.339259418161</v>
      </c>
      <c r="AA64" s="10">
        <f>Tabella2[[#This Row],[Cum_D_fit]]*EXP(-(Tabella2[[#This Row],[Day]]-t0t)/wt)/wt</f>
        <v>306.39050834709275</v>
      </c>
      <c r="AB64" s="65">
        <f>Tabella2[[#This Row],[New_Deaths_fit]]*NOT(ISBLANK(Tabella2[[#This Row],[New deaths]]))</f>
        <v>0</v>
      </c>
    </row>
    <row r="65" spans="2:28" x14ac:dyDescent="0.3">
      <c r="B65" s="9">
        <v>43942</v>
      </c>
      <c r="C65" s="4">
        <f t="shared" si="0"/>
        <v>57</v>
      </c>
      <c r="E65" s="30"/>
      <c r="F65" s="56">
        <f>Tabella2[[#This Row],[New cases]]*NOT(ISBLANK(Tabella2[[#This Row],[New cases]]))</f>
        <v>0</v>
      </c>
      <c r="G65" s="50">
        <f>Kn*EXP(-EXP(-(Tabella2[[#This Row],[Day]]-t0n)/wn))</f>
        <v>176206.2746854244</v>
      </c>
      <c r="H65" s="10">
        <f>Tabella2[[#This Row],[Cum_fit]]*EXP(-(Tabella2[[#This Row],[Day]]-t0n)/wn)/wn</f>
        <v>1799.2324910890638</v>
      </c>
      <c r="I65" s="56">
        <f>Tabella2[[#This Row],[New_cases_fit]]*NOT(ISBLANK(Tabella2[[#This Row],[New cases]]))</f>
        <v>0</v>
      </c>
      <c r="L65" s="55"/>
      <c r="M65" s="54"/>
      <c r="N65" s="54">
        <f>Tabella2[[#This Row],[New_cases_fit]]-Tabella2[[#This Row],[New_Recovered_fit]]-Tabella2[[#This Row],[New_Deaths_fit]]</f>
        <v>-574.65338261126556</v>
      </c>
      <c r="P65" s="48"/>
      <c r="Q65" s="60">
        <f>Tabella2[[#This Row],[New recovered]]*NOT(ISBLANK(Tabella2[[#This Row],[New recovered]]))</f>
        <v>0</v>
      </c>
      <c r="R65" s="50">
        <f>Kd*EXP(-EXP(-(Tabella2[[#This Row],[Day]]-t0d)/wd))</f>
        <v>51810.341953550953</v>
      </c>
      <c r="S65" s="10">
        <f>Tabella2[[#This Row],[Cum_R_fit]]*EXP(-(Tabella2[[#This Row],[Day]]-t0d)/wd)/wd</f>
        <v>2086.6222782748159</v>
      </c>
      <c r="T65" s="60">
        <f>Tabella2[[#This Row],[New_Recovered_fit]]*NOT(ISBLANK(Tabella2[[#This Row],[New recovered]]))</f>
        <v>0</v>
      </c>
      <c r="X65" s="26"/>
      <c r="Y65" s="65">
        <f>Tabella2[[#This Row],[New deaths]]*NOT(ISBLANK(Tabella2[[#This Row],[New deaths]]))</f>
        <v>0</v>
      </c>
      <c r="Z65" s="50">
        <f>Kt*EXP(-EXP(-(Tabella2[[#This Row],[Day]]-t0t)/wt))</f>
        <v>23411.087930462876</v>
      </c>
      <c r="AA65" s="10">
        <f>Tabella2[[#This Row],[Cum_D_fit]]*EXP(-(Tabella2[[#This Row],[Day]]-t0t)/wt)/wt</f>
        <v>287.26359542551347</v>
      </c>
      <c r="AB65" s="65">
        <f>Tabella2[[#This Row],[New_Deaths_fit]]*NOT(ISBLANK(Tabella2[[#This Row],[New deaths]]))</f>
        <v>0</v>
      </c>
    </row>
    <row r="66" spans="2:28" x14ac:dyDescent="0.3">
      <c r="B66" s="9">
        <v>43943</v>
      </c>
      <c r="C66" s="4">
        <f t="shared" si="0"/>
        <v>58</v>
      </c>
      <c r="E66" s="30"/>
      <c r="F66" s="56">
        <f>Tabella2[[#This Row],[New cases]]*NOT(ISBLANK(Tabella2[[#This Row],[New cases]]))</f>
        <v>0</v>
      </c>
      <c r="G66" s="50">
        <f>Kn*EXP(-EXP(-(Tabella2[[#This Row],[Day]]-t0n)/wn))</f>
        <v>177949.9611000572</v>
      </c>
      <c r="H66" s="10">
        <f>Tabella2[[#This Row],[Cum_fit]]*EXP(-(Tabella2[[#This Row],[Day]]-t0n)/wn)/wn</f>
        <v>1689.0909320005703</v>
      </c>
      <c r="I66" s="56">
        <f>Tabella2[[#This Row],[New_cases_fit]]*NOT(ISBLANK(Tabella2[[#This Row],[New cases]]))</f>
        <v>0</v>
      </c>
      <c r="L66" s="55"/>
      <c r="M66" s="54"/>
      <c r="N66" s="54">
        <f>Tabella2[[#This Row],[New_cases_fit]]-Tabella2[[#This Row],[New_Recovered_fit]]-Tabella2[[#This Row],[New_Deaths_fit]]</f>
        <v>-680.34184525247929</v>
      </c>
      <c r="P66" s="48"/>
      <c r="Q66" s="60">
        <f>Tabella2[[#This Row],[New recovered]]*NOT(ISBLANK(Tabella2[[#This Row],[New recovered]]))</f>
        <v>0</v>
      </c>
      <c r="R66" s="50">
        <f>Kd*EXP(-EXP(-(Tabella2[[#This Row],[Day]]-t0d)/wd))</f>
        <v>53904.052674558865</v>
      </c>
      <c r="S66" s="10">
        <f>Tabella2[[#This Row],[Cum_R_fit]]*EXP(-(Tabella2[[#This Row],[Day]]-t0d)/wd)/wd</f>
        <v>2100.3572586346017</v>
      </c>
      <c r="T66" s="60">
        <f>Tabella2[[#This Row],[New_Recovered_fit]]*NOT(ISBLANK(Tabella2[[#This Row],[New recovered]]))</f>
        <v>0</v>
      </c>
      <c r="X66" s="26"/>
      <c r="Y66" s="65">
        <f>Tabella2[[#This Row],[New deaths]]*NOT(ISBLANK(Tabella2[[#This Row],[New deaths]]))</f>
        <v>0</v>
      </c>
      <c r="Z66" s="50">
        <f>Kt*EXP(-EXP(-(Tabella2[[#This Row],[Day]]-t0t)/wt))</f>
        <v>23689.17948557717</v>
      </c>
      <c r="AA66" s="10">
        <f>Tabella2[[#This Row],[Cum_D_fit]]*EXP(-(Tabella2[[#This Row],[Day]]-t0t)/wt)/wt</f>
        <v>269.0755186184478</v>
      </c>
      <c r="AB66" s="65">
        <f>Tabella2[[#This Row],[New_Deaths_fit]]*NOT(ISBLANK(Tabella2[[#This Row],[New deaths]]))</f>
        <v>0</v>
      </c>
    </row>
    <row r="67" spans="2:28" x14ac:dyDescent="0.3">
      <c r="B67" s="9">
        <v>43944</v>
      </c>
      <c r="C67" s="4">
        <f t="shared" si="0"/>
        <v>59</v>
      </c>
      <c r="E67" s="30"/>
      <c r="F67" s="56">
        <f>Tabella2[[#This Row],[New cases]]*NOT(ISBLANK(Tabella2[[#This Row],[New cases]]))</f>
        <v>0</v>
      </c>
      <c r="G67" s="50">
        <f>Kn*EXP(-EXP(-(Tabella2[[#This Row],[Day]]-t0n)/wn))</f>
        <v>179586.3379446108</v>
      </c>
      <c r="H67" s="10">
        <f>Tabella2[[#This Row],[Cum_fit]]*EXP(-(Tabella2[[#This Row],[Day]]-t0n)/wn)/wn</f>
        <v>1584.5926784616647</v>
      </c>
      <c r="I67" s="56">
        <f>Tabella2[[#This Row],[New_cases_fit]]*NOT(ISBLANK(Tabella2[[#This Row],[New cases]]))</f>
        <v>0</v>
      </c>
      <c r="L67" s="55"/>
      <c r="M67" s="54"/>
      <c r="N67" s="54">
        <f>Tabella2[[#This Row],[New_cases_fit]]-Tabella2[[#This Row],[New_Recovered_fit]]-Tabella2[[#This Row],[New_Deaths_fit]]</f>
        <v>-778.68639599756807</v>
      </c>
      <c r="P67" s="48"/>
      <c r="Q67" s="60">
        <f>Tabella2[[#This Row],[New recovered]]*NOT(ISBLANK(Tabella2[[#This Row],[New recovered]]))</f>
        <v>0</v>
      </c>
      <c r="R67" s="50">
        <f>Kd*EXP(-EXP(-(Tabella2[[#This Row],[Day]]-t0d)/wd))</f>
        <v>56010.17933239539</v>
      </c>
      <c r="S67" s="10">
        <f>Tabella2[[#This Row],[Cum_R_fit]]*EXP(-(Tabella2[[#This Row],[Day]]-t0d)/wd)/wd</f>
        <v>2111.46112525649</v>
      </c>
      <c r="T67" s="60">
        <f>Tabella2[[#This Row],[New_Recovered_fit]]*NOT(ISBLANK(Tabella2[[#This Row],[New recovered]]))</f>
        <v>0</v>
      </c>
      <c r="X67" s="26"/>
      <c r="Y67" s="65">
        <f>Tabella2[[#This Row],[New deaths]]*NOT(ISBLANK(Tabella2[[#This Row],[New deaths]]))</f>
        <v>0</v>
      </c>
      <c r="Z67" s="50">
        <f>Kt*EXP(-EXP(-(Tabella2[[#This Row],[Day]]-t0t)/wt))</f>
        <v>23949.549210986082</v>
      </c>
      <c r="AA67" s="10">
        <f>Tabella2[[#This Row],[Cum_D_fit]]*EXP(-(Tabella2[[#This Row],[Day]]-t0t)/wt)/wt</f>
        <v>251.8179492027428</v>
      </c>
      <c r="AB67" s="65">
        <f>Tabella2[[#This Row],[New_Deaths_fit]]*NOT(ISBLANK(Tabella2[[#This Row],[New deaths]]))</f>
        <v>0</v>
      </c>
    </row>
    <row r="68" spans="2:28" x14ac:dyDescent="0.3">
      <c r="B68" s="9">
        <v>43945</v>
      </c>
      <c r="C68" s="4">
        <f t="shared" si="0"/>
        <v>60</v>
      </c>
      <c r="F68" s="56">
        <f>Tabella2[[#This Row],[New cases]]*NOT(ISBLANK(Tabella2[[#This Row],[New cases]]))</f>
        <v>0</v>
      </c>
      <c r="G68" s="50">
        <f>Kn*EXP(-EXP(-(Tabella2[[#This Row],[Day]]-t0n)/wn))</f>
        <v>181120.98238588742</v>
      </c>
      <c r="H68" s="10">
        <f>Tabella2[[#This Row],[Cum_fit]]*EXP(-(Tabella2[[#This Row],[Day]]-t0n)/wn)/wn</f>
        <v>1485.6015124332632</v>
      </c>
      <c r="I68" s="56">
        <f>Tabella2[[#This Row],[New_cases_fit]]*NOT(ISBLANK(Tabella2[[#This Row],[New cases]]))</f>
        <v>0</v>
      </c>
      <c r="L68" s="55"/>
      <c r="M68" s="54"/>
      <c r="N68" s="54">
        <f>Tabella2[[#This Row],[New_cases_fit]]-Tabella2[[#This Row],[New_Recovered_fit]]-Tabella2[[#This Row],[New_Deaths_fit]]</f>
        <v>-869.85444589445706</v>
      </c>
      <c r="P68" s="48"/>
      <c r="Q68" s="60">
        <f>Tabella2[[#This Row],[New recovered]]*NOT(ISBLANK(Tabella2[[#This Row],[New recovered]]))</f>
        <v>0</v>
      </c>
      <c r="R68" s="50">
        <f>Kd*EXP(-EXP(-(Tabella2[[#This Row],[Day]]-t0d)/wd))</f>
        <v>58126.113200561864</v>
      </c>
      <c r="S68" s="10">
        <f>Tabella2[[#This Row],[Cum_R_fit]]*EXP(-(Tabella2[[#This Row],[Day]]-t0d)/wd)/wd</f>
        <v>2119.9800929105668</v>
      </c>
      <c r="T68" s="60">
        <f>Tabella2[[#This Row],[New_Recovered_fit]]*NOT(ISBLANK(Tabella2[[#This Row],[New recovered]]))</f>
        <v>0</v>
      </c>
      <c r="X68" s="26"/>
      <c r="Y68" s="65">
        <f>Tabella2[[#This Row],[New deaths]]*NOT(ISBLANK(Tabella2[[#This Row],[New deaths]]))</f>
        <v>0</v>
      </c>
      <c r="Z68" s="50">
        <f>Kt*EXP(-EXP(-(Tabella2[[#This Row],[Day]]-t0t)/wt))</f>
        <v>24193.120606007993</v>
      </c>
      <c r="AA68" s="10">
        <f>Tabella2[[#This Row],[Cum_D_fit]]*EXP(-(Tabella2[[#This Row],[Day]]-t0t)/wt)/wt</f>
        <v>235.47586541715353</v>
      </c>
      <c r="AB68" s="65">
        <f>Tabella2[[#This Row],[New_Deaths_fit]]*NOT(ISBLANK(Tabella2[[#This Row],[New deaths]]))</f>
        <v>0</v>
      </c>
    </row>
    <row r="69" spans="2:28" x14ac:dyDescent="0.3">
      <c r="B69" s="9">
        <v>43946</v>
      </c>
      <c r="C69" s="4">
        <f t="shared" si="0"/>
        <v>61</v>
      </c>
      <c r="F69" s="56">
        <f>Tabella2[[#This Row],[New cases]]*NOT(ISBLANK(Tabella2[[#This Row],[New cases]]))</f>
        <v>0</v>
      </c>
      <c r="G69" s="50">
        <f>Kn*EXP(-EXP(-(Tabella2[[#This Row],[Day]]-t0n)/wn))</f>
        <v>182559.32442075922</v>
      </c>
      <c r="H69" s="10">
        <f>Tabella2[[#This Row],[Cum_fit]]*EXP(-(Tabella2[[#This Row],[Day]]-t0n)/wn)/wn</f>
        <v>1391.9601593882323</v>
      </c>
      <c r="I69" s="56">
        <f>Tabella2[[#This Row],[New_cases_fit]]*NOT(ISBLANK(Tabella2[[#This Row],[New cases]]))</f>
        <v>0</v>
      </c>
      <c r="L69" s="55"/>
      <c r="M69" s="54"/>
      <c r="N69" s="54">
        <f>Tabella2[[#This Row],[New_cases_fit]]-Tabella2[[#This Row],[New_Recovered_fit]]-Tabella2[[#This Row],[New_Deaths_fit]]</f>
        <v>-954.03726796691603</v>
      </c>
      <c r="P69" s="48"/>
      <c r="Q69" s="60">
        <f>Tabella2[[#This Row],[New recovered]]*NOT(ISBLANK(Tabella2[[#This Row],[New recovered]]))</f>
        <v>0</v>
      </c>
      <c r="R69" s="50">
        <f>Kd*EXP(-EXP(-(Tabella2[[#This Row],[Day]]-t0d)/wd))</f>
        <v>60249.295953240879</v>
      </c>
      <c r="S69" s="10">
        <f>Tabella2[[#This Row],[Cum_R_fit]]*EXP(-(Tabella2[[#This Row],[Day]]-t0d)/wd)/wd</f>
        <v>2125.9686132217125</v>
      </c>
      <c r="T69" s="60">
        <f>Tabella2[[#This Row],[New_Recovered_fit]]*NOT(ISBLANK(Tabella2[[#This Row],[New recovered]]))</f>
        <v>0</v>
      </c>
      <c r="X69" s="26"/>
      <c r="Y69" s="65">
        <f>Tabella2[[#This Row],[New deaths]]*NOT(ISBLANK(Tabella2[[#This Row],[New deaths]]))</f>
        <v>0</v>
      </c>
      <c r="Z69" s="50">
        <f>Kt*EXP(-EXP(-(Tabella2[[#This Row],[Day]]-t0t)/wt))</f>
        <v>24420.799333807565</v>
      </c>
      <c r="AA69" s="10">
        <f>Tabella2[[#This Row],[Cum_D_fit]]*EXP(-(Tabella2[[#This Row],[Day]]-t0t)/wt)/wt</f>
        <v>220.02881413343582</v>
      </c>
      <c r="AB69" s="65">
        <f>Tabella2[[#This Row],[New_Deaths_fit]]*NOT(ISBLANK(Tabella2[[#This Row],[New deaths]]))</f>
        <v>0</v>
      </c>
    </row>
    <row r="70" spans="2:28" x14ac:dyDescent="0.3">
      <c r="B70" s="9">
        <v>43947</v>
      </c>
      <c r="C70" s="4">
        <f t="shared" si="0"/>
        <v>62</v>
      </c>
      <c r="F70" s="56">
        <f>Tabella2[[#This Row],[New cases]]*NOT(ISBLANK(Tabella2[[#This Row],[New cases]]))</f>
        <v>0</v>
      </c>
      <c r="G70" s="50">
        <f>Kn*EXP(-EXP(-(Tabella2[[#This Row],[Day]]-t0n)/wn))</f>
        <v>183906.62825199109</v>
      </c>
      <c r="H70" s="10">
        <f>Tabella2[[#This Row],[Cum_fit]]*EXP(-(Tabella2[[#This Row],[Day]]-t0n)/wn)/wn</f>
        <v>1303.495045154061</v>
      </c>
      <c r="I70" s="56">
        <f>Tabella2[[#This Row],[New_cases_fit]]*NOT(ISBLANK(Tabella2[[#This Row],[New cases]]))</f>
        <v>0</v>
      </c>
      <c r="L70" s="55"/>
      <c r="M70" s="54"/>
      <c r="N70" s="54">
        <f>Tabella2[[#This Row],[New_cases_fit]]-Tabella2[[#This Row],[New_Recovered_fit]]-Tabella2[[#This Row],[New_Deaths_fit]]</f>
        <v>-1031.4455427318758</v>
      </c>
      <c r="P70" s="48"/>
      <c r="Q70" s="60">
        <f>Tabella2[[#This Row],[New recovered]]*NOT(ISBLANK(Tabella2[[#This Row],[New recovered]]))</f>
        <v>0</v>
      </c>
      <c r="R70" s="50">
        <f>Kd*EXP(-EXP(-(Tabella2[[#This Row],[Day]]-t0d)/wd))</f>
        <v>62377.227497618558</v>
      </c>
      <c r="S70" s="10">
        <f>Tabella2[[#This Row],[Cum_R_fit]]*EXP(-(Tabella2[[#This Row],[Day]]-t0d)/wd)/wd</f>
        <v>2129.4885662278011</v>
      </c>
      <c r="T70" s="60">
        <f>Tabella2[[#This Row],[New_Recovered_fit]]*NOT(ISBLANK(Tabella2[[#This Row],[New recovered]]))</f>
        <v>0</v>
      </c>
      <c r="X70" s="26"/>
      <c r="Y70" s="65">
        <f>Tabella2[[#This Row],[New deaths]]*NOT(ISBLANK(Tabella2[[#This Row],[New deaths]]))</f>
        <v>0</v>
      </c>
      <c r="Z70" s="50">
        <f>Kt*EXP(-EXP(-(Tabella2[[#This Row],[Day]]-t0t)/wt))</f>
        <v>24633.468357600854</v>
      </c>
      <c r="AA70" s="10">
        <f>Tabella2[[#This Row],[Cum_D_fit]]*EXP(-(Tabella2[[#This Row],[Day]]-t0t)/wt)/wt</f>
        <v>205.45202165813569</v>
      </c>
      <c r="AB70" s="65">
        <f>Tabella2[[#This Row],[New_Deaths_fit]]*NOT(ISBLANK(Tabella2[[#This Row],[New deaths]]))</f>
        <v>0</v>
      </c>
    </row>
    <row r="71" spans="2:28" x14ac:dyDescent="0.3">
      <c r="B71" s="9">
        <v>43948</v>
      </c>
      <c r="C71" s="4">
        <f t="shared" si="0"/>
        <v>63</v>
      </c>
      <c r="F71" s="56">
        <f>Tabella2[[#This Row],[New cases]]*NOT(ISBLANK(Tabella2[[#This Row],[New cases]]))</f>
        <v>0</v>
      </c>
      <c r="G71" s="50">
        <f>Kn*EXP(-EXP(-(Tabella2[[#This Row],[Day]]-t0n)/wn))</f>
        <v>185167.97810658655</v>
      </c>
      <c r="H71" s="10">
        <f>Tabella2[[#This Row],[Cum_fit]]*EXP(-(Tabella2[[#This Row],[Day]]-t0n)/wn)/wn</f>
        <v>1220.0204331604361</v>
      </c>
      <c r="I71" s="56">
        <f>Tabella2[[#This Row],[New_cases_fit]]*NOT(ISBLANK(Tabella2[[#This Row],[New cases]]))</f>
        <v>0</v>
      </c>
      <c r="L71" s="55"/>
      <c r="M71" s="54"/>
      <c r="N71" s="54">
        <f>Tabella2[[#This Row],[New_cases_fit]]-Tabella2[[#This Row],[New_Recovered_fit]]-Tabella2[[#This Row],[New_Deaths_fit]]</f>
        <v>-1102.3053899136517</v>
      </c>
      <c r="P71" s="48"/>
      <c r="Q71" s="60">
        <f>Tabella2[[#This Row],[New recovered]]*NOT(ISBLANK(Tabella2[[#This Row],[New recovered]]))</f>
        <v>0</v>
      </c>
      <c r="R71" s="50">
        <f>Kd*EXP(-EXP(-(Tabella2[[#This Row],[Day]]-t0d)/wd))</f>
        <v>64507.473000856487</v>
      </c>
      <c r="S71" s="10">
        <f>Tabella2[[#This Row],[Cum_R_fit]]*EXP(-(Tabella2[[#This Row],[Day]]-t0d)/wd)/wd</f>
        <v>2130.6084593132273</v>
      </c>
      <c r="T71" s="60">
        <f>Tabella2[[#This Row],[New_Recovered_fit]]*NOT(ISBLANK(Tabella2[[#This Row],[New recovered]]))</f>
        <v>0</v>
      </c>
      <c r="X71" s="26"/>
      <c r="Y71" s="65">
        <f>Tabella2[[#This Row],[New deaths]]*NOT(ISBLANK(Tabella2[[#This Row],[New deaths]]))</f>
        <v>0</v>
      </c>
      <c r="Z71" s="50">
        <f>Kt*EXP(-EXP(-(Tabella2[[#This Row],[Day]]-t0t)/wt))</f>
        <v>24831.984116384876</v>
      </c>
      <c r="AA71" s="10">
        <f>Tabella2[[#This Row],[Cum_D_fit]]*EXP(-(Tabella2[[#This Row],[Day]]-t0t)/wt)/wt</f>
        <v>191.71736376086059</v>
      </c>
      <c r="AB71" s="65">
        <f>Tabella2[[#This Row],[New_Deaths_fit]]*NOT(ISBLANK(Tabella2[[#This Row],[New deaths]]))</f>
        <v>0</v>
      </c>
    </row>
    <row r="72" spans="2:28" x14ac:dyDescent="0.3">
      <c r="B72" s="9">
        <v>43949</v>
      </c>
      <c r="C72" s="4">
        <f t="shared" si="0"/>
        <v>64</v>
      </c>
      <c r="F72" s="56">
        <f>Tabella2[[#This Row],[New cases]]*NOT(ISBLANK(Tabella2[[#This Row],[New cases]]))</f>
        <v>0</v>
      </c>
      <c r="G72" s="50">
        <f>Kn*EXP(-EXP(-(Tabella2[[#This Row],[Day]]-t0n)/wn))</f>
        <v>186348.2679042466</v>
      </c>
      <c r="H72" s="10">
        <f>Tabella2[[#This Row],[Cum_fit]]*EXP(-(Tabella2[[#This Row],[Day]]-t0n)/wn)/wn</f>
        <v>1141.3419964644249</v>
      </c>
      <c r="I72" s="56">
        <f>Tabella2[[#This Row],[New_cases_fit]]*NOT(ISBLANK(Tabella2[[#This Row],[New cases]]))</f>
        <v>0</v>
      </c>
      <c r="L72" s="55"/>
      <c r="M72" s="54"/>
      <c r="N72" s="54">
        <f>Tabella2[[#This Row],[New_cases_fit]]-Tabella2[[#This Row],[New_Recovered_fit]]-Tabella2[[#This Row],[New_Deaths_fit]]</f>
        <v>-1166.854849745017</v>
      </c>
      <c r="P72" s="48"/>
      <c r="Q72" s="60">
        <f>Tabella2[[#This Row],[New recovered]]*NOT(ISBLANK(Tabella2[[#This Row],[New recovered]]))</f>
        <v>0</v>
      </c>
      <c r="R72" s="50">
        <f>Kd*EXP(-EXP(-(Tabella2[[#This Row],[Day]]-t0d)/wd))</f>
        <v>66637.6691225182</v>
      </c>
      <c r="S72" s="10">
        <f>Tabella2[[#This Row],[Cum_R_fit]]*EXP(-(Tabella2[[#This Row],[Day]]-t0d)/wd)/wd</f>
        <v>2129.402640229287</v>
      </c>
      <c r="T72" s="60">
        <f>Tabella2[[#This Row],[New_Recovered_fit]]*NOT(ISBLANK(Tabella2[[#This Row],[New recovered]]))</f>
        <v>0</v>
      </c>
      <c r="X72" s="26"/>
      <c r="Y72" s="65">
        <f>Tabella2[[#This Row],[New deaths]]*NOT(ISBLANK(Tabella2[[#This Row],[New deaths]]))</f>
        <v>0</v>
      </c>
      <c r="Z72" s="50">
        <f>Kt*EXP(-EXP(-(Tabella2[[#This Row],[Day]]-t0t)/wt))</f>
        <v>25017.173604888954</v>
      </c>
      <c r="AA72" s="10">
        <f>Tabella2[[#This Row],[Cum_D_fit]]*EXP(-(Tabella2[[#This Row],[Day]]-t0t)/wt)/wt</f>
        <v>178.79420598015491</v>
      </c>
      <c r="AB72" s="65">
        <f>Tabella2[[#This Row],[New_Deaths_fit]]*NOT(ISBLANK(Tabella2[[#This Row],[New deaths]]))</f>
        <v>0</v>
      </c>
    </row>
    <row r="73" spans="2:28" x14ac:dyDescent="0.3">
      <c r="B73" s="9">
        <v>43950</v>
      </c>
      <c r="C73" s="4">
        <f t="shared" si="0"/>
        <v>65</v>
      </c>
      <c r="F73" s="56">
        <f>Tabella2[[#This Row],[New cases]]*NOT(ISBLANK(Tabella2[[#This Row],[New cases]]))</f>
        <v>0</v>
      </c>
      <c r="G73" s="50">
        <f>Kn*EXP(-EXP(-(Tabella2[[#This Row],[Day]]-t0n)/wn))</f>
        <v>187452.19423768565</v>
      </c>
      <c r="H73" s="10">
        <f>Tabella2[[#This Row],[Cum_fit]]*EXP(-(Tabella2[[#This Row],[Day]]-t0n)/wn)/wn</f>
        <v>1067.2598782764003</v>
      </c>
      <c r="I73" s="56">
        <f>Tabella2[[#This Row],[New_cases_fit]]*NOT(ISBLANK(Tabella2[[#This Row],[New cases]]))</f>
        <v>0</v>
      </c>
      <c r="L73" s="55"/>
      <c r="M73" s="54"/>
      <c r="N73" s="54">
        <f>Tabella2[[#This Row],[New_cases_fit]]-Tabella2[[#This Row],[New_Recovered_fit]]-Tabella2[[#This Row],[New_Deaths_fit]]</f>
        <v>-1225.3407774338928</v>
      </c>
      <c r="P73" s="48"/>
      <c r="Q73" s="60">
        <f>Tabella2[[#This Row],[New recovered]]*NOT(ISBLANK(Tabella2[[#This Row],[New recovered]]))</f>
        <v>0</v>
      </c>
      <c r="R73" s="50">
        <f>Kd*EXP(-EXP(-(Tabella2[[#This Row],[Day]]-t0d)/wd))</f>
        <v>68765.529469527959</v>
      </c>
      <c r="S73" s="10">
        <f>Tabella2[[#This Row],[Cum_R_fit]]*EXP(-(Tabella2[[#This Row],[Day]]-t0d)/wd)/wd</f>
        <v>2125.9505300407623</v>
      </c>
      <c r="T73" s="60">
        <f>Tabella2[[#This Row],[New_Recovered_fit]]*NOT(ISBLANK(Tabella2[[#This Row],[New recovered]]))</f>
        <v>0</v>
      </c>
      <c r="X73" s="26"/>
      <c r="Y73" s="65">
        <f>Tabella2[[#This Row],[New deaths]]*NOT(ISBLANK(Tabella2[[#This Row],[New deaths]]))</f>
        <v>0</v>
      </c>
      <c r="Z73" s="50">
        <f>Kt*EXP(-EXP(-(Tabella2[[#This Row],[Day]]-t0t)/wt))</f>
        <v>25189.832233741436</v>
      </c>
      <c r="AA73" s="10">
        <f>Tabella2[[#This Row],[Cum_D_fit]]*EXP(-(Tabella2[[#This Row],[Day]]-t0t)/wt)/wt</f>
        <v>166.65012566953072</v>
      </c>
      <c r="AB73" s="65">
        <f>Tabella2[[#This Row],[New_Deaths_fit]]*NOT(ISBLANK(Tabella2[[#This Row],[New deaths]]))</f>
        <v>0</v>
      </c>
    </row>
    <row r="74" spans="2:28" x14ac:dyDescent="0.3">
      <c r="B74" s="9">
        <v>43951</v>
      </c>
      <c r="C74" s="4">
        <f t="shared" ref="C74:C78" si="1">C73+1</f>
        <v>66</v>
      </c>
      <c r="F74" s="56">
        <f>Tabella2[[#This Row],[New cases]]*NOT(ISBLANK(Tabella2[[#This Row],[New cases]]))</f>
        <v>0</v>
      </c>
      <c r="G74" s="50">
        <f>Kn*EXP(-EXP(-(Tabella2[[#This Row],[Day]]-t0n)/wn))</f>
        <v>188484.25217947614</v>
      </c>
      <c r="H74" s="10">
        <f>Tabella2[[#This Row],[Cum_fit]]*EXP(-(Tabella2[[#This Row],[Day]]-t0n)/wn)/wn</f>
        <v>997.5712929626111</v>
      </c>
      <c r="I74" s="56">
        <f>Tabella2[[#This Row],[New_cases_fit]]*NOT(ISBLANK(Tabella2[[#This Row],[New cases]]))</f>
        <v>0</v>
      </c>
      <c r="L74" s="55"/>
      <c r="M74" s="54"/>
      <c r="N74" s="54">
        <f>Tabella2[[#This Row],[New_cases_fit]]-Tabella2[[#This Row],[New_Recovered_fit]]-Tabella2[[#This Row],[New_Deaths_fit]]</f>
        <v>-1278.0161152786718</v>
      </c>
      <c r="P74" s="48"/>
      <c r="Q74" s="60">
        <f>Tabella2[[#This Row],[New recovered]]*NOT(ISBLANK(Tabella2[[#This Row],[New recovered]]))</f>
        <v>0</v>
      </c>
      <c r="R74" s="50">
        <f>Kd*EXP(-EXP(-(Tabella2[[#This Row],[Day]]-t0d)/wd))</f>
        <v>70888.849296154949</v>
      </c>
      <c r="S74" s="10">
        <f>Tabella2[[#This Row],[Cum_R_fit]]*EXP(-(Tabella2[[#This Row],[Day]]-t0d)/wd)/wd</f>
        <v>2120.3358809936235</v>
      </c>
      <c r="T74" s="60">
        <f>Tabella2[[#This Row],[New_Recovered_fit]]*NOT(ISBLANK(Tabella2[[#This Row],[New recovered]]))</f>
        <v>0</v>
      </c>
      <c r="X74" s="26"/>
      <c r="Y74" s="65">
        <f>Tabella2[[#This Row],[New deaths]]*NOT(ISBLANK(Tabella2[[#This Row],[New deaths]]))</f>
        <v>0</v>
      </c>
      <c r="Z74" s="50">
        <f>Kt*EXP(-EXP(-(Tabella2[[#This Row],[Day]]-t0t)/wt))</f>
        <v>25350.722357337723</v>
      </c>
      <c r="AA74" s="10">
        <f>Tabella2[[#This Row],[Cum_D_fit]]*EXP(-(Tabella2[[#This Row],[Day]]-t0t)/wt)/wt</f>
        <v>155.25152724765945</v>
      </c>
      <c r="AB74" s="65">
        <f>Tabella2[[#This Row],[New_Deaths_fit]]*NOT(ISBLANK(Tabella2[[#This Row],[New deaths]]))</f>
        <v>0</v>
      </c>
    </row>
    <row r="75" spans="2:28" x14ac:dyDescent="0.3">
      <c r="B75" s="9">
        <v>43952</v>
      </c>
      <c r="C75" s="4">
        <f t="shared" si="1"/>
        <v>67</v>
      </c>
      <c r="F75" s="56">
        <f>Tabella2[[#This Row],[New cases]]*NOT(ISBLANK(Tabella2[[#This Row],[New cases]]))</f>
        <v>0</v>
      </c>
      <c r="G75" s="50">
        <f>Kn*EXP(-EXP(-(Tabella2[[#This Row],[Day]]-t0n)/wn))</f>
        <v>189448.73348086086</v>
      </c>
      <c r="H75" s="10">
        <f>Tabella2[[#This Row],[Cum_fit]]*EXP(-(Tabella2[[#This Row],[Day]]-t0n)/wn)/wn</f>
        <v>932.07271698161742</v>
      </c>
      <c r="I75" s="56">
        <f>Tabella2[[#This Row],[New_cases_fit]]*NOT(ISBLANK(Tabella2[[#This Row],[New cases]]))</f>
        <v>0</v>
      </c>
      <c r="L75" s="55"/>
      <c r="M75" s="54"/>
      <c r="N75" s="54">
        <f>Tabella2[[#This Row],[New_cases_fit]]-Tabella2[[#This Row],[New_Recovered_fit]]-Tabella2[[#This Row],[New_Deaths_fit]]</f>
        <v>-1325.137508328118</v>
      </c>
      <c r="P75" s="48"/>
      <c r="Q75" s="60">
        <f>Tabella2[[#This Row],[New recovered]]*NOT(ISBLANK(Tabella2[[#This Row],[New recovered]]))</f>
        <v>0</v>
      </c>
      <c r="R75" s="50">
        <f>Kd*EXP(-EXP(-(Tabella2[[#This Row],[Day]]-t0d)/wd))</f>
        <v>73005.509476102845</v>
      </c>
      <c r="S75" s="10">
        <f>Tabella2[[#This Row],[Cum_R_fit]]*EXP(-(Tabella2[[#This Row],[Day]]-t0d)/wd)/wd</f>
        <v>2112.6460634913506</v>
      </c>
      <c r="T75" s="60">
        <f>Tabella2[[#This Row],[New_Recovered_fit]]*NOT(ISBLANK(Tabella2[[#This Row],[New recovered]]))</f>
        <v>0</v>
      </c>
      <c r="X75" s="26"/>
      <c r="Y75" s="65">
        <f>Tabella2[[#This Row],[New deaths]]*NOT(ISBLANK(Tabella2[[#This Row],[New deaths]]))</f>
        <v>0</v>
      </c>
      <c r="Z75" s="50">
        <f>Kt*EXP(-EXP(-(Tabella2[[#This Row],[Day]]-t0t)/wt))</f>
        <v>25500.572368231587</v>
      </c>
      <c r="AA75" s="10">
        <f>Tabella2[[#This Row],[Cum_D_fit]]*EXP(-(Tabella2[[#This Row],[Day]]-t0t)/wt)/wt</f>
        <v>144.56416181838475</v>
      </c>
      <c r="AB75" s="65">
        <f>Tabella2[[#This Row],[New_Deaths_fit]]*NOT(ISBLANK(Tabella2[[#This Row],[New deaths]]))</f>
        <v>0</v>
      </c>
    </row>
    <row r="76" spans="2:28" x14ac:dyDescent="0.3">
      <c r="B76" s="9">
        <v>43953</v>
      </c>
      <c r="C76" s="4">
        <f t="shared" si="1"/>
        <v>68</v>
      </c>
      <c r="F76" s="56">
        <f>Tabella2[[#This Row],[New cases]]*NOT(ISBLANK(Tabella2[[#This Row],[New cases]]))</f>
        <v>0</v>
      </c>
      <c r="G76" s="50">
        <f>Kn*EXP(-EXP(-(Tabella2[[#This Row],[Day]]-t0n)/wn))</f>
        <v>190349.72677594991</v>
      </c>
      <c r="H76" s="10">
        <f>Tabella2[[#This Row],[Cum_fit]]*EXP(-(Tabella2[[#This Row],[Day]]-t0n)/wn)/wn</f>
        <v>870.56171618315818</v>
      </c>
      <c r="I76" s="56">
        <f>Tabella2[[#This Row],[New_cases_fit]]*NOT(ISBLANK(Tabella2[[#This Row],[New cases]]))</f>
        <v>0</v>
      </c>
      <c r="L76" s="55"/>
      <c r="M76" s="54"/>
      <c r="N76" s="54">
        <f>Tabella2[[#This Row],[New_cases_fit]]-Tabella2[[#This Row],[New_Recovered_fit]]-Tabella2[[#This Row],[New_Deaths_fit]]</f>
        <v>-1366.9632312383419</v>
      </c>
      <c r="P76" s="48"/>
      <c r="Q76" s="60">
        <f>Tabella2[[#This Row],[New recovered]]*NOT(ISBLANK(Tabella2[[#This Row],[New recovered]]))</f>
        <v>0</v>
      </c>
      <c r="R76" s="50">
        <f>Kd*EXP(-EXP(-(Tabella2[[#This Row],[Day]]-t0d)/wd))</f>
        <v>75113.479777587505</v>
      </c>
      <c r="S76" s="10">
        <f>Tabella2[[#This Row],[Cum_R_fit]]*EXP(-(Tabella2[[#This Row],[Day]]-t0d)/wd)/wd</f>
        <v>2102.9713856042727</v>
      </c>
      <c r="T76" s="60">
        <f>Tabella2[[#This Row],[New_Recovered_fit]]*NOT(ISBLANK(Tabella2[[#This Row],[New recovered]]))</f>
        <v>0</v>
      </c>
      <c r="X76" s="26"/>
      <c r="Y76" s="65">
        <f>Tabella2[[#This Row],[New deaths]]*NOT(ISBLANK(Tabella2[[#This Row],[New deaths]]))</f>
        <v>0</v>
      </c>
      <c r="Z76" s="50">
        <f>Kt*EXP(-EXP(-(Tabella2[[#This Row],[Day]]-t0t)/wt))</f>
        <v>25640.076267796991</v>
      </c>
      <c r="AA76" s="10">
        <f>Tabella2[[#This Row],[Cum_D_fit]]*EXP(-(Tabella2[[#This Row],[Day]]-t0t)/wt)/wt</f>
        <v>134.55356181722763</v>
      </c>
      <c r="AB76" s="65">
        <f>Tabella2[[#This Row],[New_Deaths_fit]]*NOT(ISBLANK(Tabella2[[#This Row],[New deaths]]))</f>
        <v>0</v>
      </c>
    </row>
    <row r="77" spans="2:28" x14ac:dyDescent="0.3">
      <c r="B77" s="9">
        <v>43954</v>
      </c>
      <c r="C77" s="4">
        <f t="shared" si="1"/>
        <v>69</v>
      </c>
      <c r="F77" s="56">
        <f>Tabella2[[#This Row],[New cases]]*NOT(ISBLANK(Tabella2[[#This Row],[New cases]]))</f>
        <v>0</v>
      </c>
      <c r="G77" s="50">
        <f>Kn*EXP(-EXP(-(Tabella2[[#This Row],[Day]]-t0n)/wn))</f>
        <v>191191.11944949787</v>
      </c>
      <c r="H77" s="10">
        <f>Tabella2[[#This Row],[Cum_fit]]*EXP(-(Tabella2[[#This Row],[Day]]-t0n)/wn)/wn</f>
        <v>812.83845256563768</v>
      </c>
      <c r="I77" s="56">
        <f>Tabella2[[#This Row],[New_cases_fit]]*NOT(ISBLANK(Tabella2[[#This Row],[New cases]]))</f>
        <v>0</v>
      </c>
      <c r="L77" s="55"/>
      <c r="M77" s="54"/>
      <c r="N77" s="54">
        <f>Tabella2[[#This Row],[New_cases_fit]]-Tabella2[[#This Row],[New_Recovered_fit]]-Tabella2[[#This Row],[New_Deaths_fit]]</f>
        <v>-1403.7513959496862</v>
      </c>
      <c r="P77" s="48"/>
      <c r="Q77" s="60">
        <f>Tabella2[[#This Row],[New recovered]]*NOT(ISBLANK(Tabella2[[#This Row],[New recovered]]))</f>
        <v>0</v>
      </c>
      <c r="R77" s="50">
        <f>Kd*EXP(-EXP(-(Tabella2[[#This Row],[Day]]-t0d)/wd))</f>
        <v>77210.821475348333</v>
      </c>
      <c r="S77" s="10">
        <f>Tabella2[[#This Row],[Cum_R_fit]]*EXP(-(Tabella2[[#This Row],[Day]]-t0d)/wd)/wd</f>
        <v>2091.404447822908</v>
      </c>
      <c r="T77" s="60">
        <f>Tabella2[[#This Row],[New_Recovered_fit]]*NOT(ISBLANK(Tabella2[[#This Row],[New recovered]]))</f>
        <v>0</v>
      </c>
      <c r="X77" s="26"/>
      <c r="Y77" s="65">
        <f>Tabella2[[#This Row],[New deaths]]*NOT(ISBLANK(Tabella2[[#This Row],[New deaths]]))</f>
        <v>0</v>
      </c>
      <c r="Z77" s="50">
        <f>Kt*EXP(-EXP(-(Tabella2[[#This Row],[Day]]-t0t)/wt))</f>
        <v>25769.893633249296</v>
      </c>
      <c r="AA77" s="10">
        <f>Tabella2[[#This Row],[Cum_D_fit]]*EXP(-(Tabella2[[#This Row],[Day]]-t0t)/wt)/wt</f>
        <v>125.185400692416</v>
      </c>
      <c r="AB77" s="65">
        <f>Tabella2[[#This Row],[New_Deaths_fit]]*NOT(ISBLANK(Tabella2[[#This Row],[New deaths]]))</f>
        <v>0</v>
      </c>
    </row>
    <row r="78" spans="2:28" x14ac:dyDescent="0.3">
      <c r="B78" s="9">
        <v>43955</v>
      </c>
      <c r="C78" s="4">
        <f t="shared" si="1"/>
        <v>70</v>
      </c>
      <c r="F78" s="56">
        <f>Tabella2[[#This Row],[New cases]]*NOT(ISBLANK(Tabella2[[#This Row],[New cases]]))</f>
        <v>0</v>
      </c>
      <c r="G78" s="50">
        <f>Kn*EXP(-EXP(-(Tabella2[[#This Row],[Day]]-t0n)/wn))</f>
        <v>191976.60086782236</v>
      </c>
      <c r="H78" s="10">
        <f>Tabella2[[#This Row],[Cum_fit]]*EXP(-(Tabella2[[#This Row],[Day]]-t0n)/wn)/wn</f>
        <v>758.70691011204985</v>
      </c>
      <c r="I78" s="56">
        <f>Tabella2[[#This Row],[New_cases_fit]]*NOT(ISBLANK(Tabella2[[#This Row],[New cases]]))</f>
        <v>0</v>
      </c>
      <c r="L78" s="55"/>
      <c r="M78" s="54"/>
      <c r="N78" s="54">
        <f>Tabella2[[#This Row],[New_cases_fit]]-Tabella2[[#This Row],[New_Recovered_fit]]-Tabella2[[#This Row],[New_Deaths_fit]]</f>
        <v>-1435.7584118900629</v>
      </c>
      <c r="P78" s="48"/>
      <c r="Q78" s="60">
        <f>Tabella2[[#This Row],[New recovered]]*NOT(ISBLANK(Tabella2[[#This Row],[New recovered]]))</f>
        <v>0</v>
      </c>
      <c r="R78" s="50">
        <f>Kd*EXP(-EXP(-(Tabella2[[#This Row],[Day]]-t0d)/wd))</f>
        <v>79295.689335915697</v>
      </c>
      <c r="S78" s="10">
        <f>Tabella2[[#This Row],[Cum_R_fit]]*EXP(-(Tabella2[[#This Row],[Day]]-t0d)/wd)/wd</f>
        <v>2078.0395351063789</v>
      </c>
      <c r="T78" s="60">
        <f>Tabella2[[#This Row],[New_Recovered_fit]]*NOT(ISBLANK(Tabella2[[#This Row],[New recovered]]))</f>
        <v>0</v>
      </c>
      <c r="X78" s="26"/>
      <c r="Y78" s="65">
        <f>Tabella2[[#This Row],[New deaths]]*NOT(ISBLANK(Tabella2[[#This Row],[New deaths]]))</f>
        <v>0</v>
      </c>
      <c r="Z78" s="50">
        <f>Kt*EXP(-EXP(-(Tabella2[[#This Row],[Day]]-t0t)/wt))</f>
        <v>25890.649910761415</v>
      </c>
      <c r="AA78" s="10">
        <f>Tabella2[[#This Row],[Cum_D_fit]]*EXP(-(Tabella2[[#This Row],[Day]]-t0t)/wt)/wt</f>
        <v>116.42578689573374</v>
      </c>
      <c r="AB78" s="65">
        <f>Tabella2[[#This Row],[New_Deaths_fit]]*NOT(ISBLANK(Tabella2[[#This Row],[New deaths]]))</f>
        <v>0</v>
      </c>
    </row>
  </sheetData>
  <mergeCells count="9">
    <mergeCell ref="AT14:AT17"/>
    <mergeCell ref="AT24:AT27"/>
    <mergeCell ref="AI3:AL3"/>
    <mergeCell ref="B2:H2"/>
    <mergeCell ref="B4:G4"/>
    <mergeCell ref="B5:G5"/>
    <mergeCell ref="AI4:AL4"/>
    <mergeCell ref="AI5:AL5"/>
    <mergeCell ref="H3:H6"/>
  </mergeCells>
  <pageMargins left="0.7" right="0.7" top="0.75" bottom="0.75" header="0.3" footer="0.3"/>
  <drawing r:id="rId1"/>
  <legacyDrawing r:id="rId2"/>
  <tableParts count="4"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EB14-AEBC-4B5D-B827-B6FF39F42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68</vt:i4>
      </vt:variant>
    </vt:vector>
  </HeadingPairs>
  <TitlesOfParts>
    <vt:vector size="71" baseType="lpstr">
      <vt:lpstr>dpc-covid19-ita-andamento-naz</vt:lpstr>
      <vt:lpstr>Cumul_confirmed - Gompertz</vt:lpstr>
      <vt:lpstr>New_confirmed - Gompertz</vt:lpstr>
      <vt:lpstr>CI</vt:lpstr>
      <vt:lpstr>CId</vt:lpstr>
      <vt:lpstr>CIh</vt:lpstr>
      <vt:lpstr>CIn</vt:lpstr>
      <vt:lpstr>CIr</vt:lpstr>
      <vt:lpstr>CIt</vt:lpstr>
      <vt:lpstr>Critical_t</vt:lpstr>
      <vt:lpstr>Critical_td</vt:lpstr>
      <vt:lpstr>Critical_th</vt:lpstr>
      <vt:lpstr>Critical_tn</vt:lpstr>
      <vt:lpstr>Critical_tr</vt:lpstr>
      <vt:lpstr>Critical_tt</vt:lpstr>
      <vt:lpstr>df</vt:lpstr>
      <vt:lpstr>dfd</vt:lpstr>
      <vt:lpstr>dfh</vt:lpstr>
      <vt:lpstr>dfn</vt:lpstr>
      <vt:lpstr>dfr</vt:lpstr>
      <vt:lpstr>dft</vt:lpstr>
      <vt:lpstr>K</vt:lpstr>
      <vt:lpstr>Kd</vt:lpstr>
      <vt:lpstr>Kh</vt:lpstr>
      <vt:lpstr>Kn</vt:lpstr>
      <vt:lpstr>Kr</vt:lpstr>
      <vt:lpstr>Kt</vt:lpstr>
      <vt:lpstr>Mean_of_y</vt:lpstr>
      <vt:lpstr>Mean_of_yd</vt:lpstr>
      <vt:lpstr>Mean_of_yh</vt:lpstr>
      <vt:lpstr>Mean_of_yn</vt:lpstr>
      <vt:lpstr>Mean_of_yr</vt:lpstr>
      <vt:lpstr>Mean_of_yt</vt:lpstr>
      <vt:lpstr>Peak</vt:lpstr>
      <vt:lpstr>Peak_d</vt:lpstr>
      <vt:lpstr>Peak_h</vt:lpstr>
      <vt:lpstr>Peak_n</vt:lpstr>
      <vt:lpstr>Peak_r</vt:lpstr>
      <vt:lpstr>Peak_t</vt:lpstr>
      <vt:lpstr>RSQ</vt:lpstr>
      <vt:lpstr>RSQd</vt:lpstr>
      <vt:lpstr>RSQh</vt:lpstr>
      <vt:lpstr>RSQn</vt:lpstr>
      <vt:lpstr>RSQr</vt:lpstr>
      <vt:lpstr>RSQt</vt:lpstr>
      <vt:lpstr>SE_of_y</vt:lpstr>
      <vt:lpstr>SE_of_yd</vt:lpstr>
      <vt:lpstr>SE_of_yh</vt:lpstr>
      <vt:lpstr>SE_of_yn</vt:lpstr>
      <vt:lpstr>SE_of_yr</vt:lpstr>
      <vt:lpstr>SE_of_yt</vt:lpstr>
      <vt:lpstr>t</vt:lpstr>
      <vt:lpstr>t_d</vt:lpstr>
      <vt:lpstr>t_h</vt:lpstr>
      <vt:lpstr>t_n</vt:lpstr>
      <vt:lpstr>t_r</vt:lpstr>
      <vt:lpstr>t_t</vt:lpstr>
      <vt:lpstr>t0</vt:lpstr>
      <vt:lpstr>t0d</vt:lpstr>
      <vt:lpstr>t0f</vt:lpstr>
      <vt:lpstr>t0h</vt:lpstr>
      <vt:lpstr>t0n</vt:lpstr>
      <vt:lpstr>t0r</vt:lpstr>
      <vt:lpstr>t0t</vt:lpstr>
      <vt:lpstr>w</vt:lpstr>
      <vt:lpstr>wd</vt:lpstr>
      <vt:lpstr>wf</vt:lpstr>
      <vt:lpstr>wh</vt:lpstr>
      <vt:lpstr>wn</vt:lpstr>
      <vt:lpstr>wr</vt:lpstr>
      <vt:lpstr>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2020-04-13T23:55:41Z</dcterms:modified>
</cp:coreProperties>
</file>